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ЭтаКнига"/>
  <mc:AlternateContent xmlns:mc="http://schemas.openxmlformats.org/markup-compatibility/2006">
    <mc:Choice Requires="x15">
      <x15ac:absPath xmlns:x15ac="http://schemas.microsoft.com/office/spreadsheetml/2010/11/ac" url="C:\Users\ada\Documents\Files\files_mephi\Работы\ЭА\"/>
    </mc:Choice>
  </mc:AlternateContent>
  <xr:revisionPtr revIDLastSave="0" documentId="13_ncr:1_{6B09B2EA-068E-484F-90C8-D2F278B55E71}" xr6:coauthVersionLast="47" xr6:coauthVersionMax="47" xr10:uidLastSave="{00000000-0000-0000-0000-000000000000}"/>
  <bookViews>
    <workbookView xWindow="-108" yWindow="-108" windowWidth="30936" windowHeight="12456" activeTab="9" xr2:uid="{00000000-000D-0000-FFFF-FFFF00000000}"/>
  </bookViews>
  <sheets>
    <sheet name="1" sheetId="1" r:id="rId1"/>
    <sheet name="2" sheetId="2" r:id="rId2"/>
    <sheet name="3" sheetId="3" r:id="rId3"/>
    <sheet name="4" sheetId="4" r:id="rId4"/>
    <sheet name="5" sheetId="5" r:id="rId5"/>
    <sheet name="бс" sheetId="6" r:id="rId6"/>
    <sheet name="бм" sheetId="7" r:id="rId7"/>
    <sheet name="э" sheetId="8" r:id="rId8"/>
    <sheet name="аб" sheetId="9" r:id="rId9"/>
    <sheet name="офр" sheetId="10" r:id="rId10"/>
    <sheet name="фу" sheetId="11" r:id="rId11"/>
    <sheet name="дкз" sheetId="12" r:id="rId12"/>
    <sheet name="сф" sheetId="13" r:id="rId13"/>
    <sheet name="дп" sheetId="14" r:id="rId14"/>
  </sheets>
  <externalReferences>
    <externalReference r:id="rId15"/>
    <externalReference r:id="rId16"/>
    <externalReference r:id="rId17"/>
  </externalReferences>
  <definedNames>
    <definedName name="a" localSheetId="6">#REF!</definedName>
    <definedName name="a" localSheetId="11">[2]па!#REF!</definedName>
    <definedName name="a" localSheetId="10">[2]па!#REF!</definedName>
    <definedName name="a" localSheetId="7">[1]па!#REF!</definedName>
    <definedName name="a">#REF!</definedName>
    <definedName name="b" localSheetId="6">#REF!</definedName>
    <definedName name="b" localSheetId="11">[2]па!#REF!</definedName>
    <definedName name="b" localSheetId="10">[2]па!#REF!</definedName>
    <definedName name="b" localSheetId="7">[1]па!#REF!</definedName>
    <definedName name="b">#REF!</definedName>
    <definedName name="d" localSheetId="6">#REF!</definedName>
    <definedName name="d" localSheetId="11">[2]па!#REF!</definedName>
    <definedName name="d" localSheetId="10">[2]па!#REF!</definedName>
    <definedName name="d" localSheetId="7">[1]па!#REF!</definedName>
    <definedName name="d">#REF!</definedName>
    <definedName name="e" localSheetId="6">#REF!</definedName>
    <definedName name="e" localSheetId="11">[2]па!#REF!</definedName>
    <definedName name="e" localSheetId="10">[2]па!#REF!</definedName>
    <definedName name="e" localSheetId="7">[1]па!#REF!</definedName>
    <definedName name="e">#REF!</definedName>
    <definedName name="f" localSheetId="6">#REF!</definedName>
    <definedName name="f" localSheetId="11">[2]па!#REF!</definedName>
    <definedName name="f" localSheetId="10">[2]па!#REF!</definedName>
    <definedName name="f" localSheetId="7">[1]па!#REF!</definedName>
    <definedName name="f">#REF!</definedName>
    <definedName name="g" localSheetId="6">#REF!</definedName>
    <definedName name="g" localSheetId="11">[2]па!#REF!</definedName>
    <definedName name="g" localSheetId="10">[2]па!#REF!</definedName>
    <definedName name="g" localSheetId="7">[1]па!#REF!</definedName>
    <definedName name="g">#REF!</definedName>
    <definedName name="h" localSheetId="6">#REF!</definedName>
    <definedName name="h" localSheetId="11">[2]па!#REF!</definedName>
    <definedName name="h" localSheetId="10">[2]па!#REF!</definedName>
    <definedName name="h" localSheetId="7">[1]па!#REF!</definedName>
    <definedName name="h">#REF!</definedName>
    <definedName name="i" localSheetId="6">#REF!</definedName>
    <definedName name="i" localSheetId="11">[2]па!#REF!</definedName>
    <definedName name="i" localSheetId="10">[2]па!#REF!</definedName>
    <definedName name="i" localSheetId="7">[1]па!#REF!</definedName>
    <definedName name="i">#REF!</definedName>
    <definedName name="j" localSheetId="6">#REF!</definedName>
    <definedName name="j" localSheetId="11">[2]па!#REF!</definedName>
    <definedName name="j" localSheetId="10">[2]па!#REF!</definedName>
    <definedName name="j" localSheetId="7">[1]па!#REF!</definedName>
    <definedName name="j">#REF!</definedName>
    <definedName name="k" localSheetId="6">#REF!</definedName>
    <definedName name="k" localSheetId="11">[2]па!#REF!</definedName>
    <definedName name="k" localSheetId="10">[2]па!#REF!</definedName>
    <definedName name="k" localSheetId="7">[1]па!#REF!</definedName>
    <definedName name="k">#REF!</definedName>
    <definedName name="K121_" localSheetId="6">#REF!</definedName>
    <definedName name="K121_">#REF!</definedName>
    <definedName name="l" localSheetId="6">#REF!</definedName>
    <definedName name="l" localSheetId="11">[2]па!#REF!</definedName>
    <definedName name="l" localSheetId="10">[2]па!#REF!</definedName>
    <definedName name="l" localSheetId="7">[1]па!#REF!</definedName>
    <definedName name="l">#REF!</definedName>
    <definedName name="а" localSheetId="6">#REF!</definedName>
    <definedName name="а" localSheetId="11">[2]па!#REF!</definedName>
    <definedName name="а" localSheetId="10">[2]па!#REF!</definedName>
    <definedName name="а" localSheetId="7">[1]па!#REF!</definedName>
    <definedName name="а">#REF!</definedName>
    <definedName name="б" localSheetId="6">#REF!</definedName>
    <definedName name="б" localSheetId="11">[2]па!#REF!</definedName>
    <definedName name="б" localSheetId="10">[2]па!#REF!</definedName>
    <definedName name="б" localSheetId="7">[1]па!#REF!</definedName>
    <definedName name="б">#REF!</definedName>
    <definedName name="в" localSheetId="6">#REF!</definedName>
    <definedName name="в" localSheetId="11">[2]па!#REF!</definedName>
    <definedName name="в" localSheetId="10">[2]па!#REF!</definedName>
    <definedName name="в" localSheetId="7">[1]па!#REF!</definedName>
    <definedName name="в">#REF!</definedName>
    <definedName name="Выручка" localSheetId="6">#REF!</definedName>
    <definedName name="Выручка">#REF!</definedName>
    <definedName name="г" localSheetId="6">#REF!</definedName>
    <definedName name="г" localSheetId="11">[2]па!#REF!</definedName>
    <definedName name="г" localSheetId="10">[2]па!#REF!</definedName>
    <definedName name="г" localSheetId="7">[1]па!#REF!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 localSheetId="6">#REF!</definedName>
    <definedName name="д" localSheetId="11">[2]па!#REF!</definedName>
    <definedName name="д" localSheetId="10">[2]па!#REF!</definedName>
    <definedName name="д" localSheetId="7">[1]па!#REF!</definedName>
    <definedName name="д">#REF!</definedName>
    <definedName name="Денежный_поток" localSheetId="6">#REF!</definedName>
    <definedName name="Денежный_поток">#REF!</definedName>
    <definedName name="е" localSheetId="6">#REF!</definedName>
    <definedName name="е" localSheetId="11">[2]па!#REF!</definedName>
    <definedName name="е" localSheetId="10">[2]па!#REF!</definedName>
    <definedName name="е" localSheetId="7">[1]па!#REF!</definedName>
    <definedName name="е">#REF!</definedName>
    <definedName name="ж" localSheetId="6">#REF!</definedName>
    <definedName name="ж" localSheetId="11">[2]па!#REF!</definedName>
    <definedName name="ж" localSheetId="10">[2]па!#REF!</definedName>
    <definedName name="ж" localSheetId="7">[1]па!#REF!</definedName>
    <definedName name="ж">#REF!</definedName>
    <definedName name="з" localSheetId="6">#REF!</definedName>
    <definedName name="з" localSheetId="11">[2]па!#REF!</definedName>
    <definedName name="з" localSheetId="10">[2]па!#REF!</definedName>
    <definedName name="з" localSheetId="7">[1]па!#REF!</definedName>
    <definedName name="з">#REF!</definedName>
    <definedName name="и" localSheetId="6">#REF!</definedName>
    <definedName name="и" localSheetId="11">[2]па!#REF!</definedName>
    <definedName name="и" localSheetId="10">[2]па!#REF!</definedName>
    <definedName name="и" localSheetId="7">[1]па!#REF!</definedName>
    <definedName name="и">#REF!</definedName>
    <definedName name="к" localSheetId="6">#REF!</definedName>
    <definedName name="к" localSheetId="11">[2]па!#REF!</definedName>
    <definedName name="к" localSheetId="10">[2]па!#REF!</definedName>
    <definedName name="к" localSheetId="7">[1]па!#REF!</definedName>
    <definedName name="к">#REF!</definedName>
    <definedName name="м" localSheetId="6">#REF!</definedName>
    <definedName name="м" localSheetId="11">[2]па!#REF!</definedName>
    <definedName name="м" localSheetId="10">[2]па!#REF!</definedName>
    <definedName name="м" localSheetId="7">[1]па!#REF!</definedName>
    <definedName name="м">#REF!</definedName>
    <definedName name="Оборотный_капитал" localSheetId="6">#REF!</definedName>
    <definedName name="Оборотный_капитал">#REF!</definedName>
    <definedName name="П" localSheetId="6">#REF!</definedName>
    <definedName name="П">#REF!</definedName>
    <definedName name="Поступления" localSheetId="6">#REF!</definedName>
    <definedName name="Поступления">#REF!</definedName>
    <definedName name="Прибыль" localSheetId="6">#REF!</definedName>
    <definedName name="Прибыль">#REF!</definedName>
    <definedName name="р" localSheetId="6">#REF!</definedName>
    <definedName name="р" localSheetId="11">[2]па!#REF!</definedName>
    <definedName name="р" localSheetId="10">[2]па!#REF!</definedName>
    <definedName name="р" localSheetId="7">[1]па!#REF!</definedName>
    <definedName name="р">#REF!</definedName>
    <definedName name="с" localSheetId="6">#REF!</definedName>
    <definedName name="с" localSheetId="11">[2]па!#REF!</definedName>
    <definedName name="с" localSheetId="10">[2]па!#REF!</definedName>
    <definedName name="с" localSheetId="7">[1]па!#REF!</definedName>
    <definedName name="с">#REF!</definedName>
    <definedName name="т" localSheetId="6">#REF!</definedName>
    <definedName name="т" localSheetId="11">[2]па!#REF!</definedName>
    <definedName name="т" localSheetId="10">[2]па!#REF!</definedName>
    <definedName name="т" localSheetId="7">[1]па!#REF!</definedName>
    <definedName name="т">#REF!</definedName>
    <definedName name="УОР" localSheetId="6">#REF!</definedName>
    <definedName name="УОР">#REF!</definedName>
    <definedName name="УСР" localSheetId="6">#REF!</definedName>
    <definedName name="УСР">#REF!</definedName>
    <definedName name="УФР" localSheetId="6">#REF!</definedName>
    <definedName name="УФ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21" i="13" l="1"/>
  <c r="AC121" i="13" s="1"/>
  <c r="AF121" i="13" s="1"/>
  <c r="AI121" i="13" s="1"/>
  <c r="AL121" i="13" s="1"/>
  <c r="Y121" i="13"/>
  <c r="AB121" i="13" s="1"/>
  <c r="AE121" i="13" s="1"/>
  <c r="AH121" i="13" s="1"/>
  <c r="AK121" i="13" s="1"/>
  <c r="X121" i="13"/>
  <c r="AA121" i="13" s="1"/>
  <c r="AD121" i="13" s="1"/>
  <c r="AG121" i="13" s="1"/>
  <c r="AJ121" i="13" s="1"/>
  <c r="AC111" i="13"/>
  <c r="AF111" i="13" s="1"/>
  <c r="AI111" i="13" s="1"/>
  <c r="AL111" i="13" s="1"/>
  <c r="AB111" i="13"/>
  <c r="AE111" i="13" s="1"/>
  <c r="AH111" i="13" s="1"/>
  <c r="AK111" i="13" s="1"/>
  <c r="AA111" i="13"/>
  <c r="AD111" i="13" s="1"/>
  <c r="AG111" i="13" s="1"/>
  <c r="AJ111" i="13" s="1"/>
  <c r="Z111" i="13"/>
  <c r="Y111" i="13"/>
  <c r="X111" i="13"/>
  <c r="AF103" i="13"/>
  <c r="AI103" i="13" s="1"/>
  <c r="AL103" i="13" s="1"/>
  <c r="AE103" i="13"/>
  <c r="AH103" i="13" s="1"/>
  <c r="AK103" i="13" s="1"/>
  <c r="AC103" i="13"/>
  <c r="AB103" i="13"/>
  <c r="Z103" i="13"/>
  <c r="Y103" i="13"/>
  <c r="X103" i="13"/>
  <c r="AA103" i="13" s="1"/>
  <c r="AD103" i="13" s="1"/>
  <c r="AG103" i="13" s="1"/>
  <c r="AJ103" i="13" s="1"/>
  <c r="Z95" i="13"/>
  <c r="AC95" i="13" s="1"/>
  <c r="AF95" i="13" s="1"/>
  <c r="AI95" i="13" s="1"/>
  <c r="AL95" i="13" s="1"/>
  <c r="Y95" i="13"/>
  <c r="AB95" i="13" s="1"/>
  <c r="AE95" i="13" s="1"/>
  <c r="AH95" i="13" s="1"/>
  <c r="AK95" i="13" s="1"/>
  <c r="X95" i="13"/>
  <c r="AA95" i="13" s="1"/>
  <c r="AD95" i="13" s="1"/>
  <c r="AG95" i="13" s="1"/>
  <c r="AJ95" i="13" s="1"/>
  <c r="AA86" i="13"/>
  <c r="AD86" i="13" s="1"/>
  <c r="AG86" i="13" s="1"/>
  <c r="AJ86" i="13" s="1"/>
  <c r="Z86" i="13"/>
  <c r="AC86" i="13" s="1"/>
  <c r="AF86" i="13" s="1"/>
  <c r="AI86" i="13" s="1"/>
  <c r="AL86" i="13" s="1"/>
  <c r="Y86" i="13"/>
  <c r="AB86" i="13" s="1"/>
  <c r="AE86" i="13" s="1"/>
  <c r="AH86" i="13" s="1"/>
  <c r="AK86" i="13" s="1"/>
  <c r="X86" i="13"/>
  <c r="AD73" i="13"/>
  <c r="AG73" i="13" s="1"/>
  <c r="AJ73" i="13" s="1"/>
  <c r="AC73" i="13"/>
  <c r="AF73" i="13" s="1"/>
  <c r="AI73" i="13" s="1"/>
  <c r="AL73" i="13" s="1"/>
  <c r="AB73" i="13"/>
  <c r="AE73" i="13" s="1"/>
  <c r="AH73" i="13" s="1"/>
  <c r="AK73" i="13" s="1"/>
  <c r="AA73" i="13"/>
  <c r="Z73" i="13"/>
  <c r="Y73" i="13"/>
  <c r="X73" i="13"/>
  <c r="AF57" i="13"/>
  <c r="AI57" i="13" s="1"/>
  <c r="AL57" i="13" s="1"/>
  <c r="AE57" i="13"/>
  <c r="AH57" i="13" s="1"/>
  <c r="AK57" i="13" s="1"/>
  <c r="AC57" i="13"/>
  <c r="AB57" i="13"/>
  <c r="Z57" i="13"/>
  <c r="Y57" i="13"/>
  <c r="X57" i="13"/>
  <c r="AA57" i="13" s="1"/>
  <c r="AD57" i="13" s="1"/>
  <c r="AG57" i="13" s="1"/>
  <c r="AJ57" i="13" s="1"/>
  <c r="H51" i="13"/>
  <c r="G51" i="13"/>
  <c r="F51" i="13"/>
  <c r="E51" i="13"/>
  <c r="D51" i="13"/>
  <c r="C51" i="13"/>
  <c r="B51" i="13"/>
  <c r="E45" i="13"/>
  <c r="D45" i="13"/>
  <c r="I44" i="13"/>
  <c r="H44" i="13"/>
  <c r="G44" i="13"/>
  <c r="F44" i="13"/>
  <c r="E44" i="13"/>
  <c r="D44" i="13"/>
  <c r="C44" i="13"/>
  <c r="B44" i="13"/>
  <c r="I43" i="13"/>
  <c r="I45" i="13" s="1"/>
  <c r="H43" i="13"/>
  <c r="H45" i="13" s="1"/>
  <c r="G43" i="13"/>
  <c r="G45" i="13" s="1"/>
  <c r="F43" i="13"/>
  <c r="F45" i="13" s="1"/>
  <c r="E43" i="13"/>
  <c r="D43" i="13"/>
  <c r="C43" i="13"/>
  <c r="C45" i="13" s="1"/>
  <c r="B43" i="13"/>
  <c r="B45" i="13" s="1"/>
  <c r="AH42" i="13"/>
  <c r="AK42" i="13" s="1"/>
  <c r="AE42" i="13"/>
  <c r="AB42" i="13"/>
  <c r="AA42" i="13"/>
  <c r="AD42" i="13" s="1"/>
  <c r="AG42" i="13" s="1"/>
  <c r="AJ42" i="13" s="1"/>
  <c r="Z42" i="13"/>
  <c r="AC42" i="13" s="1"/>
  <c r="AF42" i="13" s="1"/>
  <c r="AI42" i="13" s="1"/>
  <c r="AL42" i="13" s="1"/>
  <c r="Y42" i="13"/>
  <c r="X42" i="13"/>
  <c r="E34" i="13"/>
  <c r="C34" i="13"/>
  <c r="AE27" i="13"/>
  <c r="AH27" i="13" s="1"/>
  <c r="AK27" i="13" s="1"/>
  <c r="AB27" i="13"/>
  <c r="AA27" i="13"/>
  <c r="AD27" i="13" s="1"/>
  <c r="AG27" i="13" s="1"/>
  <c r="AJ27" i="13" s="1"/>
  <c r="Z27" i="13"/>
  <c r="AC27" i="13" s="1"/>
  <c r="AF27" i="13" s="1"/>
  <c r="AI27" i="13" s="1"/>
  <c r="AL27" i="13" s="1"/>
  <c r="Y27" i="13"/>
  <c r="X27" i="13"/>
  <c r="AH17" i="13"/>
  <c r="AK17" i="13" s="1"/>
  <c r="AE17" i="13"/>
  <c r="AD17" i="13"/>
  <c r="AG17" i="13" s="1"/>
  <c r="AJ17" i="13" s="1"/>
  <c r="AC17" i="13"/>
  <c r="AF17" i="13" s="1"/>
  <c r="AI17" i="13" s="1"/>
  <c r="AL17" i="13" s="1"/>
  <c r="AB17" i="13"/>
  <c r="AA17" i="13"/>
  <c r="Z17" i="13"/>
  <c r="Y17" i="13"/>
  <c r="X17" i="13"/>
  <c r="Q17" i="13"/>
  <c r="P17" i="13"/>
  <c r="O17" i="13"/>
  <c r="N17" i="13"/>
  <c r="M17" i="13"/>
  <c r="L17" i="13"/>
  <c r="K17" i="13"/>
  <c r="J17" i="13"/>
  <c r="AG6" i="13"/>
  <c r="AJ6" i="13" s="1"/>
  <c r="AD6" i="13"/>
  <c r="AC6" i="13"/>
  <c r="AF6" i="13" s="1"/>
  <c r="AI6" i="13" s="1"/>
  <c r="AL6" i="13" s="1"/>
  <c r="AB6" i="13"/>
  <c r="AE6" i="13" s="1"/>
  <c r="AH6" i="13" s="1"/>
  <c r="AK6" i="13" s="1"/>
  <c r="AA6" i="13"/>
  <c r="Z6" i="13"/>
  <c r="Y6" i="13"/>
  <c r="X6" i="13"/>
  <c r="Q6" i="13"/>
  <c r="P6" i="13"/>
  <c r="O6" i="13"/>
  <c r="N6" i="13"/>
  <c r="M6" i="13"/>
  <c r="L6" i="13"/>
  <c r="K6" i="13"/>
  <c r="U48" i="12"/>
  <c r="T48" i="12"/>
  <c r="I48" i="12"/>
  <c r="H48" i="12"/>
  <c r="C48" i="12"/>
  <c r="B48" i="12"/>
  <c r="X47" i="12"/>
  <c r="U47" i="12"/>
  <c r="W37" i="12"/>
  <c r="W48" i="12" s="1"/>
  <c r="V37" i="12"/>
  <c r="V48" i="12" s="1"/>
  <c r="U37" i="12"/>
  <c r="T37" i="12"/>
  <c r="I37" i="12"/>
  <c r="H37" i="12"/>
  <c r="E37" i="12"/>
  <c r="E48" i="12" s="1"/>
  <c r="D37" i="12"/>
  <c r="D48" i="12" s="1"/>
  <c r="C37" i="12"/>
  <c r="B37" i="12"/>
  <c r="AD36" i="12"/>
  <c r="AD47" i="12" s="1"/>
  <c r="AA36" i="12"/>
  <c r="AA47" i="12" s="1"/>
  <c r="X36" i="12"/>
  <c r="U36" i="12"/>
  <c r="W29" i="12"/>
  <c r="W6" i="12" s="1"/>
  <c r="V29" i="12"/>
  <c r="V6" i="12" s="1"/>
  <c r="U29" i="12"/>
  <c r="T29" i="12"/>
  <c r="S29" i="12"/>
  <c r="S6" i="12" s="1"/>
  <c r="R29" i="12"/>
  <c r="R6" i="12" s="1"/>
  <c r="I29" i="12"/>
  <c r="H29" i="12"/>
  <c r="G29" i="12"/>
  <c r="G6" i="12" s="1"/>
  <c r="F29" i="12"/>
  <c r="F6" i="12" s="1"/>
  <c r="E29" i="12"/>
  <c r="E6" i="12" s="1"/>
  <c r="D29" i="12"/>
  <c r="D6" i="12" s="1"/>
  <c r="C29" i="12"/>
  <c r="B29" i="12"/>
  <c r="AJ28" i="12"/>
  <c r="AJ36" i="12" s="1"/>
  <c r="AJ47" i="12" s="1"/>
  <c r="AG28" i="12"/>
  <c r="AG36" i="12" s="1"/>
  <c r="AG47" i="12" s="1"/>
  <c r="AD28" i="12"/>
  <c r="AA28" i="12"/>
  <c r="X28" i="12"/>
  <c r="U28" i="12"/>
  <c r="R28" i="12"/>
  <c r="R36" i="12" s="1"/>
  <c r="R47" i="12" s="1"/>
  <c r="U6" i="12"/>
  <c r="T6" i="12"/>
  <c r="I6" i="12"/>
  <c r="H6" i="12"/>
  <c r="C6" i="12"/>
  <c r="B6" i="12"/>
  <c r="AJ5" i="12"/>
  <c r="AG5" i="12"/>
  <c r="AD5" i="12"/>
  <c r="AA5" i="12"/>
  <c r="X5" i="12"/>
  <c r="U5" i="12"/>
  <c r="R5" i="12"/>
  <c r="B80" i="11"/>
  <c r="B77" i="11"/>
  <c r="I73" i="11"/>
  <c r="H73" i="11"/>
  <c r="I72" i="11"/>
  <c r="D72" i="11"/>
  <c r="I66" i="11"/>
  <c r="D66" i="11"/>
  <c r="J65" i="11"/>
  <c r="J58" i="11"/>
  <c r="J72" i="11" s="1"/>
  <c r="I58" i="11"/>
  <c r="H58" i="11"/>
  <c r="G58" i="11"/>
  <c r="F58" i="11"/>
  <c r="E58" i="11"/>
  <c r="E72" i="11" s="1"/>
  <c r="D58" i="11"/>
  <c r="C58" i="11"/>
  <c r="C72" i="11" s="1"/>
  <c r="J57" i="11"/>
  <c r="I57" i="11"/>
  <c r="H57" i="11"/>
  <c r="G57" i="11"/>
  <c r="F57" i="11"/>
  <c r="E57" i="11"/>
  <c r="D57" i="11"/>
  <c r="C57" i="11"/>
  <c r="J50" i="11"/>
  <c r="I50" i="11"/>
  <c r="H50" i="11"/>
  <c r="H72" i="11" s="1"/>
  <c r="G50" i="11"/>
  <c r="G72" i="11" s="1"/>
  <c r="F50" i="11"/>
  <c r="E50" i="11"/>
  <c r="D50" i="11"/>
  <c r="C50" i="11"/>
  <c r="J49" i="11"/>
  <c r="I49" i="11"/>
  <c r="I65" i="11" s="1"/>
  <c r="H49" i="11"/>
  <c r="H65" i="11" s="1"/>
  <c r="J48" i="11"/>
  <c r="I48" i="11"/>
  <c r="H48" i="11"/>
  <c r="G48" i="11"/>
  <c r="F48" i="11"/>
  <c r="E48" i="11"/>
  <c r="D48" i="11"/>
  <c r="C48" i="11"/>
  <c r="B46" i="11"/>
  <c r="B54" i="11" s="1"/>
  <c r="B62" i="11" s="1"/>
  <c r="H40" i="11"/>
  <c r="G40" i="11"/>
  <c r="B38" i="11"/>
  <c r="J34" i="11"/>
  <c r="I34" i="11"/>
  <c r="H34" i="11"/>
  <c r="G34" i="11"/>
  <c r="F34" i="11"/>
  <c r="E34" i="11"/>
  <c r="D34" i="11"/>
  <c r="C34" i="11"/>
  <c r="J33" i="11"/>
  <c r="I33" i="11"/>
  <c r="H33" i="11"/>
  <c r="G33" i="11"/>
  <c r="F33" i="11"/>
  <c r="E33" i="11"/>
  <c r="D33" i="11"/>
  <c r="C33" i="11"/>
  <c r="J26" i="11"/>
  <c r="J40" i="11" s="1"/>
  <c r="I26" i="11"/>
  <c r="I40" i="11" s="1"/>
  <c r="H26" i="11"/>
  <c r="G26" i="11"/>
  <c r="F26" i="11"/>
  <c r="F40" i="11" s="1"/>
  <c r="E26" i="11"/>
  <c r="E40" i="11" s="1"/>
  <c r="D26" i="11"/>
  <c r="D40" i="11" s="1"/>
  <c r="C26" i="11"/>
  <c r="C40" i="11" s="1"/>
  <c r="I24" i="11"/>
  <c r="I31" i="11" s="1"/>
  <c r="I38" i="11" s="1"/>
  <c r="I46" i="11" s="1"/>
  <c r="I54" i="11" s="1"/>
  <c r="I62" i="11" s="1"/>
  <c r="I70" i="11" s="1"/>
  <c r="I77" i="11" s="1"/>
  <c r="H87" i="11" s="1"/>
  <c r="H24" i="11"/>
  <c r="H31" i="11" s="1"/>
  <c r="H38" i="11" s="1"/>
  <c r="H46" i="11" s="1"/>
  <c r="H54" i="11" s="1"/>
  <c r="H62" i="11" s="1"/>
  <c r="H70" i="11" s="1"/>
  <c r="H77" i="11" s="1"/>
  <c r="G87" i="11" s="1"/>
  <c r="G24" i="11"/>
  <c r="G31" i="11" s="1"/>
  <c r="G38" i="11" s="1"/>
  <c r="G46" i="11" s="1"/>
  <c r="G54" i="11" s="1"/>
  <c r="G62" i="11" s="1"/>
  <c r="G70" i="11" s="1"/>
  <c r="G77" i="11" s="1"/>
  <c r="F87" i="11" s="1"/>
  <c r="F24" i="11"/>
  <c r="F31" i="11" s="1"/>
  <c r="F38" i="11" s="1"/>
  <c r="F46" i="11" s="1"/>
  <c r="F54" i="11" s="1"/>
  <c r="F62" i="11" s="1"/>
  <c r="F70" i="11" s="1"/>
  <c r="F77" i="11" s="1"/>
  <c r="E87" i="11" s="1"/>
  <c r="C24" i="11"/>
  <c r="C31" i="11" s="1"/>
  <c r="C38" i="11" s="1"/>
  <c r="C46" i="11" s="1"/>
  <c r="C54" i="11" s="1"/>
  <c r="C62" i="11" s="1"/>
  <c r="C70" i="11" s="1"/>
  <c r="C77" i="11" s="1"/>
  <c r="B87" i="11" s="1"/>
  <c r="H18" i="11"/>
  <c r="G18" i="11"/>
  <c r="F18" i="11"/>
  <c r="E18" i="11"/>
  <c r="B18" i="11"/>
  <c r="I14" i="11"/>
  <c r="I18" i="11" s="1"/>
  <c r="H14" i="11"/>
  <c r="G14" i="11"/>
  <c r="F14" i="11"/>
  <c r="E14" i="11"/>
  <c r="D14" i="11"/>
  <c r="D18" i="11" s="1"/>
  <c r="C14" i="11"/>
  <c r="C18" i="11" s="1"/>
  <c r="B14" i="11"/>
  <c r="I10" i="11"/>
  <c r="H10" i="11"/>
  <c r="G10" i="11"/>
  <c r="F10" i="11"/>
  <c r="E10" i="11"/>
  <c r="D10" i="11"/>
  <c r="C10" i="11"/>
  <c r="B10" i="11"/>
  <c r="I5" i="11"/>
  <c r="J24" i="11" s="1"/>
  <c r="J31" i="11" s="1"/>
  <c r="J38" i="11" s="1"/>
  <c r="J46" i="11" s="1"/>
  <c r="J54" i="11" s="1"/>
  <c r="J62" i="11" s="1"/>
  <c r="J70" i="11" s="1"/>
  <c r="J77" i="11" s="1"/>
  <c r="I87" i="11" s="1"/>
  <c r="H5" i="11"/>
  <c r="G5" i="11"/>
  <c r="F5" i="11"/>
  <c r="E5" i="11"/>
  <c r="D5" i="11"/>
  <c r="E24" i="11" s="1"/>
  <c r="E31" i="11" s="1"/>
  <c r="E38" i="11" s="1"/>
  <c r="E46" i="11" s="1"/>
  <c r="E54" i="11" s="1"/>
  <c r="E62" i="11" s="1"/>
  <c r="E70" i="11" s="1"/>
  <c r="E77" i="11" s="1"/>
  <c r="D87" i="11" s="1"/>
  <c r="C5" i="11"/>
  <c r="D24" i="11" s="1"/>
  <c r="D31" i="11" s="1"/>
  <c r="D38" i="11" s="1"/>
  <c r="D46" i="11" s="1"/>
  <c r="D54" i="11" s="1"/>
  <c r="D62" i="11" s="1"/>
  <c r="D70" i="11" s="1"/>
  <c r="D77" i="11" s="1"/>
  <c r="C87" i="11" s="1"/>
  <c r="B5" i="11"/>
  <c r="H110" i="9"/>
  <c r="G110" i="9"/>
  <c r="F110" i="9"/>
  <c r="E110" i="9"/>
  <c r="D110" i="9"/>
  <c r="C110" i="9"/>
  <c r="B110" i="9"/>
  <c r="H109" i="9"/>
  <c r="G109" i="9"/>
  <c r="F109" i="9"/>
  <c r="E109" i="9"/>
  <c r="D109" i="9"/>
  <c r="C109" i="9"/>
  <c r="B109" i="9"/>
  <c r="H101" i="9"/>
  <c r="G101" i="9"/>
  <c r="F101" i="9"/>
  <c r="E101" i="9"/>
  <c r="D101" i="9"/>
  <c r="C101" i="9"/>
  <c r="B101" i="9"/>
  <c r="H100" i="9"/>
  <c r="G100" i="9"/>
  <c r="F100" i="9"/>
  <c r="E100" i="9"/>
  <c r="D100" i="9"/>
  <c r="C100" i="9"/>
  <c r="B100" i="9"/>
  <c r="G90" i="9"/>
  <c r="F90" i="9"/>
  <c r="E90" i="9"/>
  <c r="D90" i="9"/>
  <c r="C90" i="9"/>
  <c r="B90" i="9"/>
  <c r="H86" i="9"/>
  <c r="G86" i="9"/>
  <c r="F86" i="9"/>
  <c r="E86" i="9"/>
  <c r="D86" i="9"/>
  <c r="C86" i="9"/>
  <c r="B86" i="9"/>
  <c r="AA55" i="9"/>
  <c r="AA69" i="9" s="1"/>
  <c r="V55" i="9"/>
  <c r="V69" i="9" s="1"/>
  <c r="Q55" i="9"/>
  <c r="Q69" i="9" s="1"/>
  <c r="L55" i="9"/>
  <c r="L69" i="9" s="1"/>
  <c r="G55" i="9"/>
  <c r="G69" i="9" s="1"/>
  <c r="AB43" i="9"/>
  <c r="W43" i="9"/>
  <c r="R43" i="9"/>
  <c r="M43" i="9"/>
  <c r="H43" i="9"/>
  <c r="C43" i="9"/>
  <c r="B41" i="9"/>
  <c r="B55" i="9" s="1"/>
  <c r="B69" i="9" s="1"/>
  <c r="A34" i="9"/>
  <c r="D33" i="9"/>
  <c r="T33" i="9" s="1"/>
  <c r="U33" i="9" s="1"/>
  <c r="C33" i="9"/>
  <c r="A33" i="9"/>
  <c r="A32" i="9"/>
  <c r="A31" i="9"/>
  <c r="A28" i="9"/>
  <c r="A27" i="9"/>
  <c r="I26" i="9"/>
  <c r="H26" i="9"/>
  <c r="AF26" i="9" s="1"/>
  <c r="AG26" i="9" s="1"/>
  <c r="AA45" i="9" s="1"/>
  <c r="AC45" i="9" s="1"/>
  <c r="G26" i="9"/>
  <c r="A26" i="9"/>
  <c r="A25" i="9"/>
  <c r="V23" i="9"/>
  <c r="U23" i="9"/>
  <c r="T23" i="9"/>
  <c r="S23" i="9"/>
  <c r="R23" i="9"/>
  <c r="Q23" i="9"/>
  <c r="M23" i="9"/>
  <c r="L23" i="9"/>
  <c r="K23" i="9"/>
  <c r="J23" i="9"/>
  <c r="I23" i="9"/>
  <c r="H6" i="14" s="1"/>
  <c r="H23" i="9"/>
  <c r="G6" i="14" s="1"/>
  <c r="G23" i="9"/>
  <c r="F6" i="14" s="1"/>
  <c r="F23" i="9"/>
  <c r="E6" i="14" s="1"/>
  <c r="E23" i="9"/>
  <c r="D6" i="14" s="1"/>
  <c r="D23" i="9"/>
  <c r="C6" i="14" s="1"/>
  <c r="C23" i="9"/>
  <c r="B6" i="14" s="1"/>
  <c r="AH15" i="9"/>
  <c r="AF15" i="9"/>
  <c r="AE15" i="9"/>
  <c r="J15" i="9"/>
  <c r="I15" i="9"/>
  <c r="I34" i="9" s="1"/>
  <c r="H15" i="9"/>
  <c r="G15" i="9"/>
  <c r="G34" i="9" s="1"/>
  <c r="F15" i="9"/>
  <c r="F34" i="9" s="1"/>
  <c r="E15" i="9"/>
  <c r="E34" i="9" s="1"/>
  <c r="D15" i="9"/>
  <c r="D34" i="9" s="1"/>
  <c r="C15" i="9"/>
  <c r="AE14" i="9"/>
  <c r="AC14" i="9"/>
  <c r="AB14" i="9"/>
  <c r="Z14" i="9"/>
  <c r="Y14" i="9"/>
  <c r="W14" i="9"/>
  <c r="V14" i="9"/>
  <c r="J14" i="9"/>
  <c r="I14" i="9"/>
  <c r="H14" i="9"/>
  <c r="AI14" i="9" s="1"/>
  <c r="G14" i="9"/>
  <c r="AF14" i="9" s="1"/>
  <c r="F14" i="9"/>
  <c r="E14" i="9"/>
  <c r="E33" i="9" s="1"/>
  <c r="D14" i="9"/>
  <c r="C14" i="9"/>
  <c r="T14" i="9" s="1"/>
  <c r="AK9" i="9"/>
  <c r="AI9" i="9"/>
  <c r="AH9" i="9"/>
  <c r="AE9" i="9"/>
  <c r="AC9" i="9"/>
  <c r="AB9" i="9"/>
  <c r="J9" i="9"/>
  <c r="I9" i="9"/>
  <c r="I28" i="9" s="1"/>
  <c r="H9" i="9"/>
  <c r="H28" i="9" s="1"/>
  <c r="G9" i="9"/>
  <c r="G28" i="9" s="1"/>
  <c r="F9" i="9"/>
  <c r="F28" i="9" s="1"/>
  <c r="E9" i="9"/>
  <c r="Z9" i="9" s="1"/>
  <c r="D9" i="9"/>
  <c r="C9" i="9"/>
  <c r="AL8" i="9"/>
  <c r="J8" i="9"/>
  <c r="I8" i="9"/>
  <c r="H8" i="9"/>
  <c r="AI8" i="9" s="1"/>
  <c r="AK7" i="9"/>
  <c r="AI7" i="9"/>
  <c r="AH7" i="9"/>
  <c r="AE7" i="9"/>
  <c r="AC7" i="9"/>
  <c r="AB7" i="9"/>
  <c r="J7" i="9"/>
  <c r="I7" i="9"/>
  <c r="AL7" i="9" s="1"/>
  <c r="H7" i="9"/>
  <c r="G7" i="9"/>
  <c r="AF7" i="9" s="1"/>
  <c r="F7" i="9"/>
  <c r="F26" i="9" s="1"/>
  <c r="E7" i="9"/>
  <c r="Z7" i="9" s="1"/>
  <c r="D7" i="9"/>
  <c r="C7" i="9"/>
  <c r="AG4" i="9"/>
  <c r="AF29" i="12" s="1"/>
  <c r="AD4" i="9"/>
  <c r="AC29" i="12" s="1"/>
  <c r="AA4" i="9"/>
  <c r="Z29" i="12" s="1"/>
  <c r="Z4" i="9"/>
  <c r="Y29" i="12" s="1"/>
  <c r="Y4" i="9"/>
  <c r="X29" i="12" s="1"/>
  <c r="R4" i="9"/>
  <c r="Q29" i="12" s="1"/>
  <c r="Q4" i="9"/>
  <c r="P29" i="12" s="1"/>
  <c r="P4" i="9"/>
  <c r="O29" i="12" s="1"/>
  <c r="O4" i="9"/>
  <c r="N29" i="12" s="1"/>
  <c r="N4" i="9"/>
  <c r="M29" i="12" s="1"/>
  <c r="M4" i="9"/>
  <c r="L29" i="12" s="1"/>
  <c r="L4" i="9"/>
  <c r="K29" i="12" s="1"/>
  <c r="K4" i="9"/>
  <c r="J29" i="12" s="1"/>
  <c r="H58" i="8"/>
  <c r="H56" i="8"/>
  <c r="H84" i="9" s="1"/>
  <c r="H97" i="9" s="1"/>
  <c r="H104" i="9" s="1"/>
  <c r="H113" i="9" s="1"/>
  <c r="D56" i="8"/>
  <c r="D84" i="9" s="1"/>
  <c r="D97" i="9" s="1"/>
  <c r="D104" i="9" s="1"/>
  <c r="D113" i="9" s="1"/>
  <c r="C56" i="8"/>
  <c r="C84" i="9" s="1"/>
  <c r="C97" i="9" s="1"/>
  <c r="C104" i="9" s="1"/>
  <c r="C113" i="9" s="1"/>
  <c r="B56" i="8"/>
  <c r="B84" i="9" s="1"/>
  <c r="B97" i="9" s="1"/>
  <c r="B104" i="9" s="1"/>
  <c r="B113" i="9" s="1"/>
  <c r="C48" i="8"/>
  <c r="A46" i="8"/>
  <c r="F41" i="8"/>
  <c r="E41" i="8"/>
  <c r="H35" i="8"/>
  <c r="F28" i="8"/>
  <c r="E28" i="8"/>
  <c r="H24" i="8"/>
  <c r="G24" i="8"/>
  <c r="D22" i="8"/>
  <c r="E16" i="8"/>
  <c r="H15" i="8"/>
  <c r="E15" i="8"/>
  <c r="E35" i="8" s="1"/>
  <c r="D15" i="8"/>
  <c r="D35" i="8" s="1"/>
  <c r="H9" i="8"/>
  <c r="G9" i="8"/>
  <c r="F9" i="8"/>
  <c r="E9" i="8"/>
  <c r="D9" i="8"/>
  <c r="C9" i="8"/>
  <c r="B9" i="8"/>
  <c r="H8" i="8"/>
  <c r="G8" i="8"/>
  <c r="F8" i="8"/>
  <c r="E8" i="8"/>
  <c r="D8" i="8"/>
  <c r="C8" i="8"/>
  <c r="B8" i="8"/>
  <c r="H6" i="8"/>
  <c r="G6" i="8"/>
  <c r="F6" i="8"/>
  <c r="F48" i="8" s="1"/>
  <c r="E6" i="8"/>
  <c r="E48" i="8" s="1"/>
  <c r="D6" i="8"/>
  <c r="C6" i="8"/>
  <c r="C41" i="8" s="1"/>
  <c r="B6" i="8"/>
  <c r="B41" i="8" s="1"/>
  <c r="H3" i="8"/>
  <c r="G3" i="8"/>
  <c r="G15" i="8" s="1"/>
  <c r="G35" i="8" s="1"/>
  <c r="F3" i="8"/>
  <c r="F15" i="8" s="1"/>
  <c r="F35" i="8" s="1"/>
  <c r="E3" i="8"/>
  <c r="E56" i="8" s="1"/>
  <c r="E84" i="9" s="1"/>
  <c r="E97" i="9" s="1"/>
  <c r="E104" i="9" s="1"/>
  <c r="E113" i="9" s="1"/>
  <c r="D3" i="8"/>
  <c r="C3" i="8"/>
  <c r="C15" i="8" s="1"/>
  <c r="C35" i="8" s="1"/>
  <c r="B3" i="8"/>
  <c r="B15" i="8" s="1"/>
  <c r="B35" i="8" s="1"/>
  <c r="E50" i="6"/>
  <c r="I49" i="6"/>
  <c r="H49" i="6"/>
  <c r="G49" i="6"/>
  <c r="F49" i="6"/>
  <c r="E49" i="6"/>
  <c r="D49" i="6"/>
  <c r="C49" i="6"/>
  <c r="I48" i="6"/>
  <c r="H48" i="6"/>
  <c r="G48" i="6"/>
  <c r="F48" i="6"/>
  <c r="F50" i="6" s="1"/>
  <c r="E48" i="6"/>
  <c r="D48" i="6"/>
  <c r="C48" i="6"/>
  <c r="I47" i="6"/>
  <c r="H47" i="6"/>
  <c r="G47" i="6"/>
  <c r="F47" i="6"/>
  <c r="E47" i="6"/>
  <c r="D47" i="6"/>
  <c r="C47" i="6"/>
  <c r="I46" i="6"/>
  <c r="H28" i="8" s="1"/>
  <c r="H46" i="6"/>
  <c r="G46" i="6"/>
  <c r="F46" i="6"/>
  <c r="Q61" i="9" s="1"/>
  <c r="E46" i="6"/>
  <c r="D46" i="6"/>
  <c r="G61" i="9" s="1"/>
  <c r="C46" i="6"/>
  <c r="B61" i="9" s="1"/>
  <c r="I45" i="6"/>
  <c r="I50" i="6" s="1"/>
  <c r="H45" i="6"/>
  <c r="H50" i="6" s="1"/>
  <c r="G45" i="6"/>
  <c r="F24" i="8" s="1"/>
  <c r="F45" i="6"/>
  <c r="E24" i="8" s="1"/>
  <c r="E45" i="6"/>
  <c r="D24" i="8" s="1"/>
  <c r="D45" i="6"/>
  <c r="C24" i="8" s="1"/>
  <c r="C45" i="6"/>
  <c r="C50" i="6" s="1"/>
  <c r="E43" i="6"/>
  <c r="I42" i="6"/>
  <c r="H42" i="6"/>
  <c r="G42" i="6"/>
  <c r="F42" i="6"/>
  <c r="E42" i="6"/>
  <c r="D42" i="6"/>
  <c r="C42" i="6"/>
  <c r="I41" i="6"/>
  <c r="H41" i="6"/>
  <c r="G41" i="6"/>
  <c r="F41" i="6"/>
  <c r="F43" i="6" s="1"/>
  <c r="E41" i="6"/>
  <c r="D41" i="6"/>
  <c r="C41" i="6"/>
  <c r="I40" i="6"/>
  <c r="H40" i="6"/>
  <c r="G40" i="6"/>
  <c r="F40" i="6"/>
  <c r="E40" i="6"/>
  <c r="D40" i="6"/>
  <c r="C40" i="6"/>
  <c r="I39" i="6"/>
  <c r="H22" i="8" s="1"/>
  <c r="H39" i="6"/>
  <c r="G39" i="6"/>
  <c r="F39" i="6"/>
  <c r="Q60" i="9" s="1"/>
  <c r="E39" i="6"/>
  <c r="D39" i="6"/>
  <c r="C39" i="6"/>
  <c r="B60" i="9" s="1"/>
  <c r="I36" i="6"/>
  <c r="H36" i="6"/>
  <c r="G36" i="6"/>
  <c r="F36" i="6"/>
  <c r="E36" i="6"/>
  <c r="D36" i="6"/>
  <c r="C36" i="6"/>
  <c r="I35" i="6"/>
  <c r="H35" i="6"/>
  <c r="G35" i="6"/>
  <c r="F35" i="6"/>
  <c r="E35" i="6"/>
  <c r="D35" i="6"/>
  <c r="C35" i="6"/>
  <c r="I34" i="6"/>
  <c r="H34" i="6"/>
  <c r="G34" i="6"/>
  <c r="F34" i="6"/>
  <c r="E34" i="6"/>
  <c r="D34" i="6"/>
  <c r="C34" i="6"/>
  <c r="I33" i="6"/>
  <c r="H33" i="6"/>
  <c r="G33" i="6"/>
  <c r="G37" i="6" s="1"/>
  <c r="F33" i="6"/>
  <c r="E33" i="6"/>
  <c r="D33" i="6"/>
  <c r="C33" i="6"/>
  <c r="I32" i="6"/>
  <c r="I37" i="6" s="1"/>
  <c r="H32" i="6"/>
  <c r="G32" i="6"/>
  <c r="F32" i="6"/>
  <c r="E32" i="6"/>
  <c r="D32" i="6"/>
  <c r="C32" i="6"/>
  <c r="I31" i="6"/>
  <c r="H16" i="8" s="1"/>
  <c r="H31" i="6"/>
  <c r="H37" i="6" s="1"/>
  <c r="G31" i="6"/>
  <c r="F16" i="8" s="1"/>
  <c r="F31" i="6"/>
  <c r="F37" i="6" s="1"/>
  <c r="E31" i="6"/>
  <c r="E37" i="6" s="1"/>
  <c r="D31" i="6"/>
  <c r="D37" i="6" s="1"/>
  <c r="C31" i="6"/>
  <c r="B16" i="8" s="1"/>
  <c r="I29" i="6"/>
  <c r="H29" i="6"/>
  <c r="G29" i="6"/>
  <c r="F29" i="6"/>
  <c r="E29" i="6"/>
  <c r="D29" i="6"/>
  <c r="C29" i="6"/>
  <c r="B29" i="6"/>
  <c r="A29" i="6"/>
  <c r="I28" i="6"/>
  <c r="H28" i="6"/>
  <c r="G28" i="6"/>
  <c r="F28" i="6"/>
  <c r="E28" i="6"/>
  <c r="D28" i="6"/>
  <c r="C28" i="6"/>
  <c r="I24" i="6"/>
  <c r="H24" i="6"/>
  <c r="G24" i="6"/>
  <c r="F24" i="6"/>
  <c r="E24" i="6"/>
  <c r="D24" i="6"/>
  <c r="C24" i="6"/>
  <c r="I23" i="6"/>
  <c r="H23" i="6"/>
  <c r="G23" i="6"/>
  <c r="F23" i="6"/>
  <c r="E23" i="6"/>
  <c r="D23" i="6"/>
  <c r="C23" i="6"/>
  <c r="I22" i="6"/>
  <c r="H10" i="8" s="1"/>
  <c r="H22" i="6"/>
  <c r="G10" i="8" s="1"/>
  <c r="G22" i="6"/>
  <c r="F10" i="8" s="1"/>
  <c r="F22" i="6"/>
  <c r="E10" i="8" s="1"/>
  <c r="E22" i="6"/>
  <c r="D10" i="8" s="1"/>
  <c r="D22" i="6"/>
  <c r="C10" i="8" s="1"/>
  <c r="C22" i="6"/>
  <c r="B10" i="8" s="1"/>
  <c r="I21" i="6"/>
  <c r="H21" i="6"/>
  <c r="I20" i="6"/>
  <c r="H20" i="6"/>
  <c r="G20" i="6"/>
  <c r="F20" i="6"/>
  <c r="E20" i="6"/>
  <c r="D20" i="6"/>
  <c r="C20" i="6"/>
  <c r="I18" i="6"/>
  <c r="H18" i="6"/>
  <c r="G18" i="6"/>
  <c r="F18" i="6"/>
  <c r="E18" i="6"/>
  <c r="D18" i="6"/>
  <c r="C18" i="6"/>
  <c r="I17" i="6"/>
  <c r="H108" i="9" s="1"/>
  <c r="H17" i="6"/>
  <c r="G17" i="6"/>
  <c r="F108" i="9" s="1"/>
  <c r="F17" i="6"/>
  <c r="E108" i="9" s="1"/>
  <c r="E17" i="6"/>
  <c r="D17" i="6"/>
  <c r="C17" i="6"/>
  <c r="I14" i="6"/>
  <c r="H14" i="6"/>
  <c r="G14" i="6"/>
  <c r="F14" i="6"/>
  <c r="E14" i="6"/>
  <c r="D14" i="6"/>
  <c r="C14" i="6"/>
  <c r="I13" i="6"/>
  <c r="H13" i="6"/>
  <c r="G13" i="6"/>
  <c r="F13" i="6"/>
  <c r="E13" i="6"/>
  <c r="D13" i="6"/>
  <c r="C13" i="6"/>
  <c r="I12" i="6"/>
  <c r="H12" i="6"/>
  <c r="G12" i="6"/>
  <c r="F12" i="6"/>
  <c r="E12" i="6"/>
  <c r="D12" i="6"/>
  <c r="C12" i="6"/>
  <c r="I11" i="6"/>
  <c r="H11" i="6"/>
  <c r="G11" i="6"/>
  <c r="F11" i="6"/>
  <c r="E11" i="6"/>
  <c r="D11" i="6"/>
  <c r="D15" i="6" s="1"/>
  <c r="C11" i="6"/>
  <c r="I10" i="6"/>
  <c r="H10" i="6"/>
  <c r="G10" i="6"/>
  <c r="F10" i="6"/>
  <c r="E10" i="6"/>
  <c r="D10" i="6"/>
  <c r="C10" i="6"/>
  <c r="I9" i="6"/>
  <c r="H9" i="6"/>
  <c r="G9" i="6"/>
  <c r="G15" i="6" s="1"/>
  <c r="F9" i="6"/>
  <c r="F15" i="6" s="1"/>
  <c r="E9" i="6"/>
  <c r="D9" i="6"/>
  <c r="C9" i="6"/>
  <c r="I8" i="6"/>
  <c r="I15" i="6" s="1"/>
  <c r="H8" i="6"/>
  <c r="H15" i="6" s="1"/>
  <c r="G8" i="6"/>
  <c r="F8" i="6"/>
  <c r="E8" i="6"/>
  <c r="E15" i="6" s="1"/>
  <c r="D8" i="6"/>
  <c r="C8" i="6"/>
  <c r="C15" i="6" s="1"/>
  <c r="B3" i="6"/>
  <c r="A2" i="6"/>
  <c r="H270" i="5"/>
  <c r="H265" i="5" s="1"/>
  <c r="G270" i="5"/>
  <c r="G265" i="5" s="1"/>
  <c r="F270" i="5"/>
  <c r="E270" i="5"/>
  <c r="D270" i="5"/>
  <c r="D256" i="5" s="1"/>
  <c r="E227" i="5" s="1"/>
  <c r="C270" i="5"/>
  <c r="C256" i="5" s="1"/>
  <c r="D227" i="5" s="1"/>
  <c r="B270" i="5"/>
  <c r="B256" i="5" s="1"/>
  <c r="C227" i="5" s="1"/>
  <c r="H267" i="5"/>
  <c r="G267" i="5"/>
  <c r="F267" i="5"/>
  <c r="E267" i="5"/>
  <c r="D267" i="5"/>
  <c r="C267" i="5"/>
  <c r="B267" i="5"/>
  <c r="F265" i="5"/>
  <c r="E265" i="5"/>
  <c r="H256" i="5"/>
  <c r="I227" i="5" s="1"/>
  <c r="G256" i="5"/>
  <c r="H227" i="5" s="1"/>
  <c r="F256" i="5"/>
  <c r="G227" i="5" s="1"/>
  <c r="E256" i="5"/>
  <c r="I247" i="5"/>
  <c r="H247" i="5"/>
  <c r="G247" i="5"/>
  <c r="F247" i="5"/>
  <c r="E247" i="5"/>
  <c r="D247" i="5"/>
  <c r="C247" i="5"/>
  <c r="I242" i="5"/>
  <c r="H242" i="5"/>
  <c r="G242" i="5"/>
  <c r="F242" i="5"/>
  <c r="E242" i="5"/>
  <c r="D242" i="5"/>
  <c r="C242" i="5"/>
  <c r="I241" i="5"/>
  <c r="H241" i="5"/>
  <c r="G241" i="5"/>
  <c r="F241" i="5"/>
  <c r="E241" i="5"/>
  <c r="D241" i="5"/>
  <c r="C241" i="5"/>
  <c r="I239" i="5"/>
  <c r="E239" i="5"/>
  <c r="C239" i="5"/>
  <c r="I238" i="5"/>
  <c r="H238" i="5"/>
  <c r="H239" i="5" s="1"/>
  <c r="G238" i="5"/>
  <c r="G239" i="5" s="1"/>
  <c r="F238" i="5"/>
  <c r="F239" i="5" s="1"/>
  <c r="E238" i="5"/>
  <c r="D238" i="5"/>
  <c r="D239" i="5" s="1"/>
  <c r="C238" i="5"/>
  <c r="F227" i="5"/>
  <c r="B223" i="5"/>
  <c r="H223" i="5" s="1"/>
  <c r="H218" i="5"/>
  <c r="B218" i="5"/>
  <c r="B217" i="5"/>
  <c r="H217" i="5" s="1"/>
  <c r="G216" i="5"/>
  <c r="G224" i="5" s="1"/>
  <c r="F216" i="5"/>
  <c r="F224" i="5" s="1"/>
  <c r="E216" i="5"/>
  <c r="E224" i="5" s="1"/>
  <c r="D216" i="5"/>
  <c r="D224" i="5" s="1"/>
  <c r="C216" i="5"/>
  <c r="B213" i="5"/>
  <c r="H213" i="5" s="1"/>
  <c r="H212" i="5"/>
  <c r="B212" i="5"/>
  <c r="B211" i="5"/>
  <c r="H211" i="5" s="1"/>
  <c r="G208" i="5"/>
  <c r="F208" i="5"/>
  <c r="E208" i="5"/>
  <c r="D208" i="5"/>
  <c r="C208" i="5"/>
  <c r="C224" i="5" s="1"/>
  <c r="B204" i="5"/>
  <c r="G203" i="5"/>
  <c r="F203" i="5"/>
  <c r="E203" i="5"/>
  <c r="H203" i="5" s="1"/>
  <c r="H202" i="5"/>
  <c r="H201" i="5"/>
  <c r="B222" i="5" s="1"/>
  <c r="H222" i="5" s="1"/>
  <c r="H200" i="5"/>
  <c r="B221" i="5" s="1"/>
  <c r="H221" i="5" s="1"/>
  <c r="H199" i="5"/>
  <c r="B220" i="5" s="1"/>
  <c r="H220" i="5" s="1"/>
  <c r="H198" i="5"/>
  <c r="B219" i="5" s="1"/>
  <c r="H219" i="5" s="1"/>
  <c r="H197" i="5"/>
  <c r="H196" i="5"/>
  <c r="I195" i="5"/>
  <c r="H195" i="5"/>
  <c r="J195" i="5" s="1"/>
  <c r="G195" i="5"/>
  <c r="F195" i="5"/>
  <c r="E195" i="5"/>
  <c r="D195" i="5"/>
  <c r="D203" i="5" s="1"/>
  <c r="H194" i="5"/>
  <c r="B215" i="5" s="1"/>
  <c r="H215" i="5" s="1"/>
  <c r="H193" i="5"/>
  <c r="B214" i="5" s="1"/>
  <c r="H214" i="5" s="1"/>
  <c r="H192" i="5"/>
  <c r="H191" i="5"/>
  <c r="H190" i="5"/>
  <c r="H189" i="5"/>
  <c r="B210" i="5" s="1"/>
  <c r="H210" i="5" s="1"/>
  <c r="H188" i="5"/>
  <c r="B209" i="5" s="1"/>
  <c r="H209" i="5" s="1"/>
  <c r="H187" i="5"/>
  <c r="B208" i="5" s="1"/>
  <c r="H208" i="5" s="1"/>
  <c r="G187" i="5"/>
  <c r="F187" i="5"/>
  <c r="E187" i="5"/>
  <c r="D187" i="5"/>
  <c r="H177" i="5"/>
  <c r="G177" i="5"/>
  <c r="F177" i="5"/>
  <c r="E177" i="5"/>
  <c r="D177" i="5"/>
  <c r="C177" i="5"/>
  <c r="G172" i="5"/>
  <c r="F172" i="5"/>
  <c r="C171" i="5"/>
  <c r="B169" i="5"/>
  <c r="J169" i="5" s="1"/>
  <c r="C168" i="5"/>
  <c r="I167" i="5"/>
  <c r="G167" i="5"/>
  <c r="F167" i="5"/>
  <c r="E167" i="5"/>
  <c r="D167" i="5"/>
  <c r="D172" i="5" s="1"/>
  <c r="C167" i="5"/>
  <c r="H167" i="5" s="1"/>
  <c r="H172" i="5" s="1"/>
  <c r="C166" i="5"/>
  <c r="C165" i="5"/>
  <c r="B165" i="5"/>
  <c r="J165" i="5" s="1"/>
  <c r="C164" i="5"/>
  <c r="B164" i="5"/>
  <c r="J164" i="5" s="1"/>
  <c r="C163" i="5"/>
  <c r="K162" i="5"/>
  <c r="K172" i="5" s="1"/>
  <c r="H162" i="5"/>
  <c r="G162" i="5"/>
  <c r="F162" i="5"/>
  <c r="E162" i="5"/>
  <c r="E172" i="5" s="1"/>
  <c r="D162" i="5"/>
  <c r="C162" i="5"/>
  <c r="H157" i="5"/>
  <c r="C157" i="5"/>
  <c r="J156" i="5"/>
  <c r="B171" i="5" s="1"/>
  <c r="J171" i="5" s="1"/>
  <c r="J155" i="5"/>
  <c r="B170" i="5" s="1"/>
  <c r="J170" i="5" s="1"/>
  <c r="J154" i="5"/>
  <c r="J153" i="5"/>
  <c r="B168" i="5" s="1"/>
  <c r="J168" i="5" s="1"/>
  <c r="K152" i="5"/>
  <c r="I152" i="5"/>
  <c r="H152" i="5"/>
  <c r="G152" i="5"/>
  <c r="F152" i="5"/>
  <c r="E152" i="5"/>
  <c r="D152" i="5"/>
  <c r="J152" i="5" s="1"/>
  <c r="C152" i="5"/>
  <c r="J151" i="5"/>
  <c r="B166" i="5" s="1"/>
  <c r="J166" i="5" s="1"/>
  <c r="J150" i="5"/>
  <c r="J149" i="5"/>
  <c r="J148" i="5"/>
  <c r="B163" i="5" s="1"/>
  <c r="J163" i="5" s="1"/>
  <c r="K147" i="5"/>
  <c r="K157" i="5" s="1"/>
  <c r="C172" i="5" s="1"/>
  <c r="I147" i="5"/>
  <c r="I157" i="5" s="1"/>
  <c r="H147" i="5"/>
  <c r="G147" i="5"/>
  <c r="G157" i="5" s="1"/>
  <c r="F147" i="5"/>
  <c r="F157" i="5" s="1"/>
  <c r="E147" i="5"/>
  <c r="J147" i="5" s="1"/>
  <c r="B162" i="5" s="1"/>
  <c r="I164" i="5" s="1"/>
  <c r="I162" i="5" s="1"/>
  <c r="I172" i="5" s="1"/>
  <c r="D147" i="5"/>
  <c r="D157" i="5" s="1"/>
  <c r="C147" i="5"/>
  <c r="D142" i="5"/>
  <c r="C142" i="5"/>
  <c r="J142" i="5" s="1"/>
  <c r="D141" i="5"/>
  <c r="C141" i="5"/>
  <c r="D140" i="5"/>
  <c r="J139" i="5"/>
  <c r="D139" i="5"/>
  <c r="C139" i="5"/>
  <c r="D138" i="5"/>
  <c r="D137" i="5"/>
  <c r="D136" i="5"/>
  <c r="C136" i="5"/>
  <c r="J136" i="5" s="1"/>
  <c r="I135" i="5"/>
  <c r="H135" i="5"/>
  <c r="G135" i="5"/>
  <c r="F135" i="5"/>
  <c r="E135" i="5"/>
  <c r="D135" i="5"/>
  <c r="J130" i="5"/>
  <c r="J129" i="5"/>
  <c r="I128" i="5"/>
  <c r="I123" i="5" s="1"/>
  <c r="J126" i="5"/>
  <c r="C138" i="5" s="1"/>
  <c r="J138" i="5" s="1"/>
  <c r="J125" i="5"/>
  <c r="C137" i="5" s="1"/>
  <c r="J137" i="5" s="1"/>
  <c r="J124" i="5"/>
  <c r="L123" i="5"/>
  <c r="H123" i="5"/>
  <c r="G123" i="5"/>
  <c r="F123" i="5"/>
  <c r="E123" i="5"/>
  <c r="D123" i="5"/>
  <c r="E117" i="5"/>
  <c r="C115" i="5"/>
  <c r="L115" i="5" s="1"/>
  <c r="B115" i="5"/>
  <c r="C114" i="5"/>
  <c r="L114" i="5" s="1"/>
  <c r="J111" i="5"/>
  <c r="J117" i="5" s="1"/>
  <c r="I111" i="5"/>
  <c r="I117" i="5" s="1"/>
  <c r="H111" i="5"/>
  <c r="H117" i="5" s="1"/>
  <c r="G111" i="5"/>
  <c r="G117" i="5" s="1"/>
  <c r="F111" i="5"/>
  <c r="F117" i="5" s="1"/>
  <c r="E111" i="5"/>
  <c r="D111" i="5"/>
  <c r="K110" i="5"/>
  <c r="B110" i="5"/>
  <c r="C109" i="5"/>
  <c r="L109" i="5" s="1"/>
  <c r="K107" i="5"/>
  <c r="C107" i="5"/>
  <c r="L107" i="5" s="1"/>
  <c r="B107" i="5"/>
  <c r="J104" i="5"/>
  <c r="I104" i="5"/>
  <c r="H104" i="5"/>
  <c r="G104" i="5"/>
  <c r="F104" i="5"/>
  <c r="E104" i="5"/>
  <c r="D104" i="5"/>
  <c r="J102" i="5"/>
  <c r="I102" i="5"/>
  <c r="H102" i="5"/>
  <c r="G102" i="5"/>
  <c r="F102" i="5"/>
  <c r="E102" i="5"/>
  <c r="D102" i="5"/>
  <c r="D117" i="5" s="1"/>
  <c r="I97" i="5"/>
  <c r="H97" i="5"/>
  <c r="L96" i="5"/>
  <c r="C116" i="5" s="1"/>
  <c r="L116" i="5" s="1"/>
  <c r="K96" i="5"/>
  <c r="B116" i="5" s="1"/>
  <c r="K116" i="5" s="1"/>
  <c r="L95" i="5"/>
  <c r="K95" i="5"/>
  <c r="L94" i="5"/>
  <c r="K94" i="5"/>
  <c r="B114" i="5" s="1"/>
  <c r="L93" i="5"/>
  <c r="C113" i="5" s="1"/>
  <c r="L113" i="5" s="1"/>
  <c r="K93" i="5"/>
  <c r="B113" i="5" s="1"/>
  <c r="L92" i="5"/>
  <c r="C112" i="5" s="1"/>
  <c r="L112" i="5" s="1"/>
  <c r="K92" i="5"/>
  <c r="B112" i="5" s="1"/>
  <c r="K112" i="5" s="1"/>
  <c r="M91" i="5"/>
  <c r="L91" i="5"/>
  <c r="C111" i="5" s="1"/>
  <c r="L111" i="5" s="1"/>
  <c r="J91" i="5"/>
  <c r="I91" i="5"/>
  <c r="H91" i="5"/>
  <c r="G91" i="5"/>
  <c r="G97" i="5" s="1"/>
  <c r="F91" i="5"/>
  <c r="F97" i="5" s="1"/>
  <c r="E91" i="5"/>
  <c r="E97" i="5" s="1"/>
  <c r="D91" i="5"/>
  <c r="L90" i="5"/>
  <c r="C110" i="5" s="1"/>
  <c r="L110" i="5" s="1"/>
  <c r="K90" i="5"/>
  <c r="L89" i="5"/>
  <c r="K89" i="5"/>
  <c r="B109" i="5" s="1"/>
  <c r="K109" i="5" s="1"/>
  <c r="L88" i="5"/>
  <c r="C108" i="5" s="1"/>
  <c r="L108" i="5" s="1"/>
  <c r="K88" i="5"/>
  <c r="B108" i="5" s="1"/>
  <c r="L87" i="5"/>
  <c r="K87" i="5"/>
  <c r="L86" i="5"/>
  <c r="C106" i="5" s="1"/>
  <c r="L106" i="5" s="1"/>
  <c r="K86" i="5"/>
  <c r="B106" i="5" s="1"/>
  <c r="K106" i="5" s="1"/>
  <c r="L85" i="5"/>
  <c r="C105" i="5" s="1"/>
  <c r="K85" i="5"/>
  <c r="B105" i="5" s="1"/>
  <c r="J84" i="5"/>
  <c r="I84" i="5"/>
  <c r="H84" i="5"/>
  <c r="G84" i="5"/>
  <c r="F84" i="5"/>
  <c r="E84" i="5"/>
  <c r="D84" i="5"/>
  <c r="L83" i="5"/>
  <c r="C103" i="5" s="1"/>
  <c r="L103" i="5" s="1"/>
  <c r="K83" i="5"/>
  <c r="B103" i="5" s="1"/>
  <c r="K103" i="5" s="1"/>
  <c r="M82" i="5"/>
  <c r="J82" i="5"/>
  <c r="J97" i="5" s="1"/>
  <c r="I82" i="5"/>
  <c r="H82" i="5"/>
  <c r="L82" i="5" s="1"/>
  <c r="C102" i="5" s="1"/>
  <c r="L102" i="5" s="1"/>
  <c r="G82" i="5"/>
  <c r="F82" i="5"/>
  <c r="E82" i="5"/>
  <c r="D82" i="5"/>
  <c r="D97" i="5" s="1"/>
  <c r="C69" i="5"/>
  <c r="B69" i="5"/>
  <c r="K68" i="5"/>
  <c r="J68" i="5"/>
  <c r="C68" i="5"/>
  <c r="B68" i="5"/>
  <c r="J67" i="5"/>
  <c r="C67" i="5"/>
  <c r="K67" i="5" s="1"/>
  <c r="B67" i="5"/>
  <c r="K65" i="5"/>
  <c r="C65" i="5"/>
  <c r="K62" i="5"/>
  <c r="J62" i="5"/>
  <c r="C62" i="5"/>
  <c r="B62" i="5"/>
  <c r="J61" i="5"/>
  <c r="C61" i="5"/>
  <c r="K61" i="5" s="1"/>
  <c r="B61" i="5"/>
  <c r="K59" i="5"/>
  <c r="C59" i="5"/>
  <c r="I57" i="5"/>
  <c r="H57" i="5"/>
  <c r="G57" i="5"/>
  <c r="F57" i="5"/>
  <c r="E57" i="5"/>
  <c r="D57" i="5"/>
  <c r="K51" i="5"/>
  <c r="C70" i="5" s="1"/>
  <c r="K70" i="5" s="1"/>
  <c r="J51" i="5"/>
  <c r="B70" i="5" s="1"/>
  <c r="K49" i="5"/>
  <c r="J49" i="5"/>
  <c r="K48" i="5"/>
  <c r="J48" i="5"/>
  <c r="K47" i="5"/>
  <c r="C66" i="5" s="1"/>
  <c r="K66" i="5" s="1"/>
  <c r="J47" i="5"/>
  <c r="B66" i="5" s="1"/>
  <c r="J66" i="5" s="1"/>
  <c r="K46" i="5"/>
  <c r="J46" i="5"/>
  <c r="B65" i="5" s="1"/>
  <c r="J65" i="5" s="1"/>
  <c r="K45" i="5"/>
  <c r="C64" i="5" s="1"/>
  <c r="K64" i="5" s="1"/>
  <c r="J45" i="5"/>
  <c r="B64" i="5" s="1"/>
  <c r="J64" i="5" s="1"/>
  <c r="K44" i="5"/>
  <c r="C63" i="5" s="1"/>
  <c r="K63" i="5" s="1"/>
  <c r="J44" i="5"/>
  <c r="B63" i="5" s="1"/>
  <c r="J63" i="5" s="1"/>
  <c r="K43" i="5"/>
  <c r="J43" i="5"/>
  <c r="K42" i="5"/>
  <c r="J42" i="5"/>
  <c r="K41" i="5"/>
  <c r="C60" i="5" s="1"/>
  <c r="K60" i="5" s="1"/>
  <c r="J41" i="5"/>
  <c r="B60" i="5" s="1"/>
  <c r="J60" i="5" s="1"/>
  <c r="K40" i="5"/>
  <c r="J40" i="5"/>
  <c r="B59" i="5" s="1"/>
  <c r="J59" i="5" s="1"/>
  <c r="K39" i="5"/>
  <c r="K38" i="5" s="1"/>
  <c r="C57" i="5" s="1"/>
  <c r="J39" i="5"/>
  <c r="J38" i="5" s="1"/>
  <c r="I38" i="5"/>
  <c r="H38" i="5"/>
  <c r="G38" i="5"/>
  <c r="F38" i="5"/>
  <c r="E38" i="5"/>
  <c r="D38" i="5"/>
  <c r="C38" i="5"/>
  <c r="B38" i="5"/>
  <c r="L38" i="5" s="1"/>
  <c r="B28" i="5"/>
  <c r="C27" i="5"/>
  <c r="B27" i="5"/>
  <c r="C26" i="5"/>
  <c r="B26" i="5"/>
  <c r="C25" i="5"/>
  <c r="B25" i="5"/>
  <c r="C24" i="5"/>
  <c r="B24" i="5"/>
  <c r="H23" i="5"/>
  <c r="G23" i="5"/>
  <c r="F23" i="5"/>
  <c r="E23" i="5"/>
  <c r="D23" i="5"/>
  <c r="I10" i="5"/>
  <c r="B23" i="5" s="1"/>
  <c r="I23" i="5" s="1"/>
  <c r="K23" i="5" s="1"/>
  <c r="H10" i="5"/>
  <c r="G10" i="5"/>
  <c r="F10" i="5"/>
  <c r="E10" i="5"/>
  <c r="D10" i="5"/>
  <c r="C10" i="5"/>
  <c r="J10" i="5" s="1"/>
  <c r="C23" i="5" s="1"/>
  <c r="J23" i="5" s="1"/>
  <c r="B10" i="5"/>
  <c r="K10" i="5" s="1"/>
  <c r="A3" i="5"/>
  <c r="G53" i="4"/>
  <c r="F53" i="4"/>
  <c r="I47" i="4"/>
  <c r="H47" i="4"/>
  <c r="G47" i="4"/>
  <c r="F47" i="4"/>
  <c r="E47" i="4"/>
  <c r="D47" i="4"/>
  <c r="C47" i="4"/>
  <c r="I39" i="4"/>
  <c r="I53" i="4" s="1"/>
  <c r="H39" i="4"/>
  <c r="H53" i="4" s="1"/>
  <c r="G39" i="4"/>
  <c r="F39" i="4"/>
  <c r="E39" i="4"/>
  <c r="E53" i="4" s="1"/>
  <c r="D39" i="4"/>
  <c r="D53" i="4" s="1"/>
  <c r="C39" i="4"/>
  <c r="C53" i="4" s="1"/>
  <c r="I37" i="4"/>
  <c r="D37" i="4"/>
  <c r="C37" i="4"/>
  <c r="I29" i="4"/>
  <c r="H29" i="4"/>
  <c r="H37" i="4" s="1"/>
  <c r="G29" i="4"/>
  <c r="G37" i="4" s="1"/>
  <c r="G54" i="4" s="1"/>
  <c r="F29" i="4"/>
  <c r="E29" i="4"/>
  <c r="D29" i="4"/>
  <c r="C29" i="4"/>
  <c r="I22" i="4"/>
  <c r="H22" i="4"/>
  <c r="G22" i="4"/>
  <c r="F22" i="4"/>
  <c r="F37" i="4" s="1"/>
  <c r="F54" i="4" s="1"/>
  <c r="E22" i="4"/>
  <c r="E37" i="4" s="1"/>
  <c r="D22" i="4"/>
  <c r="C22" i="4"/>
  <c r="H20" i="4"/>
  <c r="G20" i="4"/>
  <c r="F20" i="4"/>
  <c r="I13" i="4"/>
  <c r="H13" i="4"/>
  <c r="G13" i="4"/>
  <c r="F13" i="4"/>
  <c r="E13" i="4"/>
  <c r="E20" i="4" s="1"/>
  <c r="D13" i="4"/>
  <c r="D20" i="4" s="1"/>
  <c r="D54" i="4" s="1"/>
  <c r="C13" i="4"/>
  <c r="I7" i="4"/>
  <c r="I20" i="4" s="1"/>
  <c r="I54" i="4" s="1"/>
  <c r="I56" i="4" s="1"/>
  <c r="H7" i="4"/>
  <c r="G7" i="4"/>
  <c r="F7" i="4"/>
  <c r="E7" i="4"/>
  <c r="D7" i="4"/>
  <c r="C7" i="4"/>
  <c r="C20" i="4" s="1"/>
  <c r="I5" i="4"/>
  <c r="H5" i="4"/>
  <c r="G5" i="4"/>
  <c r="F5" i="4"/>
  <c r="E5" i="4"/>
  <c r="D5" i="4"/>
  <c r="C5" i="4"/>
  <c r="B3" i="4"/>
  <c r="A2" i="4"/>
  <c r="C142" i="3"/>
  <c r="J141" i="3"/>
  <c r="I141" i="3"/>
  <c r="H141" i="3"/>
  <c r="G141" i="3"/>
  <c r="F141" i="3"/>
  <c r="E141" i="3"/>
  <c r="D141" i="3"/>
  <c r="C141" i="3"/>
  <c r="H131" i="3"/>
  <c r="H130" i="3"/>
  <c r="H129" i="3"/>
  <c r="H127" i="3"/>
  <c r="H126" i="3"/>
  <c r="H125" i="3"/>
  <c r="G124" i="3"/>
  <c r="D124" i="3"/>
  <c r="C124" i="3"/>
  <c r="H124" i="3" s="1"/>
  <c r="H123" i="3"/>
  <c r="H122" i="3"/>
  <c r="H121" i="3"/>
  <c r="H120" i="3"/>
  <c r="H119" i="3"/>
  <c r="H118" i="3"/>
  <c r="G118" i="3"/>
  <c r="E118" i="3"/>
  <c r="H117" i="3"/>
  <c r="H113" i="3"/>
  <c r="H112" i="3"/>
  <c r="H111" i="3"/>
  <c r="H109" i="3"/>
  <c r="H108" i="3"/>
  <c r="H107" i="3"/>
  <c r="H106" i="3"/>
  <c r="G106" i="3"/>
  <c r="D106" i="3"/>
  <c r="C106" i="3"/>
  <c r="H105" i="3"/>
  <c r="H104" i="3"/>
  <c r="H103" i="3"/>
  <c r="H102" i="3"/>
  <c r="H101" i="3"/>
  <c r="G100" i="3"/>
  <c r="E100" i="3"/>
  <c r="D100" i="3"/>
  <c r="H100" i="3" s="1"/>
  <c r="H99" i="3"/>
  <c r="H95" i="3"/>
  <c r="H94" i="3"/>
  <c r="H93" i="3"/>
  <c r="H91" i="3"/>
  <c r="H90" i="3"/>
  <c r="H89" i="3"/>
  <c r="G88" i="3"/>
  <c r="D88" i="3"/>
  <c r="C88" i="3"/>
  <c r="H88" i="3" s="1"/>
  <c r="H87" i="3"/>
  <c r="H86" i="3"/>
  <c r="H85" i="3"/>
  <c r="H84" i="3"/>
  <c r="H83" i="3"/>
  <c r="H82" i="3"/>
  <c r="G82" i="3"/>
  <c r="E82" i="3"/>
  <c r="H81" i="3"/>
  <c r="H77" i="3"/>
  <c r="H76" i="3"/>
  <c r="H75" i="3"/>
  <c r="H73" i="3"/>
  <c r="H72" i="3"/>
  <c r="H71" i="3"/>
  <c r="G70" i="3"/>
  <c r="D70" i="3"/>
  <c r="C70" i="3"/>
  <c r="H70" i="3" s="1"/>
  <c r="H69" i="3"/>
  <c r="H68" i="3"/>
  <c r="H67" i="3"/>
  <c r="H66" i="3"/>
  <c r="H65" i="3"/>
  <c r="H64" i="3"/>
  <c r="G64" i="3"/>
  <c r="E64" i="3"/>
  <c r="H63" i="3"/>
  <c r="C62" i="3"/>
  <c r="C80" i="3" s="1"/>
  <c r="C98" i="3" s="1"/>
  <c r="C116" i="3" s="1"/>
  <c r="C134" i="3" s="1"/>
  <c r="H59" i="3"/>
  <c r="H58" i="3"/>
  <c r="H57" i="3"/>
  <c r="H55" i="3"/>
  <c r="H54" i="3"/>
  <c r="H53" i="3"/>
  <c r="H52" i="3"/>
  <c r="G52" i="3"/>
  <c r="D52" i="3"/>
  <c r="C52" i="3"/>
  <c r="H51" i="3"/>
  <c r="H50" i="3"/>
  <c r="H49" i="3"/>
  <c r="H48" i="3"/>
  <c r="H47" i="3"/>
  <c r="H46" i="3"/>
  <c r="G46" i="3"/>
  <c r="E46" i="3"/>
  <c r="H45" i="3"/>
  <c r="D44" i="3"/>
  <c r="D62" i="3" s="1"/>
  <c r="D80" i="3" s="1"/>
  <c r="D98" i="3" s="1"/>
  <c r="D116" i="3" s="1"/>
  <c r="D134" i="3" s="1"/>
  <c r="C44" i="3"/>
  <c r="G42" i="3"/>
  <c r="H41" i="3"/>
  <c r="H40" i="3"/>
  <c r="H39" i="3"/>
  <c r="H37" i="3"/>
  <c r="H36" i="3"/>
  <c r="H35" i="3"/>
  <c r="G34" i="3"/>
  <c r="H34" i="3" s="1"/>
  <c r="H33" i="3"/>
  <c r="H32" i="3"/>
  <c r="H31" i="3"/>
  <c r="H30" i="3"/>
  <c r="H29" i="3"/>
  <c r="G28" i="3"/>
  <c r="E28" i="3"/>
  <c r="H28" i="3" s="1"/>
  <c r="H27" i="3"/>
  <c r="F26" i="3"/>
  <c r="F44" i="3" s="1"/>
  <c r="F62" i="3" s="1"/>
  <c r="F80" i="3" s="1"/>
  <c r="F98" i="3" s="1"/>
  <c r="F116" i="3" s="1"/>
  <c r="F134" i="3" s="1"/>
  <c r="D26" i="3"/>
  <c r="C26" i="3"/>
  <c r="G24" i="3"/>
  <c r="H23" i="3"/>
  <c r="H22" i="3"/>
  <c r="H21" i="3"/>
  <c r="H19" i="3"/>
  <c r="H18" i="3"/>
  <c r="H17" i="3"/>
  <c r="G16" i="3"/>
  <c r="E16" i="3"/>
  <c r="H16" i="3" s="1"/>
  <c r="H15" i="3"/>
  <c r="H13" i="3"/>
  <c r="H12" i="3"/>
  <c r="H10" i="3"/>
  <c r="G9" i="3"/>
  <c r="G26" i="3" s="1"/>
  <c r="G44" i="3" s="1"/>
  <c r="G62" i="3" s="1"/>
  <c r="G80" i="3" s="1"/>
  <c r="G98" i="3" s="1"/>
  <c r="G116" i="3" s="1"/>
  <c r="G134" i="3" s="1"/>
  <c r="E9" i="3"/>
  <c r="H9" i="3" s="1"/>
  <c r="H8" i="3"/>
  <c r="H7" i="3"/>
  <c r="H26" i="3" s="1"/>
  <c r="B3" i="3"/>
  <c r="A2" i="3"/>
  <c r="I29" i="2"/>
  <c r="H29" i="2"/>
  <c r="G29" i="2"/>
  <c r="F29" i="2"/>
  <c r="E29" i="2"/>
  <c r="D29" i="2"/>
  <c r="C29" i="2"/>
  <c r="E25" i="2"/>
  <c r="D7" i="8" s="1"/>
  <c r="E19" i="2"/>
  <c r="H12" i="2"/>
  <c r="G12" i="2"/>
  <c r="F29" i="10" s="1"/>
  <c r="F48" i="10" s="1"/>
  <c r="F12" i="2"/>
  <c r="E12" i="2"/>
  <c r="I9" i="2"/>
  <c r="I12" i="2" s="1"/>
  <c r="H9" i="2"/>
  <c r="G9" i="2"/>
  <c r="F9" i="2"/>
  <c r="E9" i="2"/>
  <c r="D9" i="2"/>
  <c r="D12" i="2" s="1"/>
  <c r="C9" i="2"/>
  <c r="B26" i="10" s="1"/>
  <c r="B47" i="10" s="1"/>
  <c r="B3" i="2"/>
  <c r="A2" i="2"/>
  <c r="J50" i="1"/>
  <c r="I50" i="1"/>
  <c r="H50" i="1"/>
  <c r="G50" i="1"/>
  <c r="F50" i="1"/>
  <c r="E50" i="1"/>
  <c r="D50" i="1"/>
  <c r="C50" i="1"/>
  <c r="J43" i="1"/>
  <c r="J56" i="11" s="1"/>
  <c r="I43" i="1"/>
  <c r="I56" i="11" s="1"/>
  <c r="I64" i="11" s="1"/>
  <c r="H43" i="1"/>
  <c r="H56" i="11" s="1"/>
  <c r="H64" i="11" s="1"/>
  <c r="G43" i="1"/>
  <c r="G56" i="11" s="1"/>
  <c r="G64" i="11" s="1"/>
  <c r="F43" i="1"/>
  <c r="F56" i="11" s="1"/>
  <c r="F64" i="11" s="1"/>
  <c r="E43" i="1"/>
  <c r="E56" i="11" s="1"/>
  <c r="D43" i="1"/>
  <c r="D56" i="11" s="1"/>
  <c r="C43" i="1"/>
  <c r="C56" i="11" s="1"/>
  <c r="J37" i="1"/>
  <c r="J12" i="9" s="1"/>
  <c r="I37" i="1"/>
  <c r="I12" i="9" s="1"/>
  <c r="H37" i="1"/>
  <c r="G37" i="1"/>
  <c r="F37" i="1"/>
  <c r="E37" i="1"/>
  <c r="E12" i="9" s="1"/>
  <c r="D37" i="1"/>
  <c r="D12" i="9" s="1"/>
  <c r="C37" i="1"/>
  <c r="C12" i="9" s="1"/>
  <c r="J28" i="1"/>
  <c r="I28" i="1"/>
  <c r="H28" i="1"/>
  <c r="G28" i="1"/>
  <c r="F28" i="1"/>
  <c r="E28" i="1"/>
  <c r="D28" i="1"/>
  <c r="C28" i="1"/>
  <c r="H25" i="1"/>
  <c r="G25" i="1"/>
  <c r="C25" i="1"/>
  <c r="G21" i="1"/>
  <c r="G49" i="11" s="1"/>
  <c r="G65" i="11" s="1"/>
  <c r="F21" i="1"/>
  <c r="F49" i="11" s="1"/>
  <c r="F65" i="11" s="1"/>
  <c r="E21" i="1"/>
  <c r="E49" i="11" s="1"/>
  <c r="D21" i="1"/>
  <c r="D49" i="11" s="1"/>
  <c r="D65" i="11" s="1"/>
  <c r="C21" i="1"/>
  <c r="C49" i="11" s="1"/>
  <c r="J19" i="1"/>
  <c r="J27" i="11" s="1"/>
  <c r="J41" i="11" s="1"/>
  <c r="I19" i="1"/>
  <c r="I27" i="11" s="1"/>
  <c r="I41" i="11" s="1"/>
  <c r="H19" i="1"/>
  <c r="H27" i="11" s="1"/>
  <c r="H41" i="11" s="1"/>
  <c r="G19" i="1"/>
  <c r="G27" i="11" s="1"/>
  <c r="G41" i="11" s="1"/>
  <c r="E19" i="1"/>
  <c r="E27" i="11" s="1"/>
  <c r="E41" i="11" s="1"/>
  <c r="D19" i="1"/>
  <c r="D27" i="11" s="1"/>
  <c r="D41" i="11" s="1"/>
  <c r="C19" i="1"/>
  <c r="C27" i="11" s="1"/>
  <c r="C41" i="11" s="1"/>
  <c r="J15" i="1"/>
  <c r="J6" i="9" s="1"/>
  <c r="I15" i="1"/>
  <c r="I6" i="9" s="1"/>
  <c r="H15" i="1"/>
  <c r="H6" i="9" s="1"/>
  <c r="G15" i="1"/>
  <c r="G6" i="9" s="1"/>
  <c r="F15" i="1"/>
  <c r="E15" i="1"/>
  <c r="D15" i="1"/>
  <c r="C15" i="1"/>
  <c r="G48" i="10"/>
  <c r="G47" i="10"/>
  <c r="H46" i="10"/>
  <c r="G46" i="10"/>
  <c r="F46" i="10"/>
  <c r="E46" i="10"/>
  <c r="D46" i="10"/>
  <c r="C46" i="10"/>
  <c r="B46" i="10"/>
  <c r="D42" i="10"/>
  <c r="D49" i="10" s="1"/>
  <c r="A42" i="10"/>
  <c r="H41" i="10"/>
  <c r="G41" i="10"/>
  <c r="F41" i="10"/>
  <c r="E41" i="10"/>
  <c r="D41" i="10"/>
  <c r="C41" i="10"/>
  <c r="B41" i="10"/>
  <c r="A41" i="10"/>
  <c r="H40" i="10"/>
  <c r="G40" i="10"/>
  <c r="F40" i="10"/>
  <c r="E40" i="10"/>
  <c r="D40" i="10"/>
  <c r="C40" i="10"/>
  <c r="B40" i="10"/>
  <c r="A40" i="10"/>
  <c r="H39" i="10"/>
  <c r="G39" i="10"/>
  <c r="F39" i="10"/>
  <c r="E39" i="10"/>
  <c r="D39" i="10"/>
  <c r="C39" i="10"/>
  <c r="B39" i="10"/>
  <c r="A39" i="10"/>
  <c r="H38" i="10"/>
  <c r="G38" i="10"/>
  <c r="F38" i="10"/>
  <c r="E38" i="10"/>
  <c r="D38" i="10"/>
  <c r="C38" i="10"/>
  <c r="B38" i="10"/>
  <c r="A38" i="10"/>
  <c r="H37" i="10"/>
  <c r="G37" i="10"/>
  <c r="F37" i="10"/>
  <c r="E37" i="10"/>
  <c r="D37" i="10"/>
  <c r="C37" i="10"/>
  <c r="B37" i="10"/>
  <c r="A37" i="10"/>
  <c r="D36" i="10"/>
  <c r="A36" i="10"/>
  <c r="H35" i="10"/>
  <c r="G35" i="10"/>
  <c r="F35" i="10"/>
  <c r="E35" i="10"/>
  <c r="D35" i="10"/>
  <c r="C35" i="10"/>
  <c r="B35" i="10"/>
  <c r="A35" i="10"/>
  <c r="H34" i="10"/>
  <c r="G34" i="10"/>
  <c r="F34" i="10"/>
  <c r="E34" i="10"/>
  <c r="D34" i="10"/>
  <c r="C34" i="10"/>
  <c r="B34" i="10"/>
  <c r="A34" i="10"/>
  <c r="H33" i="10"/>
  <c r="G33" i="10"/>
  <c r="F33" i="10"/>
  <c r="E33" i="10"/>
  <c r="D33" i="10"/>
  <c r="C33" i="10"/>
  <c r="B33" i="10"/>
  <c r="A33" i="10"/>
  <c r="H32" i="10"/>
  <c r="G32" i="10"/>
  <c r="F32" i="10"/>
  <c r="E32" i="10"/>
  <c r="D32" i="10"/>
  <c r="C32" i="10"/>
  <c r="B32" i="10"/>
  <c r="A32" i="10"/>
  <c r="H31" i="10"/>
  <c r="G31" i="10"/>
  <c r="F31" i="10"/>
  <c r="E31" i="10"/>
  <c r="D31" i="10"/>
  <c r="C31" i="10"/>
  <c r="B31" i="10"/>
  <c r="A31" i="10"/>
  <c r="A30" i="10"/>
  <c r="G29" i="10"/>
  <c r="E29" i="10"/>
  <c r="E48" i="10" s="1"/>
  <c r="D29" i="10"/>
  <c r="D48" i="10" s="1"/>
  <c r="A29" i="10"/>
  <c r="H28" i="10"/>
  <c r="G28" i="10"/>
  <c r="F28" i="10"/>
  <c r="E28" i="10"/>
  <c r="D28" i="10"/>
  <c r="C28" i="10"/>
  <c r="B28" i="10"/>
  <c r="A28" i="10"/>
  <c r="H27" i="10"/>
  <c r="G27" i="10"/>
  <c r="F27" i="10"/>
  <c r="E27" i="10"/>
  <c r="D27" i="10"/>
  <c r="C27" i="10"/>
  <c r="B27" i="10"/>
  <c r="A27" i="10"/>
  <c r="H26" i="10"/>
  <c r="H47" i="10" s="1"/>
  <c r="G26" i="10"/>
  <c r="F26" i="10"/>
  <c r="F47" i="10" s="1"/>
  <c r="E26" i="10"/>
  <c r="E47" i="10" s="1"/>
  <c r="D26" i="10"/>
  <c r="D47" i="10" s="1"/>
  <c r="C26" i="10"/>
  <c r="C47" i="10" s="1"/>
  <c r="A26" i="10"/>
  <c r="H25" i="10"/>
  <c r="G25" i="10"/>
  <c r="F25" i="10"/>
  <c r="E25" i="10"/>
  <c r="D25" i="10"/>
  <c r="C25" i="10"/>
  <c r="B25" i="10"/>
  <c r="A25" i="10"/>
  <c r="H24" i="10"/>
  <c r="G24" i="10"/>
  <c r="F24" i="10"/>
  <c r="E24" i="10"/>
  <c r="D24" i="10"/>
  <c r="C24" i="10"/>
  <c r="B24" i="10"/>
  <c r="A24" i="10"/>
  <c r="A23" i="10"/>
  <c r="H22" i="10"/>
  <c r="G22" i="10"/>
  <c r="F22" i="10"/>
  <c r="E22" i="10"/>
  <c r="D22" i="10"/>
  <c r="C22" i="10"/>
  <c r="B22" i="10"/>
  <c r="AA14" i="10"/>
  <c r="Z14" i="10"/>
  <c r="W14" i="10"/>
  <c r="V14" i="10"/>
  <c r="K14" i="10"/>
  <c r="J14" i="10"/>
  <c r="I14" i="10"/>
  <c r="H14" i="10"/>
  <c r="AF14" i="10" s="1"/>
  <c r="G14" i="10"/>
  <c r="AE14" i="10" s="1"/>
  <c r="F14" i="10"/>
  <c r="AD14" i="10" s="1"/>
  <c r="E14" i="10"/>
  <c r="Y14" i="10" s="1"/>
  <c r="D14" i="10"/>
  <c r="X14" i="10" s="1"/>
  <c r="C14" i="10"/>
  <c r="S14" i="10" s="1"/>
  <c r="B14" i="10"/>
  <c r="R14" i="10" s="1"/>
  <c r="AA12" i="10"/>
  <c r="Z12" i="10"/>
  <c r="Y12" i="10"/>
  <c r="X12" i="10"/>
  <c r="V12" i="10"/>
  <c r="N12" i="10"/>
  <c r="M12" i="10"/>
  <c r="L12" i="10"/>
  <c r="H12" i="10"/>
  <c r="G12" i="10"/>
  <c r="AE12" i="10" s="1"/>
  <c r="F12" i="10"/>
  <c r="AD12" i="10" s="1"/>
  <c r="E12" i="10"/>
  <c r="D12" i="10"/>
  <c r="W12" i="10" s="1"/>
  <c r="C12" i="10"/>
  <c r="J12" i="10" s="1"/>
  <c r="B12" i="10"/>
  <c r="I12" i="10" s="1"/>
  <c r="R10" i="10"/>
  <c r="Q10" i="10"/>
  <c r="P10" i="10"/>
  <c r="H10" i="10"/>
  <c r="G10" i="10"/>
  <c r="N10" i="10" s="1"/>
  <c r="F10" i="10"/>
  <c r="M10" i="10" s="1"/>
  <c r="E10" i="10"/>
  <c r="AA10" i="10" s="1"/>
  <c r="D10" i="10"/>
  <c r="W10" i="10" s="1"/>
  <c r="C10" i="10"/>
  <c r="T10" i="10" s="1"/>
  <c r="B10" i="10"/>
  <c r="I10" i="10" s="1"/>
  <c r="AA9" i="10"/>
  <c r="Z9" i="10"/>
  <c r="Y9" i="10"/>
  <c r="X9" i="10"/>
  <c r="V9" i="10"/>
  <c r="N9" i="10"/>
  <c r="M9" i="10"/>
  <c r="L9" i="10"/>
  <c r="H9" i="10"/>
  <c r="G9" i="10"/>
  <c r="AE9" i="10" s="1"/>
  <c r="F9" i="10"/>
  <c r="AD9" i="10" s="1"/>
  <c r="E9" i="10"/>
  <c r="D9" i="10"/>
  <c r="W9" i="10" s="1"/>
  <c r="C9" i="10"/>
  <c r="S9" i="10" s="1"/>
  <c r="B9" i="10"/>
  <c r="I9" i="10" s="1"/>
  <c r="AA8" i="10"/>
  <c r="Z8" i="10"/>
  <c r="W8" i="10"/>
  <c r="V8" i="10"/>
  <c r="U8" i="10"/>
  <c r="T8" i="10"/>
  <c r="N8" i="10"/>
  <c r="K8" i="10"/>
  <c r="J8" i="10"/>
  <c r="I8" i="10"/>
  <c r="H8" i="10"/>
  <c r="O8" i="10" s="1"/>
  <c r="G8" i="10"/>
  <c r="AE8" i="10" s="1"/>
  <c r="F8" i="10"/>
  <c r="AD8" i="10" s="1"/>
  <c r="E8" i="10"/>
  <c r="Y8" i="10" s="1"/>
  <c r="D8" i="10"/>
  <c r="X8" i="10" s="1"/>
  <c r="C8" i="10"/>
  <c r="S8" i="10" s="1"/>
  <c r="B8" i="10"/>
  <c r="G7" i="10"/>
  <c r="G11" i="10" s="1"/>
  <c r="F7" i="10"/>
  <c r="AD7" i="10" s="1"/>
  <c r="E7" i="10"/>
  <c r="AA7" i="10" s="1"/>
  <c r="D7" i="10"/>
  <c r="K7" i="10" s="1"/>
  <c r="AA6" i="10"/>
  <c r="Z6" i="10"/>
  <c r="Y6" i="10"/>
  <c r="X6" i="10"/>
  <c r="V6" i="10"/>
  <c r="N6" i="10"/>
  <c r="M6" i="10"/>
  <c r="L6" i="10"/>
  <c r="H6" i="10"/>
  <c r="G6" i="10"/>
  <c r="AG6" i="10" s="1"/>
  <c r="F6" i="10"/>
  <c r="AD6" i="10" s="1"/>
  <c r="E6" i="10"/>
  <c r="D6" i="10"/>
  <c r="W6" i="10" s="1"/>
  <c r="C6" i="10"/>
  <c r="J6" i="10" s="1"/>
  <c r="B6" i="10"/>
  <c r="I6" i="10" s="1"/>
  <c r="AG5" i="10"/>
  <c r="AA5" i="10"/>
  <c r="Z5" i="10"/>
  <c r="E51" i="10" s="1"/>
  <c r="W5" i="10"/>
  <c r="D51" i="10" s="1"/>
  <c r="V5" i="10"/>
  <c r="U5" i="10"/>
  <c r="T5" i="10"/>
  <c r="C51" i="10" s="1"/>
  <c r="N5" i="10"/>
  <c r="K5" i="10"/>
  <c r="J5" i="10"/>
  <c r="I5" i="10"/>
  <c r="H5" i="10"/>
  <c r="O10" i="10" s="1"/>
  <c r="G5" i="10"/>
  <c r="AE5" i="10" s="1"/>
  <c r="F5" i="10"/>
  <c r="AD5" i="10" s="1"/>
  <c r="E5" i="10"/>
  <c r="Y5" i="10" s="1"/>
  <c r="D5" i="10"/>
  <c r="X5" i="10" s="1"/>
  <c r="C5" i="10"/>
  <c r="C7" i="10" s="1"/>
  <c r="B5" i="10"/>
  <c r="B7" i="10" s="1"/>
  <c r="U4" i="10"/>
  <c r="T4" i="10"/>
  <c r="S4" i="10"/>
  <c r="R4" i="10"/>
  <c r="Q4" i="10"/>
  <c r="P4" i="10"/>
  <c r="O4" i="10"/>
  <c r="N4" i="10"/>
  <c r="M4" i="10"/>
  <c r="L4" i="10"/>
  <c r="K4" i="10"/>
  <c r="J4" i="10"/>
  <c r="I4" i="10"/>
  <c r="AE3" i="10"/>
  <c r="AB3" i="10"/>
  <c r="Y3" i="10"/>
  <c r="V3" i="10"/>
  <c r="S3" i="10"/>
  <c r="P3" i="10"/>
  <c r="F51" i="6" l="1"/>
  <c r="E18" i="8"/>
  <c r="E30" i="8"/>
  <c r="T12" i="9"/>
  <c r="S12" i="9"/>
  <c r="C31" i="9"/>
  <c r="M38" i="5"/>
  <c r="B57" i="5"/>
  <c r="L57" i="5" s="1"/>
  <c r="H105" i="9"/>
  <c r="G18" i="8"/>
  <c r="G30" i="8"/>
  <c r="F18" i="8"/>
  <c r="F30" i="8"/>
  <c r="J10" i="9"/>
  <c r="D19" i="2"/>
  <c r="C29" i="10"/>
  <c r="C48" i="10" s="1"/>
  <c r="L117" i="5"/>
  <c r="H204" i="5"/>
  <c r="B224" i="5"/>
  <c r="H224" i="5" s="1"/>
  <c r="H225" i="5" s="1"/>
  <c r="G105" i="9"/>
  <c r="G99" i="9"/>
  <c r="B11" i="10"/>
  <c r="I7" i="10"/>
  <c r="R7" i="10"/>
  <c r="Q7" i="10"/>
  <c r="P7" i="10"/>
  <c r="N11" i="10"/>
  <c r="G13" i="10"/>
  <c r="C11" i="10"/>
  <c r="J7" i="10"/>
  <c r="U7" i="10"/>
  <c r="T7" i="10"/>
  <c r="S7" i="10"/>
  <c r="B50" i="10"/>
  <c r="C54" i="4"/>
  <c r="J162" i="5"/>
  <c r="Z28" i="9"/>
  <c r="AA28" i="9" s="1"/>
  <c r="Q47" i="9" s="1"/>
  <c r="S47" i="9" s="1"/>
  <c r="D31" i="9"/>
  <c r="W12" i="9"/>
  <c r="V12" i="9"/>
  <c r="AL12" i="9"/>
  <c r="AK12" i="9"/>
  <c r="I31" i="9"/>
  <c r="E105" i="9"/>
  <c r="E99" i="9"/>
  <c r="C105" i="9"/>
  <c r="C99" i="9"/>
  <c r="E91" i="9"/>
  <c r="R71" i="9"/>
  <c r="E58" i="8"/>
  <c r="AC28" i="9"/>
  <c r="AD28" i="9" s="1"/>
  <c r="V47" i="9" s="1"/>
  <c r="X47" i="9" s="1"/>
  <c r="F105" i="9"/>
  <c r="F99" i="9"/>
  <c r="W71" i="9"/>
  <c r="F91" i="9"/>
  <c r="F58" i="8"/>
  <c r="AF28" i="9"/>
  <c r="AG28" i="9" s="1"/>
  <c r="AA47" i="9" s="1"/>
  <c r="AC47" i="9" s="1"/>
  <c r="E54" i="4"/>
  <c r="I19" i="2"/>
  <c r="H29" i="10"/>
  <c r="H48" i="10" s="1"/>
  <c r="M152" i="5"/>
  <c r="B167" i="5"/>
  <c r="J167" i="5" s="1"/>
  <c r="L167" i="5" s="1"/>
  <c r="B105" i="9"/>
  <c r="B99" i="9"/>
  <c r="G25" i="9"/>
  <c r="AF6" i="9"/>
  <c r="AE6" i="9"/>
  <c r="G10" i="9"/>
  <c r="H54" i="4"/>
  <c r="H56" i="4" s="1"/>
  <c r="G55" i="4" s="1"/>
  <c r="G56" i="4" s="1"/>
  <c r="F55" i="4" s="1"/>
  <c r="F56" i="4" s="1"/>
  <c r="E55" i="4" s="1"/>
  <c r="E56" i="4" s="1"/>
  <c r="D55" i="4" s="1"/>
  <c r="D56" i="4" s="1"/>
  <c r="C55" i="4" s="1"/>
  <c r="K105" i="5"/>
  <c r="B104" i="5"/>
  <c r="Y12" i="9"/>
  <c r="AI6" i="9"/>
  <c r="H25" i="9"/>
  <c r="AH6" i="9"/>
  <c r="H10" i="9"/>
  <c r="C104" i="5"/>
  <c r="L105" i="5"/>
  <c r="L104" i="5" s="1"/>
  <c r="D105" i="9"/>
  <c r="D99" i="9"/>
  <c r="D51" i="6"/>
  <c r="C116" i="9" s="1"/>
  <c r="C18" i="8"/>
  <c r="C30" i="8"/>
  <c r="H18" i="8"/>
  <c r="H30" i="8"/>
  <c r="H44" i="3"/>
  <c r="I26" i="3"/>
  <c r="I25" i="9"/>
  <c r="Q6" i="9"/>
  <c r="I10" i="9"/>
  <c r="AL6" i="9"/>
  <c r="AK6" i="9"/>
  <c r="B216" i="5"/>
  <c r="H216" i="5" s="1"/>
  <c r="I216" i="5" s="1"/>
  <c r="E51" i="6"/>
  <c r="D18" i="8"/>
  <c r="D36" i="8" s="1"/>
  <c r="D57" i="8" s="1"/>
  <c r="D30" i="8"/>
  <c r="Z26" i="9"/>
  <c r="AA26" i="9" s="1"/>
  <c r="Q45" i="9" s="1"/>
  <c r="S45" i="9" s="1"/>
  <c r="AF5" i="10"/>
  <c r="G51" i="10" s="1"/>
  <c r="AB7" i="10"/>
  <c r="AF8" i="10"/>
  <c r="AB10" i="10"/>
  <c r="T14" i="10"/>
  <c r="C50" i="10"/>
  <c r="C25" i="11"/>
  <c r="C28" i="11" s="1"/>
  <c r="C47" i="11"/>
  <c r="C51" i="11" s="1"/>
  <c r="F83" i="11"/>
  <c r="F80" i="11"/>
  <c r="E17" i="11"/>
  <c r="F55" i="11"/>
  <c r="F32" i="11"/>
  <c r="E9" i="11"/>
  <c r="E6" i="11"/>
  <c r="F82" i="11"/>
  <c r="F51" i="1"/>
  <c r="B58" i="5"/>
  <c r="J58" i="5" s="1"/>
  <c r="J57" i="5" s="1"/>
  <c r="D108" i="9"/>
  <c r="C19" i="6"/>
  <c r="AA61" i="9"/>
  <c r="D50" i="6"/>
  <c r="C16" i="8"/>
  <c r="D41" i="8"/>
  <c r="B48" i="8"/>
  <c r="M37" i="12"/>
  <c r="M48" i="12" s="1"/>
  <c r="M6" i="12"/>
  <c r="G8" i="9"/>
  <c r="AK8" i="9"/>
  <c r="C13" i="9"/>
  <c r="C16" i="9" s="1"/>
  <c r="I33" i="9"/>
  <c r="C34" i="9"/>
  <c r="F41" i="14"/>
  <c r="F26" i="14"/>
  <c r="AE23" i="9"/>
  <c r="AD4" i="10" s="1"/>
  <c r="I71" i="11"/>
  <c r="AD10" i="10"/>
  <c r="AC7" i="10"/>
  <c r="AG8" i="10"/>
  <c r="AC10" i="10"/>
  <c r="U14" i="10"/>
  <c r="AG14" i="10"/>
  <c r="D25" i="11"/>
  <c r="D28" i="11" s="1"/>
  <c r="D47" i="11"/>
  <c r="D51" i="11" s="1"/>
  <c r="G74" i="11"/>
  <c r="F7" i="11"/>
  <c r="G83" i="11"/>
  <c r="G80" i="11"/>
  <c r="F17" i="11"/>
  <c r="G55" i="11"/>
  <c r="G81" i="11"/>
  <c r="G32" i="11"/>
  <c r="F9" i="11"/>
  <c r="F6" i="11"/>
  <c r="F8" i="11" s="1"/>
  <c r="G82" i="11"/>
  <c r="G51" i="1"/>
  <c r="E26" i="3"/>
  <c r="E44" i="3" s="1"/>
  <c r="E62" i="3" s="1"/>
  <c r="E80" i="3" s="1"/>
  <c r="E98" i="3" s="1"/>
  <c r="E116" i="3" s="1"/>
  <c r="E134" i="3" s="1"/>
  <c r="C58" i="5"/>
  <c r="K58" i="5" s="1"/>
  <c r="K57" i="5" s="1"/>
  <c r="D19" i="6"/>
  <c r="D116" i="9"/>
  <c r="B73" i="9"/>
  <c r="D16" i="8"/>
  <c r="C91" i="9"/>
  <c r="H71" i="9"/>
  <c r="N37" i="12"/>
  <c r="N48" i="12" s="1"/>
  <c r="N6" i="12"/>
  <c r="AF6" i="12"/>
  <c r="AF37" i="12"/>
  <c r="AF48" i="12" s="1"/>
  <c r="D13" i="9"/>
  <c r="T34" i="9"/>
  <c r="U34" i="9" s="1"/>
  <c r="G41" i="14"/>
  <c r="G26" i="14"/>
  <c r="Q33" i="9"/>
  <c r="R33" i="9" s="1"/>
  <c r="J128" i="5"/>
  <c r="C21" i="6"/>
  <c r="E116" i="9"/>
  <c r="G60" i="9"/>
  <c r="G28" i="8"/>
  <c r="D48" i="8"/>
  <c r="O37" i="12"/>
  <c r="O48" i="12" s="1"/>
  <c r="O6" i="12"/>
  <c r="E13" i="9"/>
  <c r="W34" i="9"/>
  <c r="X34" i="9" s="1"/>
  <c r="H41" i="14"/>
  <c r="H26" i="14"/>
  <c r="C28" i="9"/>
  <c r="J64" i="11"/>
  <c r="E25" i="11"/>
  <c r="E28" i="11" s="1"/>
  <c r="E47" i="11"/>
  <c r="E51" i="11" s="1"/>
  <c r="H83" i="11"/>
  <c r="H80" i="11"/>
  <c r="G17" i="11"/>
  <c r="H55" i="11"/>
  <c r="H81" i="11"/>
  <c r="H32" i="11"/>
  <c r="G9" i="11"/>
  <c r="G6" i="11"/>
  <c r="H82" i="11"/>
  <c r="D106" i="9"/>
  <c r="D87" i="9"/>
  <c r="F25" i="11"/>
  <c r="F47" i="11"/>
  <c r="F51" i="11" s="1"/>
  <c r="I25" i="1"/>
  <c r="H17" i="11"/>
  <c r="I55" i="11"/>
  <c r="I81" i="11"/>
  <c r="I32" i="11"/>
  <c r="H9" i="11"/>
  <c r="H6" i="11"/>
  <c r="I82" i="11"/>
  <c r="I83" i="11"/>
  <c r="I80" i="11"/>
  <c r="I51" i="1"/>
  <c r="D142" i="3"/>
  <c r="C54" i="6" s="1"/>
  <c r="B20" i="8" s="1"/>
  <c r="B21" i="8" s="1"/>
  <c r="B265" i="5"/>
  <c r="G108" i="9"/>
  <c r="D21" i="6"/>
  <c r="L60" i="9"/>
  <c r="G50" i="6"/>
  <c r="G41" i="8"/>
  <c r="C58" i="8"/>
  <c r="P37" i="12"/>
  <c r="P48" i="12" s="1"/>
  <c r="P6" i="12"/>
  <c r="AF9" i="9"/>
  <c r="F13" i="9"/>
  <c r="Z34" i="9"/>
  <c r="AA34" i="9" s="1"/>
  <c r="AI15" i="9"/>
  <c r="D28" i="9"/>
  <c r="S10" i="10"/>
  <c r="L5" i="10"/>
  <c r="P6" i="10"/>
  <c r="AB6" i="10"/>
  <c r="H7" i="10"/>
  <c r="AF7" i="10" s="1"/>
  <c r="L8" i="10"/>
  <c r="P9" i="10"/>
  <c r="AB9" i="10"/>
  <c r="AF10" i="10"/>
  <c r="P12" i="10"/>
  <c r="AB12" i="10"/>
  <c r="L14" i="10"/>
  <c r="G50" i="10"/>
  <c r="G47" i="11"/>
  <c r="G51" i="11" s="1"/>
  <c r="G25" i="11"/>
  <c r="G28" i="11" s="1"/>
  <c r="C71" i="11"/>
  <c r="C65" i="11"/>
  <c r="C73" i="11"/>
  <c r="J25" i="1"/>
  <c r="J26" i="1" s="1"/>
  <c r="I17" i="11"/>
  <c r="J55" i="11"/>
  <c r="J81" i="11"/>
  <c r="J32" i="11"/>
  <c r="I9" i="11"/>
  <c r="I6" i="11"/>
  <c r="J82" i="11"/>
  <c r="J83" i="11"/>
  <c r="J80" i="11"/>
  <c r="J51" i="1"/>
  <c r="E142" i="3"/>
  <c r="L10" i="5"/>
  <c r="L97" i="5"/>
  <c r="C117" i="5" s="1"/>
  <c r="E157" i="5"/>
  <c r="J157" i="5" s="1"/>
  <c r="C265" i="5"/>
  <c r="G19" i="6"/>
  <c r="E21" i="6"/>
  <c r="Q73" i="9"/>
  <c r="G16" i="8"/>
  <c r="H41" i="8"/>
  <c r="F56" i="8"/>
  <c r="F84" i="9" s="1"/>
  <c r="F97" i="9" s="1"/>
  <c r="F104" i="9" s="1"/>
  <c r="F113" i="9" s="1"/>
  <c r="Q6" i="12"/>
  <c r="Q37" i="12"/>
  <c r="Q48" i="12" s="1"/>
  <c r="AJ4" i="9"/>
  <c r="G13" i="9"/>
  <c r="S15" i="9"/>
  <c r="AK15" i="9"/>
  <c r="W23" i="9"/>
  <c r="V4" i="10" s="1"/>
  <c r="H27" i="9"/>
  <c r="E28" i="9"/>
  <c r="O6" i="10"/>
  <c r="AE7" i="10"/>
  <c r="O9" i="10"/>
  <c r="AE10" i="10"/>
  <c r="O12" i="10"/>
  <c r="M5" i="10"/>
  <c r="Q6" i="10"/>
  <c r="AC6" i="10"/>
  <c r="M8" i="10"/>
  <c r="Q9" i="10"/>
  <c r="AC9" i="10"/>
  <c r="U10" i="10"/>
  <c r="AG10" i="10"/>
  <c r="Q12" i="10"/>
  <c r="AC12" i="10"/>
  <c r="M14" i="10"/>
  <c r="H47" i="11"/>
  <c r="H51" i="11" s="1"/>
  <c r="H25" i="11"/>
  <c r="H28" i="11" s="1"/>
  <c r="C26" i="1"/>
  <c r="F142" i="3"/>
  <c r="D265" i="5"/>
  <c r="H19" i="6"/>
  <c r="F21" i="6"/>
  <c r="V60" i="9"/>
  <c r="C43" i="6"/>
  <c r="B59" i="9" s="1"/>
  <c r="B22" i="8"/>
  <c r="G48" i="8"/>
  <c r="G56" i="8"/>
  <c r="G84" i="9" s="1"/>
  <c r="G97" i="9" s="1"/>
  <c r="G104" i="9" s="1"/>
  <c r="G113" i="9" s="1"/>
  <c r="X37" i="12"/>
  <c r="X48" i="12" s="1"/>
  <c r="X6" i="12"/>
  <c r="H13" i="9"/>
  <c r="H34" i="9"/>
  <c r="T15" i="9"/>
  <c r="AL15" i="9"/>
  <c r="X23" i="9"/>
  <c r="W4" i="10" s="1"/>
  <c r="I27" i="9"/>
  <c r="R6" i="10"/>
  <c r="V7" i="10"/>
  <c r="R9" i="10"/>
  <c r="J10" i="10"/>
  <c r="V10" i="10"/>
  <c r="R12" i="10"/>
  <c r="N14" i="10"/>
  <c r="I47" i="11"/>
  <c r="I51" i="11" s="1"/>
  <c r="I25" i="11"/>
  <c r="I28" i="11" s="1"/>
  <c r="E71" i="11"/>
  <c r="E65" i="11"/>
  <c r="G142" i="3"/>
  <c r="K91" i="5"/>
  <c r="I19" i="6"/>
  <c r="I25" i="6" s="1"/>
  <c r="H107" i="9" s="1"/>
  <c r="G21" i="6"/>
  <c r="C37" i="6"/>
  <c r="AA60" i="9"/>
  <c r="D43" i="6"/>
  <c r="G59" i="9" s="1"/>
  <c r="C22" i="8"/>
  <c r="Y37" i="12"/>
  <c r="Y48" i="12" s="1"/>
  <c r="Y6" i="12"/>
  <c r="S7" i="9"/>
  <c r="S9" i="9"/>
  <c r="I13" i="9"/>
  <c r="V15" i="9"/>
  <c r="Y23" i="9"/>
  <c r="X4" i="10" s="1"/>
  <c r="AC26" i="9"/>
  <c r="AD26" i="9" s="1"/>
  <c r="V45" i="9" s="1"/>
  <c r="X45" i="9" s="1"/>
  <c r="W7" i="10"/>
  <c r="O14" i="10"/>
  <c r="J47" i="11"/>
  <c r="J51" i="11" s="1"/>
  <c r="J25" i="11"/>
  <c r="J28" i="11" s="1"/>
  <c r="H142" i="3"/>
  <c r="H54" i="6" s="1"/>
  <c r="G20" i="8" s="1"/>
  <c r="G21" i="8" s="1"/>
  <c r="L59" i="9"/>
  <c r="B74" i="9"/>
  <c r="B24" i="8"/>
  <c r="Z37" i="12"/>
  <c r="Z48" i="12" s="1"/>
  <c r="Z6" i="12"/>
  <c r="T7" i="9"/>
  <c r="T9" i="9"/>
  <c r="AL9" i="9"/>
  <c r="J13" i="9"/>
  <c r="J16" i="9" s="1"/>
  <c r="W15" i="9"/>
  <c r="N23" i="9"/>
  <c r="C64" i="11"/>
  <c r="D71" i="11"/>
  <c r="O5" i="10"/>
  <c r="AE6" i="10"/>
  <c r="K10" i="10"/>
  <c r="P5" i="10"/>
  <c r="AB5" i="10"/>
  <c r="T6" i="10"/>
  <c r="AF6" i="10"/>
  <c r="L7" i="10"/>
  <c r="X7" i="10"/>
  <c r="P8" i="10"/>
  <c r="AB8" i="10"/>
  <c r="T9" i="10"/>
  <c r="AF9" i="10"/>
  <c r="L10" i="10"/>
  <c r="X10" i="10"/>
  <c r="D11" i="10"/>
  <c r="T12" i="10"/>
  <c r="AF12" i="10"/>
  <c r="P14" i="10"/>
  <c r="AB14" i="10"/>
  <c r="F19" i="2"/>
  <c r="E93" i="9" s="1"/>
  <c r="I142" i="3"/>
  <c r="K82" i="5"/>
  <c r="L152" i="5"/>
  <c r="G74" i="9"/>
  <c r="E22" i="8"/>
  <c r="AB4" i="9"/>
  <c r="C6" i="9"/>
  <c r="V7" i="9"/>
  <c r="C8" i="9"/>
  <c r="V9" i="9"/>
  <c r="AH14" i="9"/>
  <c r="Y15" i="9"/>
  <c r="B26" i="14"/>
  <c r="B41" i="14"/>
  <c r="O23" i="9"/>
  <c r="C26" i="9"/>
  <c r="D64" i="11"/>
  <c r="E73" i="11"/>
  <c r="Q5" i="10"/>
  <c r="B51" i="10" s="1"/>
  <c r="AC5" i="10"/>
  <c r="F51" i="10" s="1"/>
  <c r="U6" i="10"/>
  <c r="M7" i="10"/>
  <c r="Y7" i="10"/>
  <c r="Q8" i="10"/>
  <c r="AC8" i="10"/>
  <c r="U9" i="10"/>
  <c r="AG9" i="10"/>
  <c r="Y10" i="10"/>
  <c r="E11" i="10"/>
  <c r="U12" i="10"/>
  <c r="AG12" i="10"/>
  <c r="Q14" i="10"/>
  <c r="AC14" i="10"/>
  <c r="C74" i="11"/>
  <c r="B7" i="11"/>
  <c r="G26" i="1"/>
  <c r="G52" i="1" s="1"/>
  <c r="C82" i="11"/>
  <c r="C79" i="11"/>
  <c r="C83" i="11"/>
  <c r="C80" i="11"/>
  <c r="B17" i="11"/>
  <c r="C55" i="11"/>
  <c r="C81" i="11"/>
  <c r="C78" i="11"/>
  <c r="C32" i="11"/>
  <c r="B9" i="11"/>
  <c r="B6" i="11"/>
  <c r="B8" i="11" s="1"/>
  <c r="C51" i="1"/>
  <c r="G19" i="2"/>
  <c r="J142" i="3"/>
  <c r="K84" i="5"/>
  <c r="G43" i="6"/>
  <c r="G51" i="6" s="1"/>
  <c r="L61" i="9"/>
  <c r="F22" i="8"/>
  <c r="B28" i="8"/>
  <c r="J37" i="12"/>
  <c r="J48" i="12" s="1"/>
  <c r="J6" i="12"/>
  <c r="AC4" i="9"/>
  <c r="D6" i="9"/>
  <c r="W7" i="9"/>
  <c r="D8" i="9"/>
  <c r="P8" i="9"/>
  <c r="W9" i="9"/>
  <c r="F12" i="9"/>
  <c r="E31" i="9" s="1"/>
  <c r="F33" i="9"/>
  <c r="W33" i="9" s="1"/>
  <c r="X33" i="9" s="1"/>
  <c r="Z15" i="9"/>
  <c r="C26" i="14"/>
  <c r="C41" i="14"/>
  <c r="P23" i="9"/>
  <c r="AB23" i="9"/>
  <c r="AA4" i="10" s="1"/>
  <c r="D26" i="9"/>
  <c r="E64" i="11"/>
  <c r="F71" i="11"/>
  <c r="S6" i="10"/>
  <c r="S12" i="10"/>
  <c r="R5" i="10"/>
  <c r="N7" i="10"/>
  <c r="Z7" i="10"/>
  <c r="R8" i="10"/>
  <c r="J9" i="10"/>
  <c r="Z10" i="10"/>
  <c r="F11" i="10"/>
  <c r="D25" i="1"/>
  <c r="H26" i="1"/>
  <c r="H52" i="1" s="1"/>
  <c r="D82" i="11"/>
  <c r="D83" i="11"/>
  <c r="D80" i="11"/>
  <c r="C17" i="11"/>
  <c r="D55" i="11"/>
  <c r="D81" i="11"/>
  <c r="D32" i="11"/>
  <c r="C9" i="11"/>
  <c r="C6" i="11"/>
  <c r="D51" i="1"/>
  <c r="C12" i="2"/>
  <c r="H19" i="2"/>
  <c r="L84" i="5"/>
  <c r="B108" i="9"/>
  <c r="G25" i="6"/>
  <c r="F107" i="9" s="1"/>
  <c r="H43" i="6"/>
  <c r="AA59" i="9" s="1"/>
  <c r="Q74" i="9"/>
  <c r="G22" i="8"/>
  <c r="C28" i="8"/>
  <c r="K37" i="12"/>
  <c r="K48" i="12" s="1"/>
  <c r="K6" i="12"/>
  <c r="AC6" i="12"/>
  <c r="AC37" i="12"/>
  <c r="AC48" i="12" s="1"/>
  <c r="E6" i="9"/>
  <c r="Y7" i="9"/>
  <c r="E8" i="9"/>
  <c r="AH8" i="9"/>
  <c r="Y9" i="9"/>
  <c r="G12" i="9"/>
  <c r="G33" i="9"/>
  <c r="S14" i="9"/>
  <c r="AK14" i="9"/>
  <c r="AB15" i="9"/>
  <c r="D41" i="14"/>
  <c r="D26" i="14"/>
  <c r="E26" i="9"/>
  <c r="H74" i="11"/>
  <c r="G7" i="11"/>
  <c r="H51" i="1"/>
  <c r="S5" i="10"/>
  <c r="K6" i="10"/>
  <c r="K9" i="10"/>
  <c r="K12" i="10"/>
  <c r="F19" i="1"/>
  <c r="E19" i="6" s="1"/>
  <c r="E25" i="1"/>
  <c r="I26" i="1"/>
  <c r="I52" i="1" s="1"/>
  <c r="E83" i="11"/>
  <c r="E80" i="11"/>
  <c r="D17" i="11"/>
  <c r="E55" i="11"/>
  <c r="E32" i="11"/>
  <c r="D9" i="11"/>
  <c r="D6" i="11"/>
  <c r="E82" i="11"/>
  <c r="E51" i="1"/>
  <c r="B158" i="5"/>
  <c r="C108" i="9"/>
  <c r="H25" i="6"/>
  <c r="G107" i="9" s="1"/>
  <c r="I43" i="6"/>
  <c r="I51" i="6" s="1"/>
  <c r="V61" i="9"/>
  <c r="D28" i="8"/>
  <c r="L37" i="12"/>
  <c r="L48" i="12" s="1"/>
  <c r="L6" i="12"/>
  <c r="F6" i="9"/>
  <c r="F8" i="9"/>
  <c r="H12" i="9"/>
  <c r="H33" i="9"/>
  <c r="AL14" i="9"/>
  <c r="AC15" i="9"/>
  <c r="E41" i="14"/>
  <c r="E26" i="14"/>
  <c r="AC34" i="9"/>
  <c r="AD34" i="9" s="1"/>
  <c r="G71" i="11"/>
  <c r="H71" i="11"/>
  <c r="D73" i="11"/>
  <c r="F37" i="12"/>
  <c r="F48" i="12" s="1"/>
  <c r="R37" i="12"/>
  <c r="R48" i="12" s="1"/>
  <c r="G37" i="12"/>
  <c r="G48" i="12" s="1"/>
  <c r="S37" i="12"/>
  <c r="S48" i="12" s="1"/>
  <c r="J71" i="11"/>
  <c r="F73" i="11"/>
  <c r="C66" i="11"/>
  <c r="G73" i="11"/>
  <c r="E66" i="11"/>
  <c r="F66" i="11"/>
  <c r="F72" i="11"/>
  <c r="J73" i="11"/>
  <c r="G66" i="11"/>
  <c r="H66" i="11"/>
  <c r="J66" i="11"/>
  <c r="E25" i="6" l="1"/>
  <c r="O14" i="9"/>
  <c r="N14" i="9"/>
  <c r="M14" i="9"/>
  <c r="R15" i="9"/>
  <c r="L14" i="9"/>
  <c r="Q15" i="9"/>
  <c r="K14" i="9"/>
  <c r="P15" i="9"/>
  <c r="O15" i="9"/>
  <c r="Q12" i="9"/>
  <c r="M12" i="9"/>
  <c r="R14" i="9"/>
  <c r="P14" i="9"/>
  <c r="M15" i="9"/>
  <c r="L12" i="9"/>
  <c r="R12" i="9"/>
  <c r="Q14" i="9"/>
  <c r="L15" i="9"/>
  <c r="N15" i="9"/>
  <c r="K15" i="9"/>
  <c r="K12" i="9"/>
  <c r="J52" i="1"/>
  <c r="J78" i="11"/>
  <c r="J79" i="11"/>
  <c r="F4" i="8"/>
  <c r="F116" i="9"/>
  <c r="B172" i="5"/>
  <c r="J158" i="5"/>
  <c r="H4" i="8"/>
  <c r="H116" i="9"/>
  <c r="D91" i="9"/>
  <c r="M71" i="9"/>
  <c r="D58" i="8"/>
  <c r="D93" i="9"/>
  <c r="H11" i="11"/>
  <c r="H12" i="11"/>
  <c r="H13" i="11"/>
  <c r="H79" i="11"/>
  <c r="C94" i="9"/>
  <c r="D25" i="6"/>
  <c r="G63" i="11"/>
  <c r="G59" i="11"/>
  <c r="H62" i="3"/>
  <c r="I44" i="3"/>
  <c r="E74" i="11"/>
  <c r="D7" i="11"/>
  <c r="C13" i="11"/>
  <c r="C11" i="11"/>
  <c r="C12" i="11"/>
  <c r="F13" i="10"/>
  <c r="AD11" i="10"/>
  <c r="AC11" i="10"/>
  <c r="AB11" i="10"/>
  <c r="M11" i="10"/>
  <c r="D10" i="9"/>
  <c r="D25" i="9"/>
  <c r="L6" i="9"/>
  <c r="W6" i="9"/>
  <c r="V6" i="9"/>
  <c r="V74" i="9"/>
  <c r="E81" i="11"/>
  <c r="AB29" i="12"/>
  <c r="AA23" i="9"/>
  <c r="Z4" i="10" s="1"/>
  <c r="AF4" i="9"/>
  <c r="B13" i="11"/>
  <c r="B11" i="11"/>
  <c r="B12" i="11"/>
  <c r="V11" i="10"/>
  <c r="K11" i="10"/>
  <c r="W11" i="10"/>
  <c r="X11" i="10"/>
  <c r="D50" i="10"/>
  <c r="D13" i="10"/>
  <c r="G94" i="9"/>
  <c r="W28" i="9"/>
  <c r="X28" i="9" s="1"/>
  <c r="L47" i="9" s="1"/>
  <c r="N47" i="9" s="1"/>
  <c r="E54" i="6"/>
  <c r="D20" i="8" s="1"/>
  <c r="D21" i="8" s="1"/>
  <c r="I20" i="11"/>
  <c r="I19" i="11"/>
  <c r="I39" i="11"/>
  <c r="I35" i="11"/>
  <c r="G73" i="9"/>
  <c r="D32" i="9"/>
  <c r="L13" i="9"/>
  <c r="W13" i="9"/>
  <c r="V13" i="9"/>
  <c r="F20" i="11"/>
  <c r="F19" i="11"/>
  <c r="C71" i="9"/>
  <c r="B91" i="9"/>
  <c r="B58" i="8"/>
  <c r="AC25" i="9"/>
  <c r="AD25" i="9" s="1"/>
  <c r="V44" i="9" s="1"/>
  <c r="X44" i="9" s="1"/>
  <c r="AA29" i="12"/>
  <c r="AE4" i="9"/>
  <c r="Z23" i="9"/>
  <c r="Y4" i="10" s="1"/>
  <c r="T28" i="9"/>
  <c r="U28" i="9" s="1"/>
  <c r="G47" i="9" s="1"/>
  <c r="I47" i="9" s="1"/>
  <c r="N60" i="9"/>
  <c r="L73" i="9"/>
  <c r="J63" i="11"/>
  <c r="J59" i="11"/>
  <c r="E63" i="11"/>
  <c r="E59" i="11"/>
  <c r="G31" i="9"/>
  <c r="G16" i="9"/>
  <c r="AF12" i="9"/>
  <c r="AE12" i="9"/>
  <c r="O12" i="9"/>
  <c r="D19" i="11"/>
  <c r="D20" i="11"/>
  <c r="C39" i="11"/>
  <c r="C35" i="11"/>
  <c r="G72" i="9"/>
  <c r="AF34" i="9"/>
  <c r="AG34" i="9" s="1"/>
  <c r="AF27" i="9"/>
  <c r="AG27" i="9" s="1"/>
  <c r="AA46" i="9" s="1"/>
  <c r="AC46" i="9" s="1"/>
  <c r="J74" i="11"/>
  <c r="I7" i="11"/>
  <c r="I8" i="11" s="1"/>
  <c r="I78" i="11"/>
  <c r="G8" i="11"/>
  <c r="Q28" i="9"/>
  <c r="R28" i="9" s="1"/>
  <c r="B47" i="9" s="1"/>
  <c r="D47" i="9" s="1"/>
  <c r="AI10" i="9"/>
  <c r="P9" i="9"/>
  <c r="P7" i="9"/>
  <c r="AH10" i="9"/>
  <c r="D25" i="2"/>
  <c r="C36" i="10"/>
  <c r="H25" i="2"/>
  <c r="G36" i="10"/>
  <c r="AB71" i="9"/>
  <c r="G91" i="9"/>
  <c r="G58" i="8"/>
  <c r="AA73" i="9"/>
  <c r="AI13" i="9"/>
  <c r="AH13" i="9"/>
  <c r="H32" i="9"/>
  <c r="P13" i="9"/>
  <c r="F54" i="6"/>
  <c r="E20" i="8" s="1"/>
  <c r="E21" i="8" s="1"/>
  <c r="F32" i="9"/>
  <c r="AC13" i="9"/>
  <c r="N13" i="9"/>
  <c r="AB13" i="9"/>
  <c r="G11" i="11"/>
  <c r="G12" i="11"/>
  <c r="G13" i="11"/>
  <c r="P6" i="9"/>
  <c r="I25" i="2"/>
  <c r="H36" i="10"/>
  <c r="H38" i="8"/>
  <c r="C93" i="9"/>
  <c r="Q31" i="9"/>
  <c r="R31" i="9" s="1"/>
  <c r="B57" i="9" s="1"/>
  <c r="AC8" i="9"/>
  <c r="AB8" i="9"/>
  <c r="F27" i="9"/>
  <c r="AC33" i="9"/>
  <c r="AD33" i="9" s="1"/>
  <c r="D39" i="11"/>
  <c r="D35" i="11"/>
  <c r="AA72" i="9"/>
  <c r="D63" i="11"/>
  <c r="D59" i="11"/>
  <c r="Z8" i="9"/>
  <c r="Y8" i="9"/>
  <c r="E27" i="9"/>
  <c r="C19" i="11"/>
  <c r="C20" i="11"/>
  <c r="F23" i="8"/>
  <c r="B30" i="8"/>
  <c r="C51" i="6"/>
  <c r="B18" i="8"/>
  <c r="C52" i="1"/>
  <c r="AG7" i="10"/>
  <c r="D54" i="6"/>
  <c r="C20" i="8" s="1"/>
  <c r="C21" i="8" s="1"/>
  <c r="I63" i="11"/>
  <c r="I59" i="11"/>
  <c r="H39" i="11"/>
  <c r="H35" i="11"/>
  <c r="E13" i="11"/>
  <c r="E11" i="11"/>
  <c r="E12" i="11"/>
  <c r="M57" i="9"/>
  <c r="D4" i="8"/>
  <c r="D19" i="8" s="1"/>
  <c r="H19" i="8"/>
  <c r="B13" i="10"/>
  <c r="R11" i="10"/>
  <c r="Q11" i="10"/>
  <c r="P11" i="10"/>
  <c r="I11" i="10"/>
  <c r="R9" i="9"/>
  <c r="R7" i="9"/>
  <c r="H51" i="6"/>
  <c r="W57" i="9" s="1"/>
  <c r="L72" i="9"/>
  <c r="N59" i="9"/>
  <c r="AF33" i="9"/>
  <c r="AG33" i="9" s="1"/>
  <c r="W26" i="9"/>
  <c r="X26" i="9" s="1"/>
  <c r="L45" i="9" s="1"/>
  <c r="N45" i="9" s="1"/>
  <c r="L74" i="9"/>
  <c r="N61" i="9"/>
  <c r="C59" i="11"/>
  <c r="C63" i="11"/>
  <c r="F93" i="9"/>
  <c r="O7" i="10"/>
  <c r="H11" i="10"/>
  <c r="H78" i="11"/>
  <c r="J123" i="5"/>
  <c r="C140" i="5"/>
  <c r="J140" i="5" s="1"/>
  <c r="J135" i="5" s="1"/>
  <c r="L135" i="5" s="1"/>
  <c r="F39" i="11"/>
  <c r="F35" i="11"/>
  <c r="AF25" i="9"/>
  <c r="AG25" i="9" s="1"/>
  <c r="AA44" i="9" s="1"/>
  <c r="AC44" i="9" s="1"/>
  <c r="H29" i="9"/>
  <c r="O27" i="9" s="1"/>
  <c r="H26" i="6"/>
  <c r="R6" i="9"/>
  <c r="I26" i="6"/>
  <c r="Z33" i="9"/>
  <c r="AA33" i="9" s="1"/>
  <c r="N82" i="5"/>
  <c r="B102" i="5"/>
  <c r="G93" i="9"/>
  <c r="H20" i="11"/>
  <c r="H19" i="11"/>
  <c r="G79" i="11"/>
  <c r="AA74" i="9"/>
  <c r="H31" i="9"/>
  <c r="H16" i="9"/>
  <c r="AI12" i="9"/>
  <c r="AH12" i="9"/>
  <c r="P12" i="9"/>
  <c r="E10" i="9"/>
  <c r="M8" i="9" s="1"/>
  <c r="E25" i="9"/>
  <c r="Z6" i="9"/>
  <c r="Y6" i="9"/>
  <c r="F31" i="9"/>
  <c r="W31" i="9" s="1"/>
  <c r="X31" i="9" s="1"/>
  <c r="L57" i="9" s="1"/>
  <c r="N57" i="9" s="1"/>
  <c r="F16" i="9"/>
  <c r="AC12" i="9"/>
  <c r="N12" i="9"/>
  <c r="AB12" i="9"/>
  <c r="V59" i="9"/>
  <c r="B19" i="11"/>
  <c r="B20" i="11"/>
  <c r="E50" i="10"/>
  <c r="AA11" i="10"/>
  <c r="Z11" i="10"/>
  <c r="Y11" i="10"/>
  <c r="L11" i="10"/>
  <c r="E13" i="10"/>
  <c r="I54" i="6"/>
  <c r="H20" i="8" s="1"/>
  <c r="H21" i="8" s="1"/>
  <c r="I74" i="11"/>
  <c r="H7" i="11"/>
  <c r="H8" i="11" s="1"/>
  <c r="Q34" i="9"/>
  <c r="R34" i="9" s="1"/>
  <c r="C19" i="8"/>
  <c r="Q59" i="9"/>
  <c r="D16" i="9"/>
  <c r="T16" i="9" s="1"/>
  <c r="C13" i="10"/>
  <c r="S11" i="10"/>
  <c r="J11" i="10"/>
  <c r="U11" i="10"/>
  <c r="T11" i="10"/>
  <c r="R8" i="9"/>
  <c r="H63" i="11"/>
  <c r="H59" i="11"/>
  <c r="T31" i="9"/>
  <c r="U31" i="9" s="1"/>
  <c r="G57" i="9" s="1"/>
  <c r="I57" i="9" s="1"/>
  <c r="L58" i="9"/>
  <c r="D35" i="9"/>
  <c r="C115" i="9"/>
  <c r="K31" i="9"/>
  <c r="E38" i="8"/>
  <c r="E36" i="10"/>
  <c r="F25" i="2"/>
  <c r="B94" i="9"/>
  <c r="C25" i="6"/>
  <c r="H57" i="9"/>
  <c r="I61" i="9" s="1"/>
  <c r="C4" i="8"/>
  <c r="K104" i="5"/>
  <c r="K102" i="5"/>
  <c r="F10" i="9"/>
  <c r="N6" i="9" s="1"/>
  <c r="F25" i="9"/>
  <c r="AC6" i="9"/>
  <c r="AB6" i="9"/>
  <c r="D8" i="11"/>
  <c r="F27" i="11"/>
  <c r="F41" i="11" s="1"/>
  <c r="F19" i="6"/>
  <c r="F25" i="1"/>
  <c r="B93" i="9"/>
  <c r="B29" i="10"/>
  <c r="B48" i="10" s="1"/>
  <c r="C19" i="2"/>
  <c r="C27" i="9"/>
  <c r="K8" i="9"/>
  <c r="T8" i="9"/>
  <c r="S8" i="9"/>
  <c r="AL13" i="9"/>
  <c r="AK13" i="9"/>
  <c r="I32" i="9"/>
  <c r="I35" i="9" s="1"/>
  <c r="Q13" i="9"/>
  <c r="M92" i="5"/>
  <c r="B111" i="5"/>
  <c r="K111" i="5" s="1"/>
  <c r="K97" i="5"/>
  <c r="B117" i="5" s="1"/>
  <c r="AF13" i="9"/>
  <c r="G32" i="9"/>
  <c r="AE13" i="9"/>
  <c r="O13" i="9"/>
  <c r="F94" i="9"/>
  <c r="I11" i="11"/>
  <c r="I12" i="11"/>
  <c r="I13" i="11"/>
  <c r="F28" i="11"/>
  <c r="G20" i="11"/>
  <c r="G19" i="11"/>
  <c r="E32" i="9"/>
  <c r="E35" i="9" s="1"/>
  <c r="M13" i="9"/>
  <c r="Z13" i="9"/>
  <c r="Y13" i="9"/>
  <c r="F11" i="11"/>
  <c r="F12" i="11"/>
  <c r="F13" i="11"/>
  <c r="C32" i="9"/>
  <c r="K13" i="9"/>
  <c r="T13" i="9"/>
  <c r="S13" i="9"/>
  <c r="F63" i="11"/>
  <c r="F59" i="11"/>
  <c r="AL10" i="9"/>
  <c r="AK10" i="9"/>
  <c r="Q9" i="9"/>
  <c r="Q7" i="9"/>
  <c r="Z12" i="9"/>
  <c r="C56" i="4"/>
  <c r="I16" i="9"/>
  <c r="N13" i="10"/>
  <c r="G15" i="10"/>
  <c r="E19" i="8"/>
  <c r="D13" i="11"/>
  <c r="D11" i="11"/>
  <c r="D12" i="11"/>
  <c r="L8" i="9"/>
  <c r="W8" i="9"/>
  <c r="V8" i="9"/>
  <c r="D27" i="9"/>
  <c r="Q26" i="9"/>
  <c r="R26" i="9" s="1"/>
  <c r="B45" i="9" s="1"/>
  <c r="D45" i="9" s="1"/>
  <c r="G54" i="6"/>
  <c r="F20" i="8" s="1"/>
  <c r="F21" i="8" s="1"/>
  <c r="B72" i="9"/>
  <c r="AI29" i="12"/>
  <c r="AM4" i="9"/>
  <c r="AL29" i="12" s="1"/>
  <c r="AH23" i="9"/>
  <c r="AG4" i="10" s="1"/>
  <c r="J35" i="11"/>
  <c r="J39" i="11"/>
  <c r="I79" i="11"/>
  <c r="F50" i="10"/>
  <c r="G39" i="11"/>
  <c r="G35" i="11"/>
  <c r="E19" i="11"/>
  <c r="E20" i="11"/>
  <c r="O9" i="9"/>
  <c r="O7" i="9"/>
  <c r="AF10" i="9"/>
  <c r="AE10" i="9"/>
  <c r="E39" i="11"/>
  <c r="E35" i="11"/>
  <c r="D74" i="11"/>
  <c r="C7" i="11"/>
  <c r="C8" i="11" s="1"/>
  <c r="T26" i="9"/>
  <c r="U26" i="9" s="1"/>
  <c r="G45" i="9" s="1"/>
  <c r="I45" i="9" s="1"/>
  <c r="G25" i="2"/>
  <c r="F36" i="10"/>
  <c r="F38" i="8"/>
  <c r="C10" i="9"/>
  <c r="C25" i="9"/>
  <c r="K6" i="9"/>
  <c r="T6" i="9"/>
  <c r="S6" i="9"/>
  <c r="R13" i="9"/>
  <c r="E26" i="1"/>
  <c r="D26" i="1"/>
  <c r="P27" i="9"/>
  <c r="V73" i="9"/>
  <c r="G78" i="11"/>
  <c r="AF8" i="9"/>
  <c r="AE8" i="9"/>
  <c r="O8" i="9"/>
  <c r="G27" i="9"/>
  <c r="M57" i="5"/>
  <c r="Q8" i="9"/>
  <c r="I29" i="9"/>
  <c r="P25" i="9"/>
  <c r="E16" i="9"/>
  <c r="O6" i="9"/>
  <c r="G26" i="6"/>
  <c r="F19" i="8"/>
  <c r="R57" i="9"/>
  <c r="E4" i="8"/>
  <c r="E23" i="8" s="1"/>
  <c r="X61" i="9" l="1"/>
  <c r="X60" i="9"/>
  <c r="P34" i="9"/>
  <c r="P31" i="9"/>
  <c r="P33" i="9"/>
  <c r="L33" i="9"/>
  <c r="L34" i="9"/>
  <c r="L31" i="9"/>
  <c r="N15" i="10"/>
  <c r="K117" i="5"/>
  <c r="K118" i="5" s="1"/>
  <c r="M111" i="5"/>
  <c r="C47" i="8"/>
  <c r="C25" i="8"/>
  <c r="C40" i="8"/>
  <c r="T35" i="9"/>
  <c r="U35" i="9" s="1"/>
  <c r="K34" i="9"/>
  <c r="K33" i="9"/>
  <c r="S59" i="9"/>
  <c r="Q72" i="9"/>
  <c r="M6" i="9"/>
  <c r="H106" i="9"/>
  <c r="H87" i="9"/>
  <c r="H7" i="8"/>
  <c r="H36" i="8" s="1"/>
  <c r="H57" i="8" s="1"/>
  <c r="H42" i="10"/>
  <c r="H49" i="10" s="1"/>
  <c r="C16" i="11"/>
  <c r="C15" i="11"/>
  <c r="H15" i="11"/>
  <c r="H16" i="11"/>
  <c r="AC16" i="9"/>
  <c r="AB16" i="9"/>
  <c r="F106" i="9"/>
  <c r="F87" i="9"/>
  <c r="F92" i="9" s="1"/>
  <c r="F7" i="8"/>
  <c r="F42" i="10"/>
  <c r="F49" i="10" s="1"/>
  <c r="F74" i="11"/>
  <c r="E7" i="11"/>
  <c r="E8" i="11" s="1"/>
  <c r="F26" i="1"/>
  <c r="F81" i="11"/>
  <c r="N58" i="9"/>
  <c r="L71" i="9"/>
  <c r="E29" i="9"/>
  <c r="W25" i="9"/>
  <c r="X25" i="9" s="1"/>
  <c r="L44" i="9" s="1"/>
  <c r="N44" i="9" s="1"/>
  <c r="L25" i="9"/>
  <c r="I13" i="10"/>
  <c r="B15" i="10"/>
  <c r="R13" i="10"/>
  <c r="Q13" i="10"/>
  <c r="P13" i="10"/>
  <c r="N8" i="9"/>
  <c r="G106" i="9"/>
  <c r="G87" i="9"/>
  <c r="G92" i="9" s="1"/>
  <c r="G7" i="8"/>
  <c r="G42" i="10"/>
  <c r="G49" i="10" s="1"/>
  <c r="E114" i="9"/>
  <c r="D29" i="8"/>
  <c r="F40" i="8"/>
  <c r="F25" i="8"/>
  <c r="F29" i="8"/>
  <c r="F17" i="8"/>
  <c r="S16" i="9"/>
  <c r="S60" i="9"/>
  <c r="S61" i="9"/>
  <c r="Q32" i="9"/>
  <c r="R32" i="9" s="1"/>
  <c r="E94" i="9"/>
  <c r="F25" i="6"/>
  <c r="Z10" i="9"/>
  <c r="Y10" i="9"/>
  <c r="E18" i="9"/>
  <c r="M9" i="9"/>
  <c r="M7" i="9"/>
  <c r="B114" i="9"/>
  <c r="D47" i="8"/>
  <c r="D38" i="8"/>
  <c r="D40" i="8"/>
  <c r="D23" i="8"/>
  <c r="D25" i="8"/>
  <c r="D57" i="9"/>
  <c r="AF32" i="9"/>
  <c r="AG32" i="9" s="1"/>
  <c r="C106" i="9"/>
  <c r="C87" i="9"/>
  <c r="C92" i="9" s="1"/>
  <c r="C7" i="8"/>
  <c r="C42" i="10"/>
  <c r="C49" i="10" s="1"/>
  <c r="B16" i="11"/>
  <c r="B15" i="11"/>
  <c r="D29" i="9"/>
  <c r="T25" i="9"/>
  <c r="U25" i="9" s="1"/>
  <c r="G44" i="9" s="1"/>
  <c r="I44" i="9" s="1"/>
  <c r="K25" i="9"/>
  <c r="V72" i="9"/>
  <c r="X59" i="9"/>
  <c r="C57" i="9"/>
  <c r="B4" i="8"/>
  <c r="B19" i="8" s="1"/>
  <c r="B116" i="9"/>
  <c r="C17" i="8"/>
  <c r="C38" i="8"/>
  <c r="W10" i="9"/>
  <c r="V10" i="9"/>
  <c r="D18" i="9"/>
  <c r="L9" i="9"/>
  <c r="L7" i="9"/>
  <c r="G85" i="9"/>
  <c r="H52" i="6"/>
  <c r="G98" i="9"/>
  <c r="E47" i="8"/>
  <c r="E29" i="8"/>
  <c r="E40" i="8"/>
  <c r="E17" i="8"/>
  <c r="E25" i="8"/>
  <c r="I15" i="11"/>
  <c r="I16" i="11"/>
  <c r="O11" i="10"/>
  <c r="H13" i="10"/>
  <c r="H50" i="10"/>
  <c r="AG11" i="10"/>
  <c r="AF11" i="10"/>
  <c r="AE11" i="10"/>
  <c r="B115" i="9"/>
  <c r="G15" i="11"/>
  <c r="G16" i="11"/>
  <c r="AE29" i="12"/>
  <c r="AD23" i="9"/>
  <c r="AC4" i="10" s="1"/>
  <c r="AI4" i="9"/>
  <c r="H80" i="3"/>
  <c r="I62" i="3"/>
  <c r="D115" i="9"/>
  <c r="AC32" i="9"/>
  <c r="AD32" i="9" s="1"/>
  <c r="F114" i="9"/>
  <c r="K27" i="9"/>
  <c r="T27" i="9"/>
  <c r="U27" i="9" s="1"/>
  <c r="G46" i="9" s="1"/>
  <c r="I46" i="9" s="1"/>
  <c r="B107" i="9"/>
  <c r="C26" i="6"/>
  <c r="F15" i="11"/>
  <c r="F16" i="11"/>
  <c r="P32" i="9"/>
  <c r="M123" i="5"/>
  <c r="C135" i="5"/>
  <c r="Q25" i="9"/>
  <c r="R25" i="9" s="1"/>
  <c r="B44" i="9" s="1"/>
  <c r="D44" i="9" s="1"/>
  <c r="C29" i="9"/>
  <c r="J25" i="9"/>
  <c r="H115" i="9"/>
  <c r="T10" i="9"/>
  <c r="C18" i="9"/>
  <c r="S10" i="9"/>
  <c r="K7" i="9"/>
  <c r="K9" i="9"/>
  <c r="AL37" i="12"/>
  <c r="AL48" i="12" s="1"/>
  <c r="AL6" i="12"/>
  <c r="D17" i="8"/>
  <c r="E106" i="9"/>
  <c r="E87" i="9"/>
  <c r="E7" i="8"/>
  <c r="E42" i="10"/>
  <c r="E49" i="10" s="1"/>
  <c r="AI16" i="9"/>
  <c r="AH16" i="9"/>
  <c r="H85" i="9"/>
  <c r="I52" i="6"/>
  <c r="H98" i="9"/>
  <c r="AB57" i="9"/>
  <c r="G4" i="8"/>
  <c r="F47" i="8" s="1"/>
  <c r="G116" i="9"/>
  <c r="B58" i="9"/>
  <c r="G114" i="9"/>
  <c r="AF16" i="9"/>
  <c r="AE16" i="9"/>
  <c r="AD29" i="12"/>
  <c r="AC23" i="9"/>
  <c r="AB4" i="10" s="1"/>
  <c r="AH4" i="9"/>
  <c r="C23" i="8"/>
  <c r="F29" i="9"/>
  <c r="Z25" i="9"/>
  <c r="AA25" i="9" s="1"/>
  <c r="Q44" i="9" s="1"/>
  <c r="S44" i="9" s="1"/>
  <c r="Z16" i="9"/>
  <c r="Y16" i="9"/>
  <c r="E52" i="1"/>
  <c r="E79" i="11"/>
  <c r="E78" i="11"/>
  <c r="N27" i="9"/>
  <c r="AC27" i="9"/>
  <c r="AD27" i="9" s="1"/>
  <c r="V46" i="9" s="1"/>
  <c r="X46" i="9" s="1"/>
  <c r="AL16" i="9"/>
  <c r="AK16" i="9"/>
  <c r="F85" i="9"/>
  <c r="G52" i="6"/>
  <c r="F98" i="9"/>
  <c r="AI37" i="12"/>
  <c r="AI48" i="12" s="1"/>
  <c r="AI6" i="12"/>
  <c r="D16" i="11"/>
  <c r="D15" i="11"/>
  <c r="H35" i="9"/>
  <c r="O31" i="9" s="1"/>
  <c r="G115" i="9"/>
  <c r="AA58" i="9"/>
  <c r="AF31" i="9"/>
  <c r="AG31" i="9" s="1"/>
  <c r="AA57" i="9" s="1"/>
  <c r="AC57" i="9" s="1"/>
  <c r="E16" i="11"/>
  <c r="E15" i="11"/>
  <c r="C35" i="9"/>
  <c r="V58" i="9"/>
  <c r="G35" i="9"/>
  <c r="F115" i="9"/>
  <c r="N31" i="9"/>
  <c r="AC31" i="9"/>
  <c r="AD31" i="9" s="1"/>
  <c r="V57" i="9" s="1"/>
  <c r="X57" i="9" s="1"/>
  <c r="AA37" i="12"/>
  <c r="AA48" i="12" s="1"/>
  <c r="AA6" i="12"/>
  <c r="K32" i="9"/>
  <c r="T32" i="9"/>
  <c r="U32" i="9" s="1"/>
  <c r="C114" i="9"/>
  <c r="W13" i="10"/>
  <c r="X13" i="10"/>
  <c r="K13" i="10"/>
  <c r="V13" i="10"/>
  <c r="D15" i="10"/>
  <c r="AB37" i="12"/>
  <c r="AB48" i="12" s="1"/>
  <c r="AB6" i="12"/>
  <c r="C29" i="8"/>
  <c r="G29" i="9"/>
  <c r="C107" i="9"/>
  <c r="D26" i="6"/>
  <c r="J27" i="9"/>
  <c r="Q27" i="9"/>
  <c r="R27" i="9" s="1"/>
  <c r="B46" i="9" s="1"/>
  <c r="D46" i="9" s="1"/>
  <c r="AC10" i="9"/>
  <c r="AB10" i="9"/>
  <c r="F18" i="9"/>
  <c r="N9" i="9"/>
  <c r="N7" i="9"/>
  <c r="K35" i="9"/>
  <c r="Q58" i="9"/>
  <c r="F35" i="9"/>
  <c r="E115" i="9"/>
  <c r="M31" i="9"/>
  <c r="Z31" i="9"/>
  <c r="AA31" i="9" s="1"/>
  <c r="Q57" i="9" s="1"/>
  <c r="S57" i="9" s="1"/>
  <c r="AF29" i="9"/>
  <c r="AG29" i="9" s="1"/>
  <c r="AA43" i="9" s="1"/>
  <c r="AC43" i="9" s="1"/>
  <c r="O26" i="9"/>
  <c r="O28" i="9"/>
  <c r="I59" i="9"/>
  <c r="I60" i="9"/>
  <c r="M13" i="10"/>
  <c r="F15" i="10"/>
  <c r="AD13" i="10"/>
  <c r="AC13" i="10"/>
  <c r="AB13" i="10"/>
  <c r="H25" i="8"/>
  <c r="H23" i="8"/>
  <c r="H29" i="8"/>
  <c r="H40" i="8"/>
  <c r="H17" i="8"/>
  <c r="H114" i="9"/>
  <c r="AA13" i="10"/>
  <c r="Z13" i="10"/>
  <c r="Y13" i="10"/>
  <c r="L13" i="10"/>
  <c r="E15" i="10"/>
  <c r="L27" i="9"/>
  <c r="W27" i="9"/>
  <c r="X27" i="9" s="1"/>
  <c r="L46" i="9" s="1"/>
  <c r="N46" i="9" s="1"/>
  <c r="D107" i="9"/>
  <c r="E26" i="6"/>
  <c r="W32" i="9"/>
  <c r="X32" i="9" s="1"/>
  <c r="L32" i="9"/>
  <c r="D114" i="9"/>
  <c r="B38" i="8"/>
  <c r="C25" i="2"/>
  <c r="B36" i="10"/>
  <c r="N102" i="5"/>
  <c r="M102" i="5"/>
  <c r="J13" i="10"/>
  <c r="U13" i="10"/>
  <c r="T13" i="10"/>
  <c r="S13" i="10"/>
  <c r="C15" i="10"/>
  <c r="O25" i="9"/>
  <c r="P26" i="9"/>
  <c r="P29" i="9" s="1"/>
  <c r="P28" i="9"/>
  <c r="D52" i="1"/>
  <c r="D78" i="11"/>
  <c r="D79" i="11"/>
  <c r="G58" i="9"/>
  <c r="W16" i="9"/>
  <c r="V16" i="9"/>
  <c r="M27" i="9"/>
  <c r="Z27" i="9"/>
  <c r="AA27" i="9" s="1"/>
  <c r="Q46" i="9" s="1"/>
  <c r="S46" i="9" s="1"/>
  <c r="Z32" i="9"/>
  <c r="AA32" i="9" s="1"/>
  <c r="J172" i="5"/>
  <c r="J173" i="5" s="1"/>
  <c r="B173" i="5"/>
  <c r="D94" i="9"/>
  <c r="S15" i="10" l="1"/>
  <c r="J15" i="10"/>
  <c r="U15" i="10"/>
  <c r="T15" i="10"/>
  <c r="Q35" i="9"/>
  <c r="R35" i="9" s="1"/>
  <c r="J33" i="9"/>
  <c r="J31" i="9"/>
  <c r="J34" i="9"/>
  <c r="E107" i="9"/>
  <c r="F26" i="6"/>
  <c r="B106" i="9"/>
  <c r="B87" i="9"/>
  <c r="B92" i="9" s="1"/>
  <c r="B7" i="8"/>
  <c r="B42" i="10"/>
  <c r="B49" i="10" s="1"/>
  <c r="K29" i="9"/>
  <c r="Z29" i="9"/>
  <c r="AA29" i="9" s="1"/>
  <c r="Q43" i="9" s="1"/>
  <c r="S43" i="9" s="1"/>
  <c r="M28" i="9"/>
  <c r="M26" i="9"/>
  <c r="AC61" i="9"/>
  <c r="AC60" i="9"/>
  <c r="AC59" i="9"/>
  <c r="H98" i="3"/>
  <c r="I80" i="3"/>
  <c r="D85" i="9"/>
  <c r="E52" i="6"/>
  <c r="D98" i="9"/>
  <c r="C85" i="9"/>
  <c r="D52" i="6"/>
  <c r="C98" i="9"/>
  <c r="M25" i="9"/>
  <c r="AH29" i="12"/>
  <c r="AL4" i="9"/>
  <c r="AK29" i="12" s="1"/>
  <c r="AG23" i="9"/>
  <c r="AF4" i="10" s="1"/>
  <c r="T29" i="9"/>
  <c r="U29" i="9" s="1"/>
  <c r="G43" i="9" s="1"/>
  <c r="I43" i="9" s="1"/>
  <c r="K26" i="9"/>
  <c r="K28" i="9"/>
  <c r="J32" i="9"/>
  <c r="W29" i="9"/>
  <c r="X29" i="9" s="1"/>
  <c r="L43" i="9" s="1"/>
  <c r="N43" i="9" s="1"/>
  <c r="L28" i="9"/>
  <c r="L26" i="9"/>
  <c r="L29" i="9" s="1"/>
  <c r="L35" i="9"/>
  <c r="O13" i="10"/>
  <c r="H15" i="10"/>
  <c r="AG13" i="10"/>
  <c r="AF13" i="10"/>
  <c r="AE13" i="10"/>
  <c r="G49" i="8"/>
  <c r="G36" i="8"/>
  <c r="G57" i="8" s="1"/>
  <c r="G47" i="8"/>
  <c r="G25" i="8"/>
  <c r="G40" i="8"/>
  <c r="G38" i="8"/>
  <c r="G29" i="8"/>
  <c r="G23" i="8"/>
  <c r="G19" i="8"/>
  <c r="G17" i="8"/>
  <c r="G71" i="9"/>
  <c r="I58" i="9"/>
  <c r="Z15" i="10"/>
  <c r="AA15" i="10"/>
  <c r="Y15" i="10"/>
  <c r="L15" i="10"/>
  <c r="Z35" i="9"/>
  <c r="AA35" i="9" s="1"/>
  <c r="M34" i="9"/>
  <c r="M33" i="9"/>
  <c r="AC29" i="9"/>
  <c r="AD29" i="9" s="1"/>
  <c r="V43" i="9" s="1"/>
  <c r="X43" i="9" s="1"/>
  <c r="N28" i="9"/>
  <c r="N26" i="9"/>
  <c r="N25" i="9"/>
  <c r="AA71" i="9"/>
  <c r="AC58" i="9"/>
  <c r="AG29" i="12"/>
  <c r="AK4" i="9"/>
  <c r="AJ29" i="12" s="1"/>
  <c r="AF23" i="9"/>
  <c r="AE4" i="10" s="1"/>
  <c r="B85" i="9"/>
  <c r="C52" i="6"/>
  <c r="B98" i="9"/>
  <c r="AE6" i="12"/>
  <c r="AE37" i="12"/>
  <c r="AE48" i="12" s="1"/>
  <c r="S58" i="9"/>
  <c r="Q71" i="9"/>
  <c r="W35" i="9"/>
  <c r="X35" i="9" s="1"/>
  <c r="W15" i="10"/>
  <c r="K15" i="10"/>
  <c r="V15" i="10"/>
  <c r="X15" i="10"/>
  <c r="AD15" i="10"/>
  <c r="AC15" i="10"/>
  <c r="AB15" i="10"/>
  <c r="M15" i="10"/>
  <c r="AF35" i="9"/>
  <c r="AG35" i="9" s="1"/>
  <c r="O34" i="9"/>
  <c r="O33" i="9"/>
  <c r="AD6" i="12"/>
  <c r="AD37" i="12"/>
  <c r="AD48" i="12" s="1"/>
  <c r="C49" i="8"/>
  <c r="C36" i="8"/>
  <c r="C57" i="8" s="1"/>
  <c r="F52" i="1"/>
  <c r="F78" i="11"/>
  <c r="F79" i="11"/>
  <c r="P35" i="9"/>
  <c r="E49" i="8"/>
  <c r="E36" i="8"/>
  <c r="E57" i="8" s="1"/>
  <c r="D49" i="8"/>
  <c r="B47" i="8"/>
  <c r="B40" i="8"/>
  <c r="B17" i="8"/>
  <c r="B23" i="8"/>
  <c r="B25" i="8"/>
  <c r="B29" i="8"/>
  <c r="AC35" i="9"/>
  <c r="AD35" i="9" s="1"/>
  <c r="N34" i="9"/>
  <c r="N33" i="9"/>
  <c r="E92" i="9"/>
  <c r="D92" i="9"/>
  <c r="Q29" i="9"/>
  <c r="R29" i="9" s="1"/>
  <c r="B43" i="9" s="1"/>
  <c r="D43" i="9" s="1"/>
  <c r="J26" i="9"/>
  <c r="J29" i="9" s="1"/>
  <c r="J28" i="9"/>
  <c r="N32" i="9"/>
  <c r="N35" i="9" s="1"/>
  <c r="D60" i="9"/>
  <c r="D61" i="9"/>
  <c r="D59" i="9"/>
  <c r="O32" i="9"/>
  <c r="O35" i="9" s="1"/>
  <c r="M32" i="9"/>
  <c r="M35" i="9" s="1"/>
  <c r="O29" i="9"/>
  <c r="V71" i="9"/>
  <c r="X58" i="9"/>
  <c r="B71" i="9"/>
  <c r="D58" i="9"/>
  <c r="I15" i="10"/>
  <c r="R15" i="10"/>
  <c r="Q15" i="10"/>
  <c r="P15" i="10"/>
  <c r="F49" i="8"/>
  <c r="F36" i="8"/>
  <c r="F57" i="8" s="1"/>
  <c r="I98" i="3" l="1"/>
  <c r="H116" i="3"/>
  <c r="AK37" i="12"/>
  <c r="AK48" i="12" s="1"/>
  <c r="AK6" i="12"/>
  <c r="E85" i="9"/>
  <c r="F52" i="6"/>
  <c r="E98" i="9"/>
  <c r="O15" i="10"/>
  <c r="AE15" i="10"/>
  <c r="AG15" i="10"/>
  <c r="AF15" i="10"/>
  <c r="AH37" i="12"/>
  <c r="AH48" i="12" s="1"/>
  <c r="AH6" i="12"/>
  <c r="M29" i="9"/>
  <c r="J35" i="9"/>
  <c r="AJ37" i="12"/>
  <c r="AJ48" i="12" s="1"/>
  <c r="AJ6" i="12"/>
  <c r="AG37" i="12"/>
  <c r="AG48" i="12" s="1"/>
  <c r="AG6" i="12"/>
  <c r="B49" i="8"/>
  <c r="B36" i="8"/>
  <c r="B57" i="8" s="1"/>
  <c r="N29" i="9"/>
  <c r="H134" i="3" l="1"/>
  <c r="I134" i="3" s="1"/>
  <c r="I116" i="3"/>
</calcChain>
</file>

<file path=xl/sharedStrings.xml><?xml version="1.0" encoding="utf-8"?>
<sst xmlns="http://schemas.openxmlformats.org/spreadsheetml/2006/main" count="1966" uniqueCount="713">
  <si>
    <t>ИСХОДНЫЕ ДАННЫЕ</t>
  </si>
  <si>
    <t xml:space="preserve">ПАО "ДОРОГОБУЖ" </t>
  </si>
  <si>
    <t>Бухгалтерский баланс за</t>
  </si>
  <si>
    <t xml:space="preserve">2013-2019 годы </t>
  </si>
  <si>
    <t>Валюта расчета</t>
  </si>
  <si>
    <t>тыс. руб.</t>
  </si>
  <si>
    <t>АКТИВ</t>
  </si>
  <si>
    <t>Код строки</t>
  </si>
  <si>
    <t>на 31 декабря 2019 года</t>
  </si>
  <si>
    <t>на 31 декабря 2018 года</t>
  </si>
  <si>
    <t>на 31 декабря 2017 года</t>
  </si>
  <si>
    <t>на 31 декабря 2016 года</t>
  </si>
  <si>
    <t>на 31 декабря 2015 года</t>
  </si>
  <si>
    <t>на 31 декабря 2014 года</t>
  </si>
  <si>
    <t>на 31 декабря 2013 года</t>
  </si>
  <si>
    <t>на 31 декабря 2012 года</t>
  </si>
  <si>
    <t>I. ВНЕОБОРОТНЫЕ АКТИВЫ</t>
  </si>
  <si>
    <t>Нематериальные активы</t>
  </si>
  <si>
    <t>Результаты исследований и разработок</t>
  </si>
  <si>
    <t>Основные средства</t>
  </si>
  <si>
    <t>Доходные вложения в материальные ценности</t>
  </si>
  <si>
    <t>Финансовые вложения</t>
  </si>
  <si>
    <t>Отложенные налоговые активы</t>
  </si>
  <si>
    <t>Прочие внеоборотные активы</t>
  </si>
  <si>
    <t>ИТОГО по разделу I</t>
  </si>
  <si>
    <t>II. ОБОРОТНЫЕ АКТИВЫ</t>
  </si>
  <si>
    <t>Запасы</t>
  </si>
  <si>
    <t>Налог на добавленную стоимость по приобретенным ценностям</t>
  </si>
  <si>
    <t>Дебиторская задолженность</t>
  </si>
  <si>
    <t>долгосрочная дебиторская задолженность</t>
  </si>
  <si>
    <t>краткосрочная дебиторская задолженность</t>
  </si>
  <si>
    <t>Финансовые вложения (за исключением денежных эквивалентов)</t>
  </si>
  <si>
    <t>Денежные средства и денежные эквиваленты</t>
  </si>
  <si>
    <t>Прочие оборотные активы</t>
  </si>
  <si>
    <t>ИТОГО по разделу II</t>
  </si>
  <si>
    <t>БАЛАНС (актив)</t>
  </si>
  <si>
    <t>ПАССИВ</t>
  </si>
  <si>
    <t>III. КАПИТАЛ И РЕЗЕРВЫ</t>
  </si>
  <si>
    <t>Уставный капитал (складочный капитал, уставный фонд, вклады товарищей)</t>
  </si>
  <si>
    <t>Собственные акции, выкупленные у акционеров</t>
  </si>
  <si>
    <t>Переоценка внеоборотных активов</t>
  </si>
  <si>
    <t>Добавочный капитал (без переоценки)</t>
  </si>
  <si>
    <t>Резервный капитал</t>
  </si>
  <si>
    <t>Нераспределенная прибыль (непокрытый убыток)</t>
  </si>
  <si>
    <t>ИТОГО по разделу III</t>
  </si>
  <si>
    <t>IV. ДОЛГОСРОЧНЫЕ ОБЯЗАТЕЛЬСТВА</t>
  </si>
  <si>
    <t>Заемные средства</t>
  </si>
  <si>
    <t>Отложенные налоговые обязательства</t>
  </si>
  <si>
    <t>Оценочные обязательства</t>
  </si>
  <si>
    <t>Прочие обязательства</t>
  </si>
  <si>
    <t>ИТОГО по разделу IV</t>
  </si>
  <si>
    <t>V. КРАТКОСРОЧНЫЕ ОБЯЗАТЕЛЬСТВА</t>
  </si>
  <si>
    <t>Кредиторская задолженность</t>
  </si>
  <si>
    <t>Доходы будущих периодов</t>
  </si>
  <si>
    <t>ИТОГО по разделу V</t>
  </si>
  <si>
    <t>БАЛАНС (пассив)</t>
  </si>
  <si>
    <t>Отчет о финансовых результатах</t>
  </si>
  <si>
    <t>Наименование показателя</t>
  </si>
  <si>
    <t>строка</t>
  </si>
  <si>
    <t>за январь-декабрь 2019 года</t>
  </si>
  <si>
    <t>за январь-декабрь 2018 года</t>
  </si>
  <si>
    <t>за январь-декабрь 2017 года</t>
  </si>
  <si>
    <t>за январь-декабрь 2016 года</t>
  </si>
  <si>
    <t>за январь-декабрь 2015 года</t>
  </si>
  <si>
    <t>за январь-декабрь 2014 года</t>
  </si>
  <si>
    <t>за январь-декабрь 2013 года</t>
  </si>
  <si>
    <t xml:space="preserve">   Доходы и расходы по обычным видам деятельности</t>
  </si>
  <si>
    <t xml:space="preserve">Выручка </t>
  </si>
  <si>
    <t>Себестоимость продаж</t>
  </si>
  <si>
    <t>Валовая прибыль</t>
  </si>
  <si>
    <t>Коммерческие расходы</t>
  </si>
  <si>
    <t>Управленческие расходы</t>
  </si>
  <si>
    <t>Прибыль (убыток) от продаж</t>
  </si>
  <si>
    <t xml:space="preserve">    Прочие доходы и расходы</t>
  </si>
  <si>
    <t>Доходы от участия в других организациях</t>
  </si>
  <si>
    <t>Проценты к получению</t>
  </si>
  <si>
    <t>Проценты к уплате</t>
  </si>
  <si>
    <t>Прочие доходы</t>
  </si>
  <si>
    <t>Прочие  расходы</t>
  </si>
  <si>
    <t xml:space="preserve">     Прибыль (убыток) до налогообложения</t>
  </si>
  <si>
    <t>Текущий налог на прибыль</t>
  </si>
  <si>
    <t xml:space="preserve">   в т.ч. постоянные налоговые обязательства (активы)</t>
  </si>
  <si>
    <t>Изменение отложенных налоговых обязательств</t>
  </si>
  <si>
    <t>Изменение отложенных налоговых активов</t>
  </si>
  <si>
    <t>Прочее</t>
  </si>
  <si>
    <t xml:space="preserve">    Чистая прибыль (убыток)</t>
  </si>
  <si>
    <t>показатели</t>
  </si>
  <si>
    <t>СПРАВОЧНО</t>
  </si>
  <si>
    <t>Результат от переоценки внеоборотных активов, не включаемый в чистую прибыль (убыток) периода</t>
  </si>
  <si>
    <t>Результат от прочих операций, не включаемый в чистую прибыль (убыток) периода</t>
  </si>
  <si>
    <t>Совокупный финансовый результат периода</t>
  </si>
  <si>
    <t>Базовая прибыль (убыток) на акцию, руб.</t>
  </si>
  <si>
    <t>Разводненная прибыль (убыток) на акцию</t>
  </si>
  <si>
    <t>Отчет об изменениях капитала</t>
  </si>
  <si>
    <t>I. Движение капитала</t>
  </si>
  <si>
    <t>код</t>
  </si>
  <si>
    <t>Уставный капитал</t>
  </si>
  <si>
    <t>Добавочный капитал</t>
  </si>
  <si>
    <t>Итого</t>
  </si>
  <si>
    <t>Величина капитала на 31.12.2012 г.</t>
  </si>
  <si>
    <t>за 2013 год</t>
  </si>
  <si>
    <t>Увеличение капитала, всего</t>
  </si>
  <si>
    <t>Х</t>
  </si>
  <si>
    <t>в том числе чистая прибыль</t>
  </si>
  <si>
    <t>переоценка имущества</t>
  </si>
  <si>
    <t>доходы, относящиеся непосредственно на увеличение капитала</t>
  </si>
  <si>
    <t>дополнительный выпуск акций</t>
  </si>
  <si>
    <t>увеличение номинальной стоимости акций</t>
  </si>
  <si>
    <t>-</t>
  </si>
  <si>
    <t>реорганизация юридического лица</t>
  </si>
  <si>
    <t>Уменьшение капитала, всего</t>
  </si>
  <si>
    <t>в том числе убыток</t>
  </si>
  <si>
    <t>расходы, относящиеся непосредственно на уменьшение капитала</t>
  </si>
  <si>
    <t>уменьшение номинальной стоимости акций</t>
  </si>
  <si>
    <t>уменьшение количества акций</t>
  </si>
  <si>
    <t>дивиденды</t>
  </si>
  <si>
    <t>Изменение добавочного капитала</t>
  </si>
  <si>
    <t>Изменение резервного капитала</t>
  </si>
  <si>
    <t>Величина капитала на 31.12.2013 г.</t>
  </si>
  <si>
    <t>за 2014 год</t>
  </si>
  <si>
    <t>Величина капитала на 31.12.2014 г.</t>
  </si>
  <si>
    <t>за 2015 год</t>
  </si>
  <si>
    <t>Величина капитала на 31.12.2015 г.</t>
  </si>
  <si>
    <t>за 2016 год</t>
  </si>
  <si>
    <t>Величина капитала на 31.12.2016 г.</t>
  </si>
  <si>
    <t>за 2017 год</t>
  </si>
  <si>
    <t>Величина капитала на 31.12.2017 г.</t>
  </si>
  <si>
    <t>за 2018 год</t>
  </si>
  <si>
    <t>Величина капитала на 31.12.2018 г.</t>
  </si>
  <si>
    <t>за 2019 год</t>
  </si>
  <si>
    <t>Величина капитала на 31.12.2019 г.</t>
  </si>
  <si>
    <t>Чистые активы</t>
  </si>
  <si>
    <t xml:space="preserve">Отчет о движении денежных средств </t>
  </si>
  <si>
    <t>Движение денежных средств по текущей деятельности</t>
  </si>
  <si>
    <t>Поступило денежных средств, всего</t>
  </si>
  <si>
    <t>в том числе от продажи продукции, товаров, работ, услуг</t>
  </si>
  <si>
    <t>арендных платежей, лицензионных платежей, роялти, комиссионных и иных аналогичных платежей</t>
  </si>
  <si>
    <t>прочие поступления</t>
  </si>
  <si>
    <t>Направлено денежных средств, всего</t>
  </si>
  <si>
    <t>на оплату товаров, работ, услуг</t>
  </si>
  <si>
    <t>на оплату труда</t>
  </si>
  <si>
    <t>на выплату процентов по долговым обязательства</t>
  </si>
  <si>
    <t>на расчеты по налогу на прибыль</t>
  </si>
  <si>
    <t>на прочие выплаты, перечисления</t>
  </si>
  <si>
    <t>Результат движения денежных средств от текущей деятельности</t>
  </si>
  <si>
    <t>Движение денежных средств по инвестиционной деятельности</t>
  </si>
  <si>
    <t>Поступления, всего</t>
  </si>
  <si>
    <t>в том числе от продажи внеоборотных активов (кроме финансовых вложений)</t>
  </si>
  <si>
    <t>от продажи акций (долей участия) в других организациях</t>
  </si>
  <si>
    <t>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</si>
  <si>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</si>
  <si>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</si>
  <si>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Платежи, всего</t>
  </si>
  <si>
    <t>в том числе:</t>
  </si>
  <si>
    <t>в связи с приобретением, созданием, модернизацией, реконструкцией и подготовкой к использованию внеоборотных активов</t>
  </si>
  <si>
    <t>в связи с приобретением долей участия в других организациях</t>
  </si>
  <si>
    <t>в связи с приобретением долговых ценных бумаг (прав требования денежных средств к другим лицам), предоставление займов другим лицам</t>
  </si>
  <si>
    <t>процентов по долговым обязательствам, включаемым в стоимость инвестиционного актива</t>
  </si>
  <si>
    <t>прочие платежи</t>
  </si>
  <si>
    <t>Результат движения денежных средств от инвестиционной деятельности</t>
  </si>
  <si>
    <t>Движение денежных средств по финансовой деятельности</t>
  </si>
  <si>
    <t>в том числе получение займов, кредитов</t>
  </si>
  <si>
    <t>денежных вкладов собственников (участников)</t>
  </si>
  <si>
    <t>от выпуска акций (увеличения долей участия)</t>
  </si>
  <si>
    <t>от выпуска облигаций, векселей, других долговых ценных бумаг и др.</t>
  </si>
  <si>
    <t>бюджетные ассигнования и иное целевое финансирование</t>
  </si>
  <si>
    <t>в том числе собственникам (участникам) в связи с выкупом у них акций (долей участия) организации или их выходом из состава участников</t>
  </si>
  <si>
    <t>на выплату дивидендов или иных платежей по распределению прибыли в пользу собственников (участников)</t>
  </si>
  <si>
    <t>в связи с погашением (выкупом) векселей и других ценных бумаг, возврат кредитов и займов</t>
  </si>
  <si>
    <t>Результат движения денежных средств от финансовой деятельности</t>
  </si>
  <si>
    <t>Сальдо денежных потоков за отчетный период</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</si>
  <si>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</si>
  <si>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</si>
  <si>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Величина влияния изменений курса иностранной валюты по отношению к рублю</t>
  </si>
  <si>
    <t>меню</t>
  </si>
  <si>
    <t>ПОЯСНИТЕЛЬНАЯ ЗАПИСКА К БУХГАЛТЕРСКОЙ ОТЧЕТНОСТИ</t>
  </si>
  <si>
    <t>Наличие и движение нематериальных активов за 2013 год</t>
  </si>
  <si>
    <t>Показатель</t>
  </si>
  <si>
    <t>на начало года</t>
  </si>
  <si>
    <t>поступило</t>
  </si>
  <si>
    <t>выбыло</t>
  </si>
  <si>
    <t>начислено амортизации</t>
  </si>
  <si>
    <t>убыток от обесценения</t>
  </si>
  <si>
    <t>на конец года</t>
  </si>
  <si>
    <t>наименование</t>
  </si>
  <si>
    <t>первоначальная стоимость</t>
  </si>
  <si>
    <t>накопленная амортизация и убытки от обесценения</t>
  </si>
  <si>
    <t>Нематериальные активы, всего</t>
  </si>
  <si>
    <t xml:space="preserve">   в том числе:                                                          товарные знаки</t>
  </si>
  <si>
    <t>НОУ-ХАУ</t>
  </si>
  <si>
    <t>патенты</t>
  </si>
  <si>
    <t>программы</t>
  </si>
  <si>
    <t>Незаконченные и неоформленные НИОКР и незаконченные операции по приобретению нематериальных активов</t>
  </si>
  <si>
    <t>Наличие и движение нематериальных активов за 2014 год</t>
  </si>
  <si>
    <t>Наличие и движение основных средств за 2013 год</t>
  </si>
  <si>
    <t>переоценка</t>
  </si>
  <si>
    <t>Основные средства, всего</t>
  </si>
  <si>
    <t>Здания</t>
  </si>
  <si>
    <t>Сооружения и передаточные устройства</t>
  </si>
  <si>
    <t>Машины и оборудование</t>
  </si>
  <si>
    <t>Транспортные средства</t>
  </si>
  <si>
    <t>Производственный и хозяйственный инвентарь</t>
  </si>
  <si>
    <t>Рабочий скот</t>
  </si>
  <si>
    <t>Продуктивный скот</t>
  </si>
  <si>
    <t>Многолетние насаждения</t>
  </si>
  <si>
    <t>Другие виды основных средств</t>
  </si>
  <si>
    <t>Земельные участки и объекты природопользования</t>
  </si>
  <si>
    <t>Капитальные вложения на коренное улучшение земель</t>
  </si>
  <si>
    <t>Незавершенное строительство и незаконченные операции по приобретению, модернизации основных средств</t>
  </si>
  <si>
    <t>Наличие и движение основных средств за 2014 год</t>
  </si>
  <si>
    <t>Информация об ином использовании основных средств</t>
  </si>
  <si>
    <t>на 31 декабря 2011 года</t>
  </si>
  <si>
    <t>на 31 декабря 2010 года</t>
  </si>
  <si>
    <t>Переданные в аренду основные средства, числящиеся на балансе</t>
  </si>
  <si>
    <t>Полученные в аренду основные средства, числящиеся на балансе</t>
  </si>
  <si>
    <t>Основные средства, переведенные на консервацию</t>
  </si>
  <si>
    <t>Иное использование основных средств (залог и др.)</t>
  </si>
  <si>
    <t>Наличие и движение финансовых вложений за 2011 год</t>
  </si>
  <si>
    <t>положительные курсовые разницы</t>
  </si>
  <si>
    <t>изменения за период</t>
  </si>
  <si>
    <t>накопленная корректировка</t>
  </si>
  <si>
    <t>отрицательные курсовые разницы</t>
  </si>
  <si>
    <t>начисление процентов, включая доведение первоначальной стоимости до номинальной</t>
  </si>
  <si>
    <t>текущей рыночной стоимости (убытков от обесценения)</t>
  </si>
  <si>
    <t>Долгосрочные, всего</t>
  </si>
  <si>
    <t>Вклады в уставные (складочные) капиталы других организаций</t>
  </si>
  <si>
    <t>вложения в дочерние общества</t>
  </si>
  <si>
    <t>вложения в зависимые общества</t>
  </si>
  <si>
    <t>вложения в другие общества</t>
  </si>
  <si>
    <t>Предоставленные займы</t>
  </si>
  <si>
    <t>Долговые ценные бумаги</t>
  </si>
  <si>
    <t>Прочие</t>
  </si>
  <si>
    <t>Краткосрочные, всего</t>
  </si>
  <si>
    <t>Депозиты</t>
  </si>
  <si>
    <t>Финансовых вложений, всего</t>
  </si>
  <si>
    <t>Наличие и движение финансовых вложений за 2012 год</t>
  </si>
  <si>
    <t>Наличие и движение запасов за 2011 год</t>
  </si>
  <si>
    <t>поступления и затраты</t>
  </si>
  <si>
    <t>убытки от снижения стоимости</t>
  </si>
  <si>
    <t>оборот запасов между их видами</t>
  </si>
  <si>
    <t>себестоимость</t>
  </si>
  <si>
    <t>величина резерва под снижение стоимости</t>
  </si>
  <si>
    <t>резерв под снижение стоимости</t>
  </si>
  <si>
    <t>Запасы, всего</t>
  </si>
  <si>
    <t>сырье, материалы, другие аналогичные ценности</t>
  </si>
  <si>
    <t>затраты в незавершенном производстве</t>
  </si>
  <si>
    <t>готовая продукция</t>
  </si>
  <si>
    <t>товары отгруженные</t>
  </si>
  <si>
    <t>расходы будущих периодов</t>
  </si>
  <si>
    <t>прочие</t>
  </si>
  <si>
    <t>Наличие и движение запасов за 2012 год</t>
  </si>
  <si>
    <t>Наличие и движение дебиторской задолженности в 2011 году</t>
  </si>
  <si>
    <t>поступление</t>
  </si>
  <si>
    <t>выбытие</t>
  </si>
  <si>
    <t>перевод из долгосрочной в краткосрочную</t>
  </si>
  <si>
    <t>учтенная по условиям договора</t>
  </si>
  <si>
    <t>величина резерва по сомнительным долгам</t>
  </si>
  <si>
    <t>в результате хозяйственных операций</t>
  </si>
  <si>
    <t>причитающиеся, проценты, штрафы, другие начисления</t>
  </si>
  <si>
    <t>погашение</t>
  </si>
  <si>
    <t>списание на финансовый результат</t>
  </si>
  <si>
    <t>восстановление резерва</t>
  </si>
  <si>
    <t>Долгосрочная дебиторская задолженность, всего</t>
  </si>
  <si>
    <t xml:space="preserve">   покупатели и заказчики</t>
  </si>
  <si>
    <t xml:space="preserve">   авансы выданные</t>
  </si>
  <si>
    <t xml:space="preserve">   прочая</t>
  </si>
  <si>
    <t>Краткосрочная дебиторская задолженность, всего</t>
  </si>
  <si>
    <t>Наличие и движение дебиторской задолженности в 2012 году</t>
  </si>
  <si>
    <t>Просроченная дебиторская задолженность</t>
  </si>
  <si>
    <t>Код</t>
  </si>
  <si>
    <t>балансовая стоимость</t>
  </si>
  <si>
    <t>Дебиторская задолженность, всего</t>
  </si>
  <si>
    <t>Наличие и движение кредиторской задолженности в 2011 году</t>
  </si>
  <si>
    <t>остаток на начало года</t>
  </si>
  <si>
    <t>остаток на конец года</t>
  </si>
  <si>
    <t>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</si>
  <si>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</si>
  <si>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</si>
  <si>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</si>
  <si>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</si>
  <si>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</si>
  <si>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</si>
  <si>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Краткосрочная кредиторская задолженность, всего</t>
  </si>
  <si>
    <t>Наличие и движение кредиторской задолженности в 2012 году</t>
  </si>
  <si>
    <t>Затраты на производство (по элементам затрат)</t>
  </si>
  <si>
    <t>Материальные затраты</t>
  </si>
  <si>
    <t>Затраты на оплату труда</t>
  </si>
  <si>
    <t>Отчисления на социальные нужды</t>
  </si>
  <si>
    <t>Амортизация</t>
  </si>
  <si>
    <t>Прочие затраты</t>
  </si>
  <si>
    <t>Итого по элементам затрат:</t>
  </si>
  <si>
    <t>Изменение остатков (прирост [+], уменьшение [-]):</t>
  </si>
  <si>
    <t xml:space="preserve">   незавершённого производства:</t>
  </si>
  <si>
    <t xml:space="preserve">    готовой продукции</t>
  </si>
  <si>
    <t>Итого расходы по обычным видам деятельности</t>
  </si>
  <si>
    <t>Обеспечения обязательств</t>
  </si>
  <si>
    <t>Полученные, всего</t>
  </si>
  <si>
    <t xml:space="preserve">   в том числе</t>
  </si>
  <si>
    <t>банковские гарантии</t>
  </si>
  <si>
    <t>залог по договору</t>
  </si>
  <si>
    <t>поручительство</t>
  </si>
  <si>
    <t>Выданные, всего</t>
  </si>
  <si>
    <t>гарантийное обеспечение</t>
  </si>
  <si>
    <t>ДОПОЛНИТЕЛЬНАЯ ИНФОРМАЦИЯ ПО ОРГАНИЗАЦИИ</t>
  </si>
  <si>
    <t>Среднесписочная численность работающих</t>
  </si>
  <si>
    <t>Номинальная стоимость обыкновенной акции, тыс. руб.</t>
  </si>
  <si>
    <t>Количество размещённых обыкновенных акций</t>
  </si>
  <si>
    <t xml:space="preserve">   в том числе на балансе общества</t>
  </si>
  <si>
    <t>Количество размещённых привилегированных акций</t>
  </si>
  <si>
    <t>МАКРОЭКОНОМИЧЕСКИЕ ПОКАЗАТЕЛИ</t>
  </si>
  <si>
    <t>Темп инфляции, %</t>
  </si>
  <si>
    <t>Требуемая ставка доходности собственного капитала, %</t>
  </si>
  <si>
    <t>ОТРАСЛЕВЫЕ, РЕГИОНАЛЬНЫЕ И РЫНОЧНЫЕ ПОКАЗАТЕЛИ</t>
  </si>
  <si>
    <t>Средний номинальный темп прироста ВВП</t>
  </si>
  <si>
    <t>Средний номинальный темп прироста объема производства в отрасли</t>
  </si>
  <si>
    <t>Коэффициент бета вида деятельности</t>
  </si>
  <si>
    <t>Средний процент по кредитам, %</t>
  </si>
  <si>
    <t>Безрисковая доходность, %</t>
  </si>
  <si>
    <t>Рыночная премия за риск, %</t>
  </si>
  <si>
    <t>Бухгалтерский баланс в среднегодовых показателях за</t>
  </si>
  <si>
    <t>2019 год</t>
  </si>
  <si>
    <t>2018 год</t>
  </si>
  <si>
    <t>2017 год</t>
  </si>
  <si>
    <t>2016 год</t>
  </si>
  <si>
    <t>2015 год</t>
  </si>
  <si>
    <t>2014 год</t>
  </si>
  <si>
    <t>2013 год</t>
  </si>
  <si>
    <t>СЧА</t>
  </si>
  <si>
    <t>Бизнес-модель ПАО "ДОРОГОБУЖ"</t>
  </si>
  <si>
    <t>ПРОДУКЦИЯ</t>
  </si>
  <si>
    <t>ПОТРЕБИТЕЛИ</t>
  </si>
  <si>
    <t>Аммиак</t>
  </si>
  <si>
    <t>Сельскохозяйственные предприятия</t>
  </si>
  <si>
    <t>Аммиачная селитра (азотные удобрения)</t>
  </si>
  <si>
    <t>Агрохолдинги</t>
  </si>
  <si>
    <t>Сложные удобрения (NPK, азофоска)</t>
  </si>
  <si>
    <t>Фермерские хозяйства</t>
  </si>
  <si>
    <t>Промышленные продукты неорганической химии</t>
  </si>
  <si>
    <t>Химические предприятия</t>
  </si>
  <si>
    <t>Смешанные минеральные удобрения</t>
  </si>
  <si>
    <t>Международные трейдеры и дистрибьюторы удобрений</t>
  </si>
  <si>
    <t>КЛЮЧЕВЫЕ БИЗНЕС-ПРОЦЕССЫ</t>
  </si>
  <si>
    <t>КЛЮЧЕВЫЕ РЕСУРСЫ</t>
  </si>
  <si>
    <t>Закупка сырья (природный газ, апатитовый концентрат, калийное сырье)</t>
  </si>
  <si>
    <t>Производственные мощности (химический завод, технологические линии)</t>
  </si>
  <si>
    <t>Производство аммиака</t>
  </si>
  <si>
    <t>Сырье (газ, фосфатное и калийное сырье)</t>
  </si>
  <si>
    <t>Производство азотных и сложных удобрений</t>
  </si>
  <si>
    <t>Логистическая инфраструктура (ж/д транспорт, склады)</t>
  </si>
  <si>
    <t>Гранулирование и подготовка готовой продукции</t>
  </si>
  <si>
    <t>Квалифицированный персонал</t>
  </si>
  <si>
    <t>Сбыт продукции на внутреннем и внешнем рынках</t>
  </si>
  <si>
    <t>Технологии и оборудование химического производства</t>
  </si>
  <si>
    <t>Логистика и экспорт продукции</t>
  </si>
  <si>
    <t>Сбытовая сеть группы «Акрон»</t>
  </si>
  <si>
    <t>ФОРМУЛА ПРИБЫЛИ</t>
  </si>
  <si>
    <t>ВЫРУЧКА</t>
  </si>
  <si>
    <t>РАСХОДЫ</t>
  </si>
  <si>
    <t>Продажа азотных удобрений</t>
  </si>
  <si>
    <t>Закупка сырья и материалов</t>
  </si>
  <si>
    <t>Продажа сложных удобрений (NPK)</t>
  </si>
  <si>
    <t>Энергоресурсы (природный газ, электроэнергия)</t>
  </si>
  <si>
    <t>Продажа аммиака</t>
  </si>
  <si>
    <t>Производственные расходы и амортизация</t>
  </si>
  <si>
    <t>Реализация промышленной химической продукции</t>
  </si>
  <si>
    <t>Транспортировка и логистика</t>
  </si>
  <si>
    <t>Экспорт минеральных удобрений</t>
  </si>
  <si>
    <t>Коммерческие и управленческие расходы</t>
  </si>
  <si>
    <t>Финансовые расходы (проценты по кредитам)</t>
  </si>
  <si>
    <t>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</si>
  <si>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ЭКСПРЕСС-АНАЛИЗ И КЛЮЧЕВЫЕ ПОКАЗАТЕЛИ ДЕЯТЕЛЬНОСТИ</t>
  </si>
  <si>
    <t>Экономический потенциал</t>
  </si>
  <si>
    <t>Валюта баланса, тыс. руб.</t>
  </si>
  <si>
    <t>Численность работающих, чел.</t>
  </si>
  <si>
    <t>Чистая прибыль, тыс. руб.</t>
  </si>
  <si>
    <t>Текущий налог на прибыль, тыс. руб.</t>
  </si>
  <si>
    <t>Платежи по налогам и сборам, тыс. руб.</t>
  </si>
  <si>
    <t>Долгосрочные финансовые вложения, тыс. руб.</t>
  </si>
  <si>
    <t>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</si>
  <si>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</si>
  <si>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*вывод автоматически не формируется</t>
  </si>
  <si>
    <t>Финансовое положение</t>
  </si>
  <si>
    <t>Уставный капитал, тыс. руб.</t>
  </si>
  <si>
    <t xml:space="preserve">   в процентах к валюте баланса</t>
  </si>
  <si>
    <t>Собственный капитал, тыс. руб.</t>
  </si>
  <si>
    <t xml:space="preserve">   в процентах к валюте баланса, %</t>
  </si>
  <si>
    <t>Стоимость чистых активов, тыс. руб.</t>
  </si>
  <si>
    <t xml:space="preserve">   отношение СЧА к уставному капиталу</t>
  </si>
  <si>
    <t>Долгосрочные обязательства, тыс. руб.</t>
  </si>
  <si>
    <t>Краткосрочные заемные средства, тыс. руб.</t>
  </si>
  <si>
    <t>Арендованные по лизингу основные средства, тыс. руб.</t>
  </si>
  <si>
    <t>Кредиторская задолженность, тыс. руб.</t>
  </si>
  <si>
    <t>Собственные оборотные средства, тыс. руб.</t>
  </si>
  <si>
    <t>Вывод (финансово устойчивое или финансово неустойчивое предприятие)*</t>
  </si>
  <si>
    <t>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</si>
  <si>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Эффективность деятельности</t>
  </si>
  <si>
    <t>Рентабельность собственного капитала, %</t>
  </si>
  <si>
    <t>это чистая прибыль/величину собственного капитала *100</t>
  </si>
  <si>
    <t>средняя ставка по депозитам, %</t>
  </si>
  <si>
    <t>Рентабельность активов, %</t>
  </si>
  <si>
    <t>средняя ставка по кредитам, %</t>
  </si>
  <si>
    <t>Коэффициент оборачиваемости активов, раз в год</t>
  </si>
  <si>
    <t>Производительность труда, тыс. руб./чел.</t>
  </si>
  <si>
    <t>Вывод (высоко эффективное, недостаточно эффективное, убыточное предприятие)*</t>
  </si>
  <si>
    <t>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</si>
  <si>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Динамика основных показателей</t>
  </si>
  <si>
    <t>2019/2018 год</t>
  </si>
  <si>
    <t>2018/2017 год</t>
  </si>
  <si>
    <t>2017/2016 год</t>
  </si>
  <si>
    <t>2016/2015 год</t>
  </si>
  <si>
    <t>2015/2014 год</t>
  </si>
  <si>
    <t>2014/2013 год</t>
  </si>
  <si>
    <t>Темп прироста валюты баланса, %</t>
  </si>
  <si>
    <t>Темп прироста выручки, %</t>
  </si>
  <si>
    <t>Темп прироста чистой прибыли, %</t>
  </si>
  <si>
    <t xml:space="preserve">   справочно: темп инфляции</t>
  </si>
  <si>
    <t>Вывод (рост, снижение)*</t>
  </si>
  <si>
    <t>Инвестиционная привлекательность</t>
  </si>
  <si>
    <t>Вывод (звезда, собака, лошадь, корова)</t>
  </si>
  <si>
    <t>ВЕРТИКАЛЬНЫЙ, ГОРИЗОНТАЛЬНЫЙ И ФАКТОРНЫЙ АНАЛИЗ АГРЕГИРОВАННОГО БАЛАНСА (значения на определенную дату)</t>
  </si>
  <si>
    <t>обозначения</t>
  </si>
  <si>
    <t>сумма, тыс. руб.</t>
  </si>
  <si>
    <t>удельный вес, %</t>
  </si>
  <si>
    <t>изменения</t>
  </si>
  <si>
    <t>31.12.2019</t>
  </si>
  <si>
    <t>31.12.2018</t>
  </si>
  <si>
    <t>31.12.2017</t>
  </si>
  <si>
    <t>31.12.2016</t>
  </si>
  <si>
    <t>31.12.2015</t>
  </si>
  <si>
    <t>31.12.2014</t>
  </si>
  <si>
    <t>31.12.2013</t>
  </si>
  <si>
    <t>31.12.2012</t>
  </si>
  <si>
    <t>в тыс. руб.</t>
  </si>
  <si>
    <t>темп прироста, %</t>
  </si>
  <si>
    <t>в структуре, %</t>
  </si>
  <si>
    <t>Труднореализуемые активы</t>
  </si>
  <si>
    <t>А4</t>
  </si>
  <si>
    <t>Медленно реализуемые активы</t>
  </si>
  <si>
    <t>А3</t>
  </si>
  <si>
    <t>Быстрореализуемые активы</t>
  </si>
  <si>
    <t>А2</t>
  </si>
  <si>
    <t>Наиболее ликвидные активы</t>
  </si>
  <si>
    <t>А1</t>
  </si>
  <si>
    <t>БАЛАНС</t>
  </si>
  <si>
    <t>Бессрочные пассивы</t>
  </si>
  <si>
    <t>П4</t>
  </si>
  <si>
    <t>Долгосрочные пассивы</t>
  </si>
  <si>
    <t>П3</t>
  </si>
  <si>
    <t>Краткосрочные пассивы</t>
  </si>
  <si>
    <t>П2</t>
  </si>
  <si>
    <t>Наиболее срочные обязательства</t>
  </si>
  <si>
    <t>П1</t>
  </si>
  <si>
    <t>проверка</t>
  </si>
  <si>
    <t>ошибка (должно быть 0 или прочерк)</t>
  </si>
  <si>
    <t>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</si>
  <si>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</si>
  <si>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</si>
  <si>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</si>
  <si>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</si>
  <si>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</si>
  <si>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</si>
  <si>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Информация для выводов по агрегированному балансу</t>
  </si>
  <si>
    <t>актив баланса</t>
  </si>
  <si>
    <t>виды деятельности</t>
  </si>
  <si>
    <t>темп прироста балансовых статей</t>
  </si>
  <si>
    <t>темп прироста выручки</t>
  </si>
  <si>
    <t>вывод</t>
  </si>
  <si>
    <t>валюта баланса</t>
  </si>
  <si>
    <t>инвестиционная деятельность</t>
  </si>
  <si>
    <t>операционная деятельность</t>
  </si>
  <si>
    <t>сбытовая деятельность</t>
  </si>
  <si>
    <t>деятельность в зоне денежных потоков</t>
  </si>
  <si>
    <t>Выводы:</t>
  </si>
  <si>
    <t>1. Финансово-хозяйственная деятельность компании носит нестабильный характер.
2. Наилучшая динамика зафиксирована в 2015 г. по сравнению с 2014 г. Однако этот всплеск, вероятно, обусловлен технической причиной — вводом мощностей, которые ранее находились на капитальном ремонте.
3. На протяжении почти всего рассматриваемого периода (исключение составляет промежуток 2013–2015 гг.) темпы прироста инвестиций компании систематически превышали темпы прироста ее выручки.</t>
  </si>
  <si>
    <t>пассив баланса</t>
  </si>
  <si>
    <t>источники финансирования</t>
  </si>
  <si>
    <t>темп прироста валюты баланса</t>
  </si>
  <si>
    <t>собственный капитал</t>
  </si>
  <si>
    <t xml:space="preserve">устойчивые источники финансирования </t>
  </si>
  <si>
    <t xml:space="preserve">обязательства </t>
  </si>
  <si>
    <t>заемный капитал</t>
  </si>
  <si>
    <t>кредиторская задолженность</t>
  </si>
  <si>
    <t>1. СК: Рос в 2014–2015, но доля была мала → компания зависела от заемного капитала. Далее зависимость снижалась, устойчивость росла. Но: в 2019 доля СК резко упала.
2. Источники: Преобладали платные обязательства (бесплатных почти не было). Тенденция к снижению платных источников нарушена в 2019 году ростом кредиторской задолженности.</t>
  </si>
  <si>
    <t>повышение риска невыплаты обязательств</t>
  </si>
  <si>
    <t>снижение риска невыплаты обязательств</t>
  </si>
  <si>
    <t>В проблемные периоды (2014, 2016, 2019 гг.) компания сталкивалась с трудностями в покрытии обязательств. Для расчета с долгами она активно использовала собственный капитал (СК), что было возможно благодаря его достаточному объему. Это объясняет, почему доля СК в балансе со временем снижалась.</t>
  </si>
  <si>
    <t>ОСНОВНЫЕ ИНДИКАТОРЫ БИЗНЕС-ПРОЦЕССОВ: СБЫТ, ИНВЕСТИЦИИ, ПРОИЗВОДСТВО, ФИНАНСОВОЕ ОБЕСПЕЧЕНИЕ</t>
  </si>
  <si>
    <t>Ключевые абсолютные показатели</t>
  </si>
  <si>
    <t>показатель</t>
  </si>
  <si>
    <t>Выручка, тыс. руб.</t>
  </si>
  <si>
    <t>СБЫТ</t>
  </si>
  <si>
    <t>Аномалия роста: Пик 2015 г. (+65% выручки) выбивается из общей волатильной картины, но за ним следуют спады, что подтверждает его разовый характер.
Провал эффективности: В 2019 г. при падении выручки на 20% маржа рухнула вдвое сильнее (-44%) — это указывает на критический рост издержек или ценовой демпинг.
Кассовый разрыв: Хроническое превышение кредиторки над дебиторкой усугубилось в 2019 г., создав риск кассовых разрывов. При этом компания замещает кредиты кредиторкой (отказ от платных займов).
Искажение картины прибыли: Операционная маржа нестабильна, а пиковые значения чистой прибыли в отдельные годы достигнуты за счет неоперационных статей</t>
  </si>
  <si>
    <t>Рентабельность продаж (маржа), %</t>
  </si>
  <si>
    <t>Доля прибыли от продаж в прибыли до налогообложения, %</t>
  </si>
  <si>
    <t>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</si>
  <si>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</si>
  <si>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</si>
  <si>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2013–2016 гг. (Снижение доли ВОА): Доля внеоборотных активов упала с 55% до 18% на фоне спадов темпов роста. При этом коэффициент ввода держался на уровне 0,17–0,26, а годность ОС постепенно снижалась к 2016 г. (0,47).
2017 г. (Пик обновления): Резкий рывок инвестиций (+44% рост ВОА) на фоне минимальной доли в балансе. Компания активно вводила новые ОС.
2018–2019 гг. (Замедление и аномалия): Инвестиции сходят на нет (+1,3% рост ВОА, коэффициент ввода падает до 0,06). При этом в 2019 г. происходит аномальный скачок коэффициента годности до 0,95 — либо проведена модернизация, либо переоценка.</t>
  </si>
  <si>
    <t>Темп прироста внеоборотных активов, %</t>
  </si>
  <si>
    <t>Коэффициент ввода основных средств</t>
  </si>
  <si>
    <t>Коэффициент годности основных средств, %</t>
  </si>
  <si>
    <t>ПРОИЗВОДСТВО</t>
  </si>
  <si>
    <t>Фонды: Оборачиваемость ВОА упала вдвое — деньги вложены, но выручка не растет.
Оборотка: 528 дней — катастрофически медленно, запасы раздуты до 80 дней.
Персонал: Зарплата +74% за 7 лет, производительность упала после 2018 г.
Итог: Эффективность производства снижается. Нужно ускорять обороты и поднимать отдачу от капитала и труда.</t>
  </si>
  <si>
    <t>Коэффициент оборачиваемости внеоборотных активов</t>
  </si>
  <si>
    <t xml:space="preserve">Выводы: </t>
  </si>
  <si>
    <t>Рентабельность чистых активов, %</t>
  </si>
  <si>
    <t>Период оборота оборотных активов, дни</t>
  </si>
  <si>
    <t>Период оборота запасов и НДС, дни</t>
  </si>
  <si>
    <t>Производительность труда, тыс. руб./ чел.</t>
  </si>
  <si>
    <t>Средняя годовая заработная плата, тыс. руб./ чел.</t>
  </si>
  <si>
    <t>ФИНАНСОВОЕ ОБЕСПЕЧЕНИЕ</t>
  </si>
  <si>
    <t xml:space="preserve">    Снижение долговой нагрузки: Компания последовательно сокращала зависимость от заемных средств: финансовый рычаг уменьшился более чем в 4 раза (с 0,58 в 2015 г. до 0,12 в 2019 г.).
    Рост финансовой независимости: Коэффициент автономии достиг уровня 0,93, и даже небольшое снижение до 0,89 в 2019 г. оставляет его в зоне абсолютной устойчивости (норма &gt;0,5).
    Самофинансирование: Рост доли нераспределенной прибыли в активах (с 0,61 до 0,87–0,92) подтверждает, что компания развивается органически, реинвестируя заработанное.
Итог: Компания демонстрирует высокую кредитоспособность и низкие риски. Сигнал 2019 г. — не тренд, а флуктуация, но требует наблюдения.</t>
  </si>
  <si>
    <t>Плечо финансового рычага</t>
  </si>
  <si>
    <t>Коэффициент автономии</t>
  </si>
  <si>
    <t>Отношение капитализированной прибыли к стоимости активов</t>
  </si>
  <si>
    <t>ВЕРТИКАЛЬНЫЙ И ГОРИЗОНТАЛЬНЫЙ АНАЛИЗ АГРЕГИРОВАННОГО ОТЧЕТА О ФИНАНСОВЫХ РЕЗУЛЬТАТАХ</t>
  </si>
  <si>
    <t>изменение за год</t>
  </si>
  <si>
    <t>выручка</t>
  </si>
  <si>
    <t>расходы по обычным видам деятельности</t>
  </si>
  <si>
    <t>прибыль от продаж</t>
  </si>
  <si>
    <t>прочий результат</t>
  </si>
  <si>
    <t>прочий результат (не включая проценты к уплате)</t>
  </si>
  <si>
    <t>проценты к уплате</t>
  </si>
  <si>
    <t>прибыль до налогообложения</t>
  </si>
  <si>
    <t>налог на прибыль и отложенные налоги</t>
  </si>
  <si>
    <t>чистая прибыль</t>
  </si>
  <si>
    <t>нераспределенная прибыль</t>
  </si>
  <si>
    <t>1) Основную долю выручки занимают расходы по основному виду деятельности (это хорошо!)
2) Доля прибыли от продаж достаточно стабильна на протяжении всего анализируемого периода, за исключением 2015 и 2019 гг.:
2.1) Резкий рост прибыли от продаж связан, во-первых, с ростом реализации, во-вторых, с резким различием в скорости нарастания выручки и расходов по обычным видам деятельности. Опережающий рост выручки, во многом, определяется резким ослаблением рубля; снижение доли прибыли от продаж в выручке в 2019 гг, свящано с тем, что скорость пдения выручки превышала скорость падения расходов по обычным видам деятельности</t>
  </si>
  <si>
    <t>Вертикальный анализ отчета о финансовых результатах</t>
  </si>
  <si>
    <t>.</t>
  </si>
  <si>
    <t>Информация для выводов по агрегированному отчету о прибылях и убытках</t>
  </si>
  <si>
    <t>удельный вес валовой прибыли в выручке, %</t>
  </si>
  <si>
    <t>удельный вес прибыли от продаж в выручке, %</t>
  </si>
  <si>
    <t>удельный вес чистой прибыли в выручке, %</t>
  </si>
  <si>
    <t>удельный вес прочего финансового результата в прибыли до налогообложения, %</t>
  </si>
  <si>
    <t>темп прироста выручки, %</t>
  </si>
  <si>
    <t>АНАЛИЗ ФИНАНСОВОЙ УСТОЙЧИВОСТИ</t>
  </si>
  <si>
    <t>Анализ абсолютных показателей финансовой устойчивости</t>
  </si>
  <si>
    <t>Анализ типов финансовой устойчивости</t>
  </si>
  <si>
    <t>Собственные оборотные средства (СОС)</t>
  </si>
  <si>
    <t>Норматив собственного оборотного капитала (10 % от оборотных активов)</t>
  </si>
  <si>
    <t>Дефицит/излишек</t>
  </si>
  <si>
    <t>Собственный оборотный капитал</t>
  </si>
  <si>
    <t>Запасы и НДС</t>
  </si>
  <si>
    <t>Дефицит/излишек источников финансирования запасов</t>
  </si>
  <si>
    <t>Обеспеченность запасов собственным оборотным капиталом, %</t>
  </si>
  <si>
    <t>Собственный оборотный капитал и долгосрочные обязательства</t>
  </si>
  <si>
    <t>Обеспеченность запасов собственным оборотным капиталом и долгосрочными обязательствами, %</t>
  </si>
  <si>
    <t>Собственный оборотный капитал, долгосрочные обязательства и краткосрочные заемные средства</t>
  </si>
  <si>
    <t>Обеспеченность запасов собственным оборотным капиталом, долгосрочными пассивами и краткосрочными кредитами и займами, %</t>
  </si>
  <si>
    <t>Анализ ликвидности баланса (функциональный подход)</t>
  </si>
  <si>
    <t>АНАЛИТИЧЕСКИЙ БАЛАНС</t>
  </si>
  <si>
    <t>Обозначения</t>
  </si>
  <si>
    <t>Внеоборотные активы</t>
  </si>
  <si>
    <t>Запасы, НДС по приобретенным ценностям ценностям и прочие оборотные активы</t>
  </si>
  <si>
    <t>Дебиторская задолженность, краткосрочные финансовые вложения и денежные средства</t>
  </si>
  <si>
    <t>А2+А1</t>
  </si>
  <si>
    <t>Собственный капитал и долгосрочные обязательства</t>
  </si>
  <si>
    <t>П4+П3</t>
  </si>
  <si>
    <t>Краткосрочные заемные средства</t>
  </si>
  <si>
    <t>Кредиторская задолженность и приравненные к ней обязательства</t>
  </si>
  <si>
    <t>Платежные дефициты (-) и излишки (+)</t>
  </si>
  <si>
    <t>Расчет</t>
  </si>
  <si>
    <t>Собственный капитал и долгосрочные обязательства - внеоборотные активы</t>
  </si>
  <si>
    <t>П4+П3-А4</t>
  </si>
  <si>
    <t>Запасы, НДС по приобретенным ценностям ценностям, прочие оборотные активы - кредиторская задолженность и приравненные к ней обязательства</t>
  </si>
  <si>
    <t>А3-П1</t>
  </si>
  <si>
    <t>Дебиторская задолженность, краткосрочные финансовые вложения и денежные средства - Краткосрочные заемные средства</t>
  </si>
  <si>
    <t>А2+А1-П2</t>
  </si>
  <si>
    <t>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</si>
  <si>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</si>
  <si>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</si>
  <si>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Собственный капитал</t>
  </si>
  <si>
    <t>Долгосрочные обязательства</t>
  </si>
  <si>
    <t>Платежные дефициты(-) и излишки(+)</t>
  </si>
  <si>
    <t>Собственный капитал - Внеоборотные активы</t>
  </si>
  <si>
    <t>П4-А4</t>
  </si>
  <si>
    <t>Запасы, НДС по приобретенным ценностям, прочие оборотные активы - Долгосрочные обязательства</t>
  </si>
  <si>
    <t>А3-П3</t>
  </si>
  <si>
    <t>Дебиторская задолженность - Краткосрочные заемные средства</t>
  </si>
  <si>
    <t>А2-П2</t>
  </si>
  <si>
    <t>Денежные средства, краткосрочные финансовые вложения - Кредиторская задолженность и приравненные к ней обязательства</t>
  </si>
  <si>
    <t>А1-П1</t>
  </si>
  <si>
    <t>Анализ относительных показателей финансовой устойчивости</t>
  </si>
  <si>
    <t>Коэффициенты ликвидности</t>
  </si>
  <si>
    <t>норматив</t>
  </si>
  <si>
    <t>Общая ликвидность</t>
  </si>
  <si>
    <t>Абсолютная ликвидность</t>
  </si>
  <si>
    <t>Промежуточная ликвидность</t>
  </si>
  <si>
    <t>Текущая ликвидность</t>
  </si>
  <si>
    <t>Коэффициенты структуры капитала</t>
  </si>
  <si>
    <t>Коэффициент финансовой устойчивости</t>
  </si>
  <si>
    <t>Коэффициент финансовой активности (плечо: заемный капитал к собственному)</t>
  </si>
  <si>
    <t>Обеспеченность оборотных активов собственным оборотным капиталом</t>
  </si>
  <si>
    <t>Обеспеченность запасов устойчивыми источниками финансирования</t>
  </si>
  <si>
    <t>Маневренность собственного капитала  (собственный оборотный капитал к собственному капиталу)</t>
  </si>
  <si>
    <t>Длительность погашения задолженности (степень платежеспособности через выручку)</t>
  </si>
  <si>
    <t>Степень платежеспособности общая, месяцы</t>
  </si>
  <si>
    <t>Степень платежеспособности по кредитам и займам, месяцы</t>
  </si>
  <si>
    <t>Степень платежеспособности по кредиторской задолженности, месяцы</t>
  </si>
  <si>
    <t xml:space="preserve">АНАЛИЗ ЗАПАСОВ ДЕБИТОРСКОЙ И КРЕДИТОРСКОЙ ЗАДОЛЖЕННОСТЕЙ </t>
  </si>
  <si>
    <t xml:space="preserve">Анализ запасов </t>
  </si>
  <si>
    <t>Всего запасы</t>
  </si>
  <si>
    <t>Анализ соотношения запасов и НДС по приобретенным ценностям и кредиторской задолженности поставщикам</t>
  </si>
  <si>
    <t>запасы сырья и материалов</t>
  </si>
  <si>
    <t>НДС по приобретенным ценностям</t>
  </si>
  <si>
    <t>кредиторская задолженность перед поставщиками и подрядчиками</t>
  </si>
  <si>
    <t>авансы выданные</t>
  </si>
  <si>
    <t>нетто-задолженность перед поставщиками и подрядчиками</t>
  </si>
  <si>
    <t>доля запасов сырья, материалов и НДС, профинансированная поставщиками и подрядчиками</t>
  </si>
  <si>
    <t>Анализ дебиторской задолженности</t>
  </si>
  <si>
    <t>Долгосрочная дебиторская задолженность</t>
  </si>
  <si>
    <t>Краткосрочная дебиторская задолженность</t>
  </si>
  <si>
    <t>Всего дебиторская задолженность</t>
  </si>
  <si>
    <t>покупатели и заказчики</t>
  </si>
  <si>
    <t>прочие дебиторы</t>
  </si>
  <si>
    <t>Анализ кредиторской задолженности</t>
  </si>
  <si>
    <t>Всего кредиторская задолженность</t>
  </si>
  <si>
    <t>Оценка качества дебиторской задолженности и установление типа кредитной политики</t>
  </si>
  <si>
    <t>Длительность дебиторской задолженности покупателей и заказчиков (дебиторская/ выручка х 365)</t>
  </si>
  <si>
    <t>Длительность дебиторской задолженности (дебиторская/ выручка х 365)</t>
  </si>
  <si>
    <t>Дебиторская задолженность, тыс. руб.</t>
  </si>
  <si>
    <t xml:space="preserve">   в том числе долгосрочная </t>
  </si>
  <si>
    <t>Доля долгосрочной задолженности, %</t>
  </si>
  <si>
    <t>Полученные авансы, тыс. руб.</t>
  </si>
  <si>
    <t>отношение полученных авансов к величине дебиторской задолженности покупателей и заказчиков, %</t>
  </si>
  <si>
    <t>Темп прироста дебиторской задолженности покупателей и заказчиков, %</t>
  </si>
  <si>
    <t>Списанная в убыток задолженность неплатежеспособных покупателей и заказчиков, тыс. руб.</t>
  </si>
  <si>
    <t>Доля списанной в убыток задолженности неплатежеспособных покупателей в дебиторской задолженности покупателей, %</t>
  </si>
  <si>
    <t>Резервы по сомнительным долгам, тыс. руб.</t>
  </si>
  <si>
    <t>Отношение резервов к величине дебиторской задолженности покупателей и заказчиков, %</t>
  </si>
  <si>
    <t>АНАЛИЗ СТРАТЕГИИ ФИНАНСИРОВАНИЯ (АНАЛИЗ ФИНАНСОВОЙ ДЕЯТЕЛЬНОСТИ)</t>
  </si>
  <si>
    <t>Анализ структуры и динамики источников финансирования</t>
  </si>
  <si>
    <t>Инвестированный собственный капитал</t>
  </si>
  <si>
    <t>Накопленный собственный капитал</t>
  </si>
  <si>
    <t>Итого источники финансирования организации</t>
  </si>
  <si>
    <t>Проверка</t>
  </si>
  <si>
    <t>Анализ структуры и динамики инвестированного капитала</t>
  </si>
  <si>
    <t>Итого инвестированный капитал</t>
  </si>
  <si>
    <t>Анализ структуры и динамики собственного капитала</t>
  </si>
  <si>
    <t>Уставный капитал (за вычетом собственных акций)</t>
  </si>
  <si>
    <t>Итого собственный капитал</t>
  </si>
  <si>
    <t>Группировка статей собственного капитала</t>
  </si>
  <si>
    <t>Суммарный собственный капитал</t>
  </si>
  <si>
    <t>Роль нераспределенной прибыли в формировании имущества организации</t>
  </si>
  <si>
    <t>Отношение нераспределенной прибыли к активам, %</t>
  </si>
  <si>
    <t>Анализ структуры и динамики обязательств</t>
  </si>
  <si>
    <t>Долгосрочные заемные средства</t>
  </si>
  <si>
    <t>Долгосрочные зценочные обязательства</t>
  </si>
  <si>
    <t>Прочие долгосрочные обязательства</t>
  </si>
  <si>
    <t>Краткосрочные оценочные обязательства</t>
  </si>
  <si>
    <t>Прочие краткосрочные обязательства</t>
  </si>
  <si>
    <t>Итого обязательства</t>
  </si>
  <si>
    <t>Поставщики и подрядчики</t>
  </si>
  <si>
    <t>Авансы полученные</t>
  </si>
  <si>
    <t>Задолженность перед персоналом организации</t>
  </si>
  <si>
    <t>Задолженность перед государственными внебюджетными фондами</t>
  </si>
  <si>
    <t>Задолженность по налогам и сборам</t>
  </si>
  <si>
    <t>Прочие кредиторы</t>
  </si>
  <si>
    <t>Источники оборотного капитала</t>
  </si>
  <si>
    <t>собственный оборотный капитал</t>
  </si>
  <si>
    <t>долгосрочный платный капитал</t>
  </si>
  <si>
    <t>краткосрочный платный капитал</t>
  </si>
  <si>
    <t>Оборотный капитал</t>
  </si>
  <si>
    <t>Источники чистого оборотного капитала</t>
  </si>
  <si>
    <t>Чистый оборотный капитал</t>
  </si>
  <si>
    <t>Направления вложения инвестированного капитала</t>
  </si>
  <si>
    <t>внеоборотный активы</t>
  </si>
  <si>
    <t>оборотный капитал</t>
  </si>
  <si>
    <t>Инвестированный капитал</t>
  </si>
  <si>
    <t>Направления вложения оборотного капитала</t>
  </si>
  <si>
    <t>запасы</t>
  </si>
  <si>
    <t>дебиторская задолженность</t>
  </si>
  <si>
    <t>высоколиквидные активы</t>
  </si>
  <si>
    <t>Направления вложения чистого оборотного капитала</t>
  </si>
  <si>
    <t>АНАЛИЗ ДИВИДЕНДНОЙ ПОЛИТИКИ</t>
  </si>
  <si>
    <t>(обоснование коэффициента дивидендных выплат)</t>
  </si>
  <si>
    <t>Анализ распределения чистой прибыли (по отчету об изменениях капитала)</t>
  </si>
  <si>
    <t>Исходные данные</t>
  </si>
  <si>
    <t>Стоимость чистых активов</t>
  </si>
  <si>
    <t>Количество обыкновенных акций</t>
  </si>
  <si>
    <t>Номинальная стоимость акции</t>
  </si>
  <si>
    <t>Балансовая стоимость акции</t>
  </si>
  <si>
    <t>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</si>
  <si>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</si>
  <si>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</si>
  <si>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</si>
  <si>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</si>
  <si>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</si>
  <si>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</si>
  <si>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</si>
  <si>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</si>
  <si>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Денежные средства, направленные на выплату дивидендов</t>
  </si>
  <si>
    <t>Нераспределенная прибыль в балансе</t>
  </si>
  <si>
    <t>Активы</t>
  </si>
  <si>
    <t>Прибыль на акцию</t>
  </si>
  <si>
    <t>Дивиденды на акцию</t>
  </si>
  <si>
    <t>Отношение дивидендов к активам, %</t>
  </si>
  <si>
    <t>Доля нераспределенной прибыли в балансе, %</t>
  </si>
  <si>
    <t>Коэффициент дивидендных выплат, %</t>
  </si>
  <si>
    <t>Коэффициент капитализации прибыли, %</t>
  </si>
  <si>
    <t>Дивидендная доходность, %</t>
  </si>
  <si>
    <t>Капитальная доходность, %</t>
  </si>
  <si>
    <t>Общая доходность, %</t>
  </si>
  <si>
    <t>Дивидендное покрытие (EPS/DPS)</t>
  </si>
  <si>
    <t>Дивидендный выход (DPS/EPS</t>
  </si>
  <si>
    <t>Обоснование дивидендной политики</t>
  </si>
  <si>
    <t>Превышение СЧА над уставным капиталом и резервным фондом,  тыс. руб.</t>
  </si>
  <si>
    <t>Наличие высоколиквидных активов в процентах от оборотных активов</t>
  </si>
  <si>
    <t>Коэффициент автономии, %</t>
  </si>
  <si>
    <t>Обеспеченность оборотных активов собственными оборотными средствами</t>
  </si>
  <si>
    <t>1. Компания остаётся прибыльной, но после 2015 года наблюдается устойчивое снижение финансовых результатов.
2. Операционная эффективность ухудшается: падают валовая прибыль и прибыль от продаж.
3. Себестоимость и управленческие расходы растут быстрее выручки, сжимая маржу.
4. Значительная часть прибыли формируется за счёт прочих доходов, что снижает её устойчивость.
5. Бизнес цикличен и зависит от внешних факторов (цены на удобрения, валютный курс, стоимость сырья).</t>
  </si>
  <si>
    <t>1. Рентабельность снижается: доля валовой прибыли упала с ~58% (2015) до ~38% (2019), аналогично по прибыли от продаж.
2. Чистая прибыль также теряет долю в выручке после 2017 года, что подтверждает ухудшение общей эффективности.
3. Существенную роль играет прочий финансовый результат, который крайне волатилен и искажает прибыль.
4. Выручка нестабильна: резкий рост в 2015 году сменился спадом и отрицательной динамикой в 2019.
5. В целом наблюдается ухудшение качества прибыли и усиление зависимости от нестабильных факторов.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</si>
</sst>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р_._-;\-* #,##0.00_р_._-;_-* &quot;-&quot;??_р_._-;_-@_-"/>
    <numFmt numFmtId="165" formatCode="_-* #,##0_р_._-;\-* #,##0_р_._-;_-* &quot;-&quot;??_р_._-;_-@_-"/>
    <numFmt numFmtId="166" formatCode="_(* #,##0_);_(* \(#,##0\);_(* &quot;-&quot;??_);_(@_)"/>
    <numFmt numFmtId="167" formatCode="_(* #,##0.00000_);_(* \(#,##0.00000\);_(* &quot;-&quot;??_);_(@_)"/>
    <numFmt numFmtId="168" formatCode="_-* #,##0.0000_р_._-;\-* #,##0.0000_р_._-;_-* &quot;-&quot;??_р_._-;_-@_-"/>
    <numFmt numFmtId="169" formatCode="_(* #,##0.000_);_(* \(#,##0.000\);_(* &quot;-&quot;??_);_(@_)"/>
    <numFmt numFmtId="170" formatCode="_-* #,##0.000_р_._-;\-* #,##0.000_р_._-;_-* &quot;-&quot;??_р_._-;_-@_-"/>
    <numFmt numFmtId="171" formatCode="_-* #,##0.00000_р_._-;\-* #,##0.00000_р_._-;_-* &quot;-&quot;??_р_._-;_-@_-"/>
    <numFmt numFmtId="172" formatCode="_(* #,##0.00_);_(* \(#,##0.00\);_(* &quot;-&quot;??_);_(@_)"/>
    <numFmt numFmtId="173" formatCode="_(* #,##0.0_);_(* \(#,##0.0\);_(* &quot;-&quot;??_);_(@_)"/>
    <numFmt numFmtId="174" formatCode="_(* #,##0.0000_);_(* \(#,##0.0000\);_(* &quot;-&quot;??_);_(@_)"/>
  </numFmts>
  <fonts count="30" x14ac:knownFonts="1">
    <font>
      <sz val="10"/>
      <name val="Arial Cyr"/>
    </font>
    <font>
      <b/>
      <u val="singleAccounting"/>
      <sz val="8"/>
      <name val="Arial"/>
    </font>
    <font>
      <sz val="8"/>
      <name val="Arial"/>
    </font>
    <font>
      <u/>
      <sz val="10"/>
      <color indexed="4"/>
      <name val="Arial Cyr"/>
    </font>
    <font>
      <sz val="11"/>
      <color theme="1"/>
      <name val="Calibri"/>
      <scheme val="minor"/>
    </font>
    <font>
      <sz val="10"/>
      <name val="Arial"/>
    </font>
    <font>
      <sz val="12"/>
      <name val="Times New Roman Cyr"/>
    </font>
    <font>
      <b/>
      <sz val="12"/>
      <name val="Times New Roman Cyr"/>
    </font>
    <font>
      <b/>
      <sz val="12"/>
      <name val="Times New Roman"/>
    </font>
    <font>
      <b/>
      <i/>
      <sz val="12"/>
      <name val="Times New Roman Cyr"/>
    </font>
    <font>
      <sz val="12"/>
      <name val="Times New Roman"/>
    </font>
    <font>
      <sz val="12"/>
      <color indexed="2"/>
      <name val="Times New Roman Cyr"/>
    </font>
    <font>
      <sz val="12"/>
      <name val="Arial"/>
    </font>
    <font>
      <b/>
      <u/>
      <sz val="12"/>
      <name val="Times New Roman Cyr"/>
    </font>
    <font>
      <b/>
      <sz val="12"/>
      <color indexed="2"/>
      <name val="Times New Roman Cyr"/>
    </font>
    <font>
      <b/>
      <u/>
      <sz val="12"/>
      <color indexed="65"/>
      <name val="Comic Sans MS"/>
    </font>
    <font>
      <i/>
      <sz val="12"/>
      <name val="Times New Roman Cyr"/>
    </font>
    <font>
      <b/>
      <i/>
      <sz val="12"/>
      <color indexed="2"/>
      <name val="Times New Roman Cyr"/>
    </font>
    <font>
      <b/>
      <sz val="11"/>
      <color theme="1"/>
      <name val="Calibri"/>
      <scheme val="minor"/>
    </font>
    <font>
      <sz val="10"/>
      <color theme="0"/>
      <name val="Arial Cyr"/>
    </font>
    <font>
      <b/>
      <sz val="12"/>
      <color theme="8" tint="-0.249977111117893"/>
      <name val="Times New Roman Cyr"/>
    </font>
    <font>
      <b/>
      <i/>
      <sz val="10"/>
      <name val="Arial Cyr"/>
    </font>
    <font>
      <b/>
      <i/>
      <sz val="12"/>
      <color indexed="4"/>
      <name val="Times New Roman Cyr"/>
    </font>
    <font>
      <sz val="12"/>
      <name val="Arial Cyr"/>
    </font>
    <font>
      <sz val="10"/>
      <name val="Times New Roman"/>
    </font>
    <font>
      <b/>
      <sz val="10"/>
      <name val="Times New Roman"/>
    </font>
    <font>
      <sz val="11"/>
      <color theme="1"/>
      <name val="Times New Roman"/>
    </font>
    <font>
      <sz val="11"/>
      <name val="Times New Roman"/>
    </font>
    <font>
      <b/>
      <sz val="12"/>
      <color indexed="6"/>
      <name val="Times New Roman Cyr"/>
    </font>
    <font>
      <sz val="10"/>
      <name val="Arial Cyr"/>
    </font>
  </fonts>
  <fills count="10">
    <fill>
      <patternFill patternType="none"/>
    </fill>
    <fill>
      <patternFill patternType="gray125"/>
    </fill>
    <fill>
      <patternFill patternType="solid">
        <fgColor indexed="60"/>
      </patternFill>
    </fill>
    <fill>
      <patternFill patternType="solid">
        <fgColor indexed="65"/>
      </patternFill>
    </fill>
    <fill>
      <patternFill patternType="solid">
        <fgColor indexed="4"/>
      </patternFill>
    </fill>
    <fill>
      <patternFill patternType="solid">
        <fgColor theme="6" tint="0.39997558519241921"/>
        <bgColor indexed="65"/>
      </patternFill>
    </fill>
    <fill>
      <patternFill patternType="solid">
        <fgColor theme="9" tint="0.79998168889431442"/>
        <bgColor indexed="65"/>
      </patternFill>
    </fill>
    <fill>
      <patternFill patternType="solid">
        <fgColor indexed="5"/>
      </patternFill>
    </fill>
    <fill>
      <patternFill patternType="solid">
        <fgColor theme="2"/>
      </patternFill>
    </fill>
    <fill>
      <patternFill patternType="solid">
        <fgColor theme="0"/>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style="thin">
        <color auto="1"/>
      </left>
      <right style="thin">
        <color auto="1"/>
      </right>
      <top/>
      <bottom/>
      <diagonal/>
    </border>
    <border>
      <left style="thin">
        <color theme="1"/>
      </left>
      <right style="thin">
        <color theme="1"/>
      </right>
      <top style="thin">
        <color theme="1"/>
      </top>
      <bottom style="thin">
        <color theme="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double">
        <color auto="1"/>
      </bottom>
      <diagonal/>
    </border>
    <border>
      <left style="medium">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bottom style="double">
        <color auto="1"/>
      </bottom>
      <diagonal/>
    </border>
  </borders>
  <cellStyleXfs count="14">
    <xf numFmtId="0" fontId="0" fillId="0" borderId="0"/>
    <xf numFmtId="0" fontId="1" fillId="2" borderId="0"/>
    <xf numFmtId="0" fontId="2" fillId="0" borderId="0"/>
    <xf numFmtId="0" fontId="3" fillId="0" borderId="0" applyNumberFormat="0" applyFill="0" applyBorder="0" applyProtection="0">
      <alignment vertical="top"/>
      <protection locked="0"/>
    </xf>
    <xf numFmtId="0" fontId="4" fillId="0" borderId="0"/>
    <xf numFmtId="0" fontId="29" fillId="0" borderId="0"/>
    <xf numFmtId="0" fontId="29" fillId="0" borderId="0"/>
    <xf numFmtId="0" fontId="29" fillId="0" borderId="0"/>
    <xf numFmtId="0" fontId="5" fillId="0" borderId="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cellStyleXfs>
  <cellXfs count="466">
    <xf numFmtId="0" fontId="0" fillId="0" borderId="0" xfId="0"/>
    <xf numFmtId="0" fontId="6" fillId="3" borderId="0" xfId="0" applyFont="1" applyFill="1"/>
    <xf numFmtId="0" fontId="6" fillId="3" borderId="0" xfId="0" applyFont="1" applyFill="1" applyAlignment="1">
      <alignment horizontal="center"/>
    </xf>
    <xf numFmtId="165" fontId="6" fillId="3" borderId="0" xfId="9" applyNumberFormat="1" applyFont="1" applyFill="1"/>
    <xf numFmtId="165" fontId="6" fillId="3" borderId="0" xfId="9" applyNumberFormat="1" applyFont="1" applyFill="1" applyAlignment="1">
      <alignment horizontal="center"/>
    </xf>
    <xf numFmtId="49" fontId="6" fillId="3" borderId="0" xfId="0" applyNumberFormat="1" applyFont="1" applyFill="1"/>
    <xf numFmtId="0" fontId="7" fillId="3" borderId="0" xfId="0" applyFont="1" applyFill="1"/>
    <xf numFmtId="0" fontId="8" fillId="0" borderId="0" xfId="0" applyFont="1"/>
    <xf numFmtId="0" fontId="9" fillId="3" borderId="0" xfId="0" applyFont="1" applyFill="1" applyAlignment="1" applyProtection="1">
      <alignment horizontal="left"/>
      <protection locked="0"/>
    </xf>
    <xf numFmtId="165" fontId="7" fillId="3" borderId="0" xfId="9" applyNumberFormat="1" applyFont="1" applyFill="1" applyAlignment="1">
      <alignment horizontal="center"/>
    </xf>
    <xf numFmtId="166"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top" wrapText="1"/>
    </xf>
    <xf numFmtId="166" fontId="8" fillId="3" borderId="1" xfId="0" applyNumberFormat="1" applyFont="1" applyFill="1" applyBorder="1" applyAlignment="1">
      <alignment horizontal="center" vertical="top"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wrapText="1"/>
    </xf>
    <xf numFmtId="49" fontId="8" fillId="3" borderId="1" xfId="0" applyNumberFormat="1" applyFont="1" applyFill="1" applyBorder="1" applyAlignment="1">
      <alignment horizontal="center" wrapText="1"/>
    </xf>
    <xf numFmtId="166" fontId="10" fillId="0" borderId="1" xfId="0" applyNumberFormat="1" applyFont="1" applyBorder="1" applyAlignment="1">
      <alignment vertical="top" wrapText="1"/>
    </xf>
    <xf numFmtId="49" fontId="10" fillId="0" borderId="1" xfId="0" applyNumberFormat="1" applyFont="1" applyBorder="1" applyAlignment="1">
      <alignment vertical="top" wrapText="1"/>
    </xf>
    <xf numFmtId="3" fontId="10" fillId="3" borderId="1" xfId="0" applyNumberFormat="1" applyFont="1" applyFill="1" applyBorder="1" applyAlignment="1">
      <alignment vertical="top" wrapText="1"/>
    </xf>
    <xf numFmtId="49" fontId="10" fillId="0" borderId="1" xfId="0" applyNumberFormat="1" applyFont="1" applyBorder="1" applyAlignment="1">
      <alignment horizontal="center" vertical="top" wrapText="1"/>
    </xf>
    <xf numFmtId="3" fontId="10" fillId="3" borderId="1" xfId="0" applyNumberFormat="1" applyFont="1" applyFill="1" applyBorder="1" applyAlignment="1">
      <alignment horizontal="right" vertical="top" wrapText="1"/>
    </xf>
    <xf numFmtId="166" fontId="8" fillId="0" borderId="1" xfId="0" applyNumberFormat="1" applyFont="1" applyBorder="1" applyAlignment="1">
      <alignment vertical="top" wrapText="1"/>
    </xf>
    <xf numFmtId="49" fontId="8" fillId="0" borderId="1" xfId="0" applyNumberFormat="1" applyFont="1" applyBorder="1" applyAlignment="1">
      <alignment horizontal="center" vertical="top" wrapText="1"/>
    </xf>
    <xf numFmtId="3" fontId="8" fillId="3" borderId="1" xfId="0" applyNumberFormat="1" applyFont="1" applyFill="1" applyBorder="1" applyAlignment="1">
      <alignment horizontal="right" vertical="top" wrapText="1"/>
    </xf>
    <xf numFmtId="3" fontId="6" fillId="3" borderId="1" xfId="9" applyNumberFormat="1" applyFont="1" applyFill="1" applyBorder="1" applyAlignment="1">
      <alignment horizontal="center" vertical="center" wrapText="1"/>
    </xf>
    <xf numFmtId="166" fontId="10" fillId="0" borderId="1" xfId="0" applyNumberFormat="1" applyFont="1" applyBorder="1" applyAlignment="1">
      <alignment horizontal="left" vertical="top" wrapText="1" indent="1"/>
    </xf>
    <xf numFmtId="166" fontId="6" fillId="3" borderId="1" xfId="0" applyNumberFormat="1" applyFont="1" applyFill="1" applyBorder="1"/>
    <xf numFmtId="3" fontId="6" fillId="3" borderId="1" xfId="9" applyNumberFormat="1" applyFont="1" applyFill="1" applyBorder="1" applyAlignment="1">
      <alignment horizontal="center"/>
    </xf>
    <xf numFmtId="3" fontId="8" fillId="3" borderId="1" xfId="0" applyNumberFormat="1" applyFont="1" applyFill="1" applyBorder="1" applyAlignment="1">
      <alignment horizontal="center" vertical="top" wrapText="1"/>
    </xf>
    <xf numFmtId="3" fontId="8" fillId="3" borderId="1" xfId="0" applyNumberFormat="1" applyFont="1" applyFill="1" applyBorder="1" applyAlignment="1">
      <alignment horizontal="center" wrapText="1"/>
    </xf>
    <xf numFmtId="3" fontId="6" fillId="3" borderId="1" xfId="0" applyNumberFormat="1" applyFont="1" applyFill="1" applyBorder="1" applyAlignment="1">
      <alignment horizontal="center"/>
    </xf>
    <xf numFmtId="166" fontId="6" fillId="3" borderId="0" xfId="0" applyNumberFormat="1" applyFont="1" applyFill="1" applyAlignment="1">
      <alignment vertical="center"/>
    </xf>
    <xf numFmtId="0" fontId="0" fillId="3" borderId="0" xfId="0" applyFill="1"/>
    <xf numFmtId="166" fontId="6" fillId="3" borderId="0" xfId="0" applyNumberFormat="1" applyFont="1" applyFill="1" applyAlignment="1">
      <alignment horizontal="center" vertical="center"/>
    </xf>
    <xf numFmtId="0" fontId="7" fillId="3" borderId="0" xfId="0" applyFont="1" applyFill="1" applyAlignment="1">
      <alignment vertical="center"/>
    </xf>
    <xf numFmtId="0" fontId="9" fillId="3" borderId="0" xfId="0" applyFont="1" applyFill="1" applyAlignment="1" applyProtection="1">
      <alignment horizontal="left" vertical="center"/>
      <protection locked="0"/>
    </xf>
    <xf numFmtId="166" fontId="11" fillId="3" borderId="0" xfId="0" applyNumberFormat="1" applyFont="1" applyFill="1" applyAlignment="1">
      <alignment vertical="center"/>
    </xf>
    <xf numFmtId="166" fontId="7" fillId="3" borderId="0" xfId="0" applyNumberFormat="1" applyFont="1" applyFill="1" applyAlignment="1">
      <alignment vertical="center"/>
    </xf>
    <xf numFmtId="166" fontId="9" fillId="3" borderId="0" xfId="0" applyNumberFormat="1" applyFont="1" applyFill="1" applyAlignment="1" applyProtection="1">
      <alignment horizontal="left" vertical="center"/>
      <protection locked="0"/>
    </xf>
    <xf numFmtId="166" fontId="7" fillId="3" borderId="1" xfId="0" applyNumberFormat="1" applyFont="1" applyFill="1" applyBorder="1" applyAlignment="1">
      <alignment vertical="center"/>
    </xf>
    <xf numFmtId="166" fontId="7" fillId="3" borderId="1" xfId="0" applyNumberFormat="1" applyFont="1" applyFill="1" applyBorder="1" applyAlignment="1">
      <alignment horizontal="center" vertical="center"/>
    </xf>
    <xf numFmtId="166" fontId="6" fillId="3" borderId="1" xfId="0" applyNumberFormat="1" applyFont="1" applyFill="1" applyBorder="1" applyAlignment="1">
      <alignment vertical="center"/>
    </xf>
    <xf numFmtId="166" fontId="6" fillId="3" borderId="1" xfId="9" applyNumberFormat="1" applyFont="1" applyFill="1" applyBorder="1" applyAlignment="1">
      <alignment vertical="center"/>
    </xf>
    <xf numFmtId="166" fontId="6" fillId="3" borderId="1" xfId="0" applyNumberFormat="1" applyFont="1" applyFill="1" applyBorder="1" applyAlignment="1">
      <alignment horizontal="left" vertical="center" wrapText="1"/>
    </xf>
    <xf numFmtId="166" fontId="10" fillId="0" borderId="1" xfId="9" applyNumberFormat="1" applyFont="1" applyBorder="1" applyAlignment="1">
      <alignment horizontal="center" vertical="center" wrapText="1"/>
    </xf>
    <xf numFmtId="166" fontId="6" fillId="3" borderId="1" xfId="0" applyNumberFormat="1" applyFont="1" applyFill="1" applyBorder="1" applyAlignment="1">
      <alignment vertical="center" wrapText="1"/>
    </xf>
    <xf numFmtId="166" fontId="7" fillId="3" borderId="1" xfId="0" applyNumberFormat="1" applyFont="1" applyFill="1" applyBorder="1" applyAlignment="1">
      <alignment vertical="center" wrapText="1"/>
    </xf>
    <xf numFmtId="166" fontId="8" fillId="0" borderId="1" xfId="9" applyNumberFormat="1" applyFont="1" applyBorder="1" applyAlignment="1">
      <alignment horizontal="center" vertical="center" wrapText="1"/>
    </xf>
    <xf numFmtId="167" fontId="6" fillId="3" borderId="0" xfId="0" applyNumberFormat="1" applyFont="1" applyFill="1" applyAlignment="1">
      <alignment vertical="center"/>
    </xf>
    <xf numFmtId="168" fontId="6" fillId="3" borderId="0" xfId="9" applyNumberFormat="1" applyFont="1" applyFill="1" applyAlignment="1">
      <alignment vertical="center"/>
    </xf>
    <xf numFmtId="166" fontId="6" fillId="3" borderId="1" xfId="0" applyNumberFormat="1" applyFont="1" applyFill="1" applyBorder="1" applyAlignment="1">
      <alignment horizontal="center" vertical="center"/>
    </xf>
    <xf numFmtId="166" fontId="10" fillId="0" borderId="1" xfId="9" applyNumberFormat="1" applyFont="1" applyBorder="1" applyAlignment="1">
      <alignment horizontal="right" vertical="center" wrapText="1"/>
    </xf>
    <xf numFmtId="166" fontId="7" fillId="3" borderId="1" xfId="9" applyNumberFormat="1" applyFont="1" applyFill="1" applyBorder="1" applyAlignment="1">
      <alignment vertical="center"/>
    </xf>
    <xf numFmtId="169" fontId="6" fillId="3" borderId="0" xfId="0" applyNumberFormat="1" applyFont="1" applyFill="1" applyAlignment="1">
      <alignment vertical="center"/>
    </xf>
    <xf numFmtId="166" fontId="7" fillId="3" borderId="1" xfId="9" applyNumberFormat="1" applyFont="1" applyFill="1" applyBorder="1" applyAlignment="1">
      <alignment horizontal="center" vertical="center" wrapText="1"/>
    </xf>
    <xf numFmtId="166" fontId="6" fillId="3" borderId="2" xfId="0" applyNumberFormat="1" applyFont="1" applyFill="1" applyBorder="1" applyAlignment="1">
      <alignment vertical="center" wrapText="1"/>
    </xf>
    <xf numFmtId="166" fontId="6" fillId="3" borderId="2" xfId="0" applyNumberFormat="1" applyFont="1" applyFill="1" applyBorder="1" applyAlignment="1">
      <alignment horizontal="center" vertical="center"/>
    </xf>
    <xf numFmtId="166" fontId="10" fillId="0" borderId="2" xfId="9" applyNumberFormat="1" applyFont="1" applyBorder="1" applyAlignment="1">
      <alignment horizontal="center" vertical="center" wrapText="1"/>
    </xf>
    <xf numFmtId="166" fontId="10" fillId="0" borderId="1" xfId="0" applyNumberFormat="1" applyFont="1" applyBorder="1" applyAlignment="1">
      <alignment horizontal="right" vertical="center" wrapText="1"/>
    </xf>
    <xf numFmtId="170" fontId="6" fillId="3" borderId="1" xfId="9" applyNumberFormat="1" applyFont="1" applyFill="1" applyBorder="1" applyAlignment="1">
      <alignment horizontal="center" vertical="center"/>
    </xf>
    <xf numFmtId="166" fontId="12" fillId="3" borderId="0" xfId="8" applyNumberFormat="1" applyFont="1" applyFill="1" applyAlignment="1">
      <alignment vertical="center"/>
    </xf>
    <xf numFmtId="165" fontId="6" fillId="3" borderId="1" xfId="9" applyNumberFormat="1" applyFont="1" applyFill="1" applyBorder="1" applyAlignment="1">
      <alignment vertical="center"/>
    </xf>
    <xf numFmtId="171" fontId="6" fillId="3" borderId="1" xfId="9" applyNumberFormat="1" applyFont="1" applyFill="1" applyBorder="1" applyAlignment="1">
      <alignment vertical="center"/>
    </xf>
    <xf numFmtId="170" fontId="6" fillId="3" borderId="1" xfId="9" applyNumberFormat="1" applyFont="1" applyFill="1" applyBorder="1" applyAlignment="1">
      <alignment vertical="center"/>
    </xf>
    <xf numFmtId="166" fontId="6" fillId="3" borderId="0" xfId="0" applyNumberFormat="1" applyFont="1" applyFill="1"/>
    <xf numFmtId="166" fontId="6" fillId="3" borderId="0" xfId="0" applyNumberFormat="1" applyFont="1" applyFill="1" applyAlignment="1">
      <alignment horizontal="center"/>
    </xf>
    <xf numFmtId="166" fontId="7" fillId="3" borderId="0" xfId="0" applyNumberFormat="1" applyFont="1" applyFill="1"/>
    <xf numFmtId="166" fontId="6" fillId="3" borderId="0" xfId="0" applyNumberFormat="1" applyFont="1" applyFill="1" applyAlignment="1">
      <alignment horizontal="left"/>
    </xf>
    <xf numFmtId="166" fontId="7" fillId="3" borderId="0" xfId="0" applyNumberFormat="1" applyFont="1" applyFill="1" applyAlignment="1">
      <alignment horizontal="center"/>
    </xf>
    <xf numFmtId="166" fontId="6" fillId="3" borderId="1" xfId="0" applyNumberFormat="1" applyFont="1" applyFill="1" applyBorder="1" applyAlignment="1">
      <alignment horizontal="center" vertical="center" wrapText="1" shrinkToFit="1"/>
    </xf>
    <xf numFmtId="166" fontId="7" fillId="3" borderId="0" xfId="0" applyNumberFormat="1" applyFont="1" applyFill="1" applyAlignment="1">
      <alignment vertical="center" wrapText="1"/>
    </xf>
    <xf numFmtId="166" fontId="7" fillId="3" borderId="1" xfId="0" applyNumberFormat="1" applyFont="1" applyFill="1" applyBorder="1" applyAlignment="1">
      <alignment horizontal="center" vertical="center" wrapText="1"/>
    </xf>
    <xf numFmtId="166" fontId="6" fillId="3" borderId="0" xfId="0" applyNumberFormat="1" applyFont="1" applyFill="1" applyAlignment="1">
      <alignment vertical="center" wrapText="1"/>
    </xf>
    <xf numFmtId="166" fontId="13" fillId="3" borderId="1" xfId="0" applyNumberFormat="1" applyFont="1" applyFill="1" applyBorder="1" applyAlignment="1">
      <alignment horizontal="center" vertical="center" wrapText="1"/>
    </xf>
    <xf numFmtId="166" fontId="6" fillId="3" borderId="1" xfId="0" applyNumberFormat="1" applyFont="1" applyFill="1" applyBorder="1" applyAlignment="1">
      <alignment horizontal="center" vertical="center" wrapText="1"/>
    </xf>
    <xf numFmtId="166" fontId="6" fillId="3" borderId="1" xfId="9" applyNumberFormat="1" applyFont="1" applyFill="1" applyBorder="1" applyAlignment="1">
      <alignment horizontal="center" vertical="center" wrapText="1"/>
    </xf>
    <xf numFmtId="166" fontId="7" fillId="3" borderId="1" xfId="0" applyNumberFormat="1" applyFont="1" applyFill="1" applyBorder="1" applyAlignment="1">
      <alignment horizontal="left" vertical="center" wrapText="1"/>
    </xf>
    <xf numFmtId="166" fontId="7" fillId="3" borderId="0" xfId="0" applyNumberFormat="1" applyFont="1" applyFill="1" applyAlignment="1">
      <alignment wrapText="1"/>
    </xf>
    <xf numFmtId="166" fontId="6" fillId="3" borderId="0" xfId="0" applyNumberFormat="1" applyFont="1" applyFill="1" applyAlignment="1">
      <alignment wrapText="1"/>
    </xf>
    <xf numFmtId="166" fontId="6" fillId="3" borderId="1" xfId="0" applyNumberFormat="1" applyFont="1" applyFill="1" applyBorder="1" applyAlignment="1">
      <alignment wrapText="1"/>
    </xf>
    <xf numFmtId="166" fontId="6" fillId="3" borderId="1" xfId="9" applyNumberFormat="1" applyFont="1" applyFill="1" applyBorder="1" applyAlignment="1">
      <alignment horizontal="center" wrapText="1"/>
    </xf>
    <xf numFmtId="166" fontId="10" fillId="0" borderId="1" xfId="0" applyNumberFormat="1" applyFont="1" applyBorder="1" applyAlignment="1">
      <alignment horizontal="center" wrapText="1"/>
    </xf>
    <xf numFmtId="166" fontId="6" fillId="3" borderId="1" xfId="0" applyNumberFormat="1" applyFont="1" applyFill="1" applyBorder="1" applyAlignment="1">
      <alignment horizontal="center" wrapText="1"/>
    </xf>
    <xf numFmtId="166" fontId="6" fillId="3" borderId="1" xfId="9" applyNumberFormat="1" applyFont="1" applyFill="1" applyBorder="1" applyAlignment="1">
      <alignment wrapText="1"/>
    </xf>
    <xf numFmtId="166" fontId="7" fillId="3" borderId="1" xfId="0" applyNumberFormat="1" applyFont="1" applyFill="1" applyBorder="1" applyAlignment="1">
      <alignment wrapText="1"/>
    </xf>
    <xf numFmtId="166" fontId="7" fillId="3" borderId="1" xfId="9" applyNumberFormat="1" applyFont="1" applyFill="1" applyBorder="1" applyAlignment="1">
      <alignment horizontal="center" wrapText="1"/>
    </xf>
    <xf numFmtId="169" fontId="7" fillId="3" borderId="0" xfId="0" applyNumberFormat="1" applyFont="1" applyFill="1" applyAlignment="1">
      <alignment wrapText="1"/>
    </xf>
    <xf numFmtId="169" fontId="6" fillId="3" borderId="0" xfId="0" applyNumberFormat="1" applyFont="1" applyFill="1" applyAlignment="1">
      <alignment wrapText="1"/>
    </xf>
    <xf numFmtId="166" fontId="7" fillId="3" borderId="1" xfId="0" applyNumberFormat="1" applyFont="1" applyFill="1" applyBorder="1" applyAlignment="1">
      <alignment horizontal="center" wrapText="1"/>
    </xf>
    <xf numFmtId="166" fontId="7" fillId="3" borderId="0" xfId="0" applyNumberFormat="1" applyFont="1" applyFill="1" applyAlignment="1">
      <alignment horizontal="center" wrapText="1"/>
    </xf>
    <xf numFmtId="166" fontId="7" fillId="3" borderId="0" xfId="9" applyNumberFormat="1" applyFont="1" applyFill="1" applyAlignment="1">
      <alignment horizontal="center" wrapText="1"/>
    </xf>
    <xf numFmtId="166" fontId="6" fillId="3" borderId="0" xfId="0" applyNumberFormat="1" applyFont="1" applyFill="1" applyAlignment="1">
      <alignment horizontal="center" wrapText="1"/>
    </xf>
    <xf numFmtId="166" fontId="6" fillId="3" borderId="0" xfId="9" applyNumberFormat="1" applyFont="1" applyFill="1" applyAlignment="1">
      <alignment horizontal="center" wrapText="1"/>
    </xf>
    <xf numFmtId="166" fontId="6" fillId="3" borderId="0" xfId="9" applyNumberFormat="1" applyFont="1" applyFill="1" applyAlignment="1">
      <alignment wrapText="1"/>
    </xf>
    <xf numFmtId="0" fontId="10" fillId="0" borderId="1" xfId="0" applyFont="1" applyBorder="1" applyAlignment="1">
      <alignment horizontal="center" vertical="top" wrapText="1"/>
    </xf>
    <xf numFmtId="3" fontId="10" fillId="0" borderId="1" xfId="0" applyNumberFormat="1" applyFont="1" applyBorder="1" applyAlignment="1">
      <alignment horizontal="center" vertical="top" wrapText="1"/>
    </xf>
    <xf numFmtId="166" fontId="7" fillId="3" borderId="1" xfId="9" applyNumberFormat="1" applyFont="1" applyFill="1" applyBorder="1" applyAlignment="1">
      <alignment wrapText="1"/>
    </xf>
    <xf numFmtId="0" fontId="10" fillId="3" borderId="0" xfId="0" applyFont="1" applyFill="1" applyAlignment="1">
      <alignment vertical="top" wrapText="1"/>
    </xf>
    <xf numFmtId="166" fontId="10" fillId="3" borderId="1" xfId="9" applyNumberFormat="1" applyFont="1" applyFill="1" applyBorder="1" applyAlignment="1">
      <alignment horizontal="center" vertical="center" wrapText="1"/>
    </xf>
    <xf numFmtId="166" fontId="8" fillId="3" borderId="1" xfId="9" applyNumberFormat="1" applyFont="1" applyFill="1" applyBorder="1" applyAlignment="1">
      <alignment horizontal="center" vertical="center" wrapText="1"/>
    </xf>
    <xf numFmtId="166" fontId="14" fillId="3" borderId="0" xfId="0" applyNumberFormat="1" applyFont="1" applyFill="1"/>
    <xf numFmtId="166" fontId="6" fillId="3" borderId="0" xfId="9" applyNumberFormat="1" applyFont="1" applyFill="1" applyAlignment="1">
      <alignment horizontal="center" vertical="center"/>
    </xf>
    <xf numFmtId="166" fontId="6" fillId="3" borderId="0" xfId="9" applyNumberFormat="1" applyFont="1" applyFill="1" applyAlignment="1">
      <alignment horizontal="left" vertical="center"/>
    </xf>
    <xf numFmtId="166" fontId="15" fillId="4" borderId="3" xfId="3" applyNumberFormat="1" applyFont="1" applyFill="1" applyBorder="1" applyAlignment="1" applyProtection="1">
      <alignment horizontal="left" vertical="center"/>
    </xf>
    <xf numFmtId="166" fontId="7" fillId="3" borderId="0" xfId="9" applyNumberFormat="1" applyFont="1" applyFill="1" applyAlignment="1">
      <alignment horizontal="left" vertical="center"/>
    </xf>
    <xf numFmtId="166" fontId="16" fillId="3" borderId="0" xfId="9" applyNumberFormat="1" applyFont="1" applyFill="1" applyAlignment="1">
      <alignment horizontal="center" vertical="center"/>
    </xf>
    <xf numFmtId="166" fontId="7" fillId="3" borderId="0" xfId="0" applyNumberFormat="1" applyFont="1" applyFill="1" applyAlignment="1">
      <alignment horizontal="left" vertical="center"/>
    </xf>
    <xf numFmtId="166" fontId="9" fillId="3" borderId="0" xfId="0" applyNumberFormat="1" applyFont="1" applyFill="1" applyAlignment="1" applyProtection="1">
      <alignment horizontal="center" vertical="center"/>
      <protection locked="0"/>
    </xf>
    <xf numFmtId="0" fontId="8" fillId="0" borderId="0" xfId="0" applyFont="1" applyAlignment="1">
      <alignment vertical="center"/>
    </xf>
    <xf numFmtId="166" fontId="7" fillId="3" borderId="0" xfId="9" applyNumberFormat="1" applyFont="1" applyFill="1" applyAlignment="1">
      <alignment horizontal="center" vertical="center"/>
    </xf>
    <xf numFmtId="166" fontId="7" fillId="3" borderId="1" xfId="9" applyNumberFormat="1" applyFont="1" applyFill="1" applyBorder="1" applyAlignment="1">
      <alignment vertical="center" wrapText="1"/>
    </xf>
    <xf numFmtId="166" fontId="6" fillId="3" borderId="1" xfId="9" applyNumberFormat="1" applyFont="1" applyFill="1" applyBorder="1" applyAlignment="1">
      <alignment horizontal="center" vertical="center" wrapText="1" shrinkToFit="1"/>
    </xf>
    <xf numFmtId="166" fontId="6" fillId="3" borderId="1" xfId="9" applyNumberFormat="1" applyFont="1" applyFill="1" applyBorder="1" applyAlignment="1">
      <alignment horizontal="left" vertical="center" wrapText="1"/>
    </xf>
    <xf numFmtId="166" fontId="6" fillId="3" borderId="1" xfId="9" applyNumberFormat="1" applyFont="1" applyFill="1" applyBorder="1" applyAlignment="1">
      <alignment vertical="center" wrapText="1" shrinkToFit="1"/>
    </xf>
    <xf numFmtId="166" fontId="6" fillId="3" borderId="2" xfId="9" applyNumberFormat="1" applyFont="1" applyFill="1" applyBorder="1" applyAlignment="1">
      <alignment horizontal="center" vertical="center" wrapText="1"/>
    </xf>
    <xf numFmtId="166" fontId="6" fillId="3" borderId="0" xfId="9" applyNumberFormat="1" applyFont="1" applyFill="1" applyAlignment="1">
      <alignment horizontal="left" vertical="center" wrapText="1"/>
    </xf>
    <xf numFmtId="166" fontId="9" fillId="3" borderId="0" xfId="9" applyNumberFormat="1" applyFont="1" applyFill="1" applyAlignment="1">
      <alignment horizontal="center" vertical="center"/>
    </xf>
    <xf numFmtId="166" fontId="17" fillId="3" borderId="0" xfId="9" applyNumberFormat="1" applyFont="1" applyFill="1" applyAlignment="1">
      <alignment horizontal="center" vertical="center"/>
    </xf>
    <xf numFmtId="166" fontId="6" fillId="3" borderId="0" xfId="9" applyNumberFormat="1" applyFont="1" applyFill="1" applyAlignment="1">
      <alignment horizontal="center" vertical="center" wrapText="1"/>
    </xf>
    <xf numFmtId="166" fontId="9" fillId="3" borderId="0" xfId="9" applyNumberFormat="1" applyFont="1" applyFill="1" applyAlignment="1">
      <alignment horizontal="center" vertical="center" wrapText="1"/>
    </xf>
    <xf numFmtId="166" fontId="7" fillId="3" borderId="0" xfId="9" applyNumberFormat="1" applyFont="1" applyFill="1" applyAlignment="1">
      <alignment horizontal="center" vertical="center" wrapText="1"/>
    </xf>
    <xf numFmtId="0" fontId="8" fillId="3" borderId="0" xfId="0" applyFont="1" applyFill="1" applyAlignment="1">
      <alignment vertical="center"/>
    </xf>
    <xf numFmtId="166" fontId="6" fillId="3" borderId="2" xfId="9" applyNumberFormat="1" applyFont="1" applyFill="1" applyBorder="1" applyAlignment="1">
      <alignment vertical="center" wrapText="1" shrinkToFit="1"/>
    </xf>
    <xf numFmtId="166" fontId="6" fillId="3" borderId="2" xfId="9" applyNumberFormat="1" applyFont="1" applyFill="1" applyBorder="1" applyAlignment="1">
      <alignment vertical="center" wrapText="1"/>
    </xf>
    <xf numFmtId="166" fontId="6" fillId="3" borderId="4" xfId="9" applyNumberFormat="1" applyFont="1" applyFill="1" applyBorder="1" applyAlignment="1">
      <alignment vertical="center" wrapText="1"/>
    </xf>
    <xf numFmtId="166" fontId="6" fillId="3" borderId="1" xfId="9" applyNumberFormat="1" applyFont="1" applyFill="1" applyBorder="1" applyAlignment="1" applyProtection="1">
      <alignment horizontal="left" vertical="center" wrapText="1"/>
      <protection hidden="1"/>
    </xf>
    <xf numFmtId="166" fontId="6" fillId="3" borderId="0" xfId="9" applyNumberFormat="1" applyFont="1" applyFill="1" applyAlignment="1" applyProtection="1">
      <alignment horizontal="center" vertical="center"/>
      <protection locked="0"/>
    </xf>
    <xf numFmtId="166" fontId="7" fillId="3" borderId="1" xfId="9" applyNumberFormat="1" applyFont="1" applyFill="1" applyBorder="1" applyAlignment="1">
      <alignment horizontal="left" vertical="center"/>
    </xf>
    <xf numFmtId="166" fontId="7" fillId="3" borderId="1" xfId="9" applyNumberFormat="1" applyFont="1" applyFill="1" applyBorder="1" applyAlignment="1">
      <alignment horizontal="center" vertical="center"/>
    </xf>
    <xf numFmtId="166" fontId="7" fillId="3" borderId="1" xfId="9" applyNumberFormat="1" applyFont="1" applyFill="1" applyBorder="1" applyAlignment="1">
      <alignment horizontal="center" vertical="center" wrapText="1" shrinkToFit="1"/>
    </xf>
    <xf numFmtId="166" fontId="6" fillId="3" borderId="1" xfId="9" applyNumberFormat="1" applyFont="1" applyFill="1" applyBorder="1" applyAlignment="1" applyProtection="1">
      <alignment horizontal="center" vertical="center" wrapText="1"/>
      <protection hidden="1"/>
    </xf>
    <xf numFmtId="166" fontId="10" fillId="0" borderId="1" xfId="0" applyNumberFormat="1" applyFont="1" applyBorder="1" applyAlignment="1">
      <alignment horizontal="center" vertical="center" wrapText="1"/>
    </xf>
    <xf numFmtId="166" fontId="6" fillId="3" borderId="1" xfId="9" applyNumberFormat="1" applyFont="1" applyFill="1" applyBorder="1" applyAlignment="1" applyProtection="1">
      <alignment horizontal="center" vertical="center"/>
      <protection locked="0"/>
    </xf>
    <xf numFmtId="166" fontId="11" fillId="3" borderId="1" xfId="9" applyNumberFormat="1" applyFont="1" applyFill="1" applyBorder="1" applyAlignment="1" applyProtection="1">
      <alignment horizontal="center" vertical="center"/>
      <protection locked="0"/>
    </xf>
    <xf numFmtId="166" fontId="6" fillId="3" borderId="1" xfId="9" applyNumberFormat="1" applyFont="1" applyFill="1" applyBorder="1" applyAlignment="1">
      <alignment horizontal="center" vertical="center"/>
    </xf>
    <xf numFmtId="166" fontId="6" fillId="3" borderId="0" xfId="9" applyNumberFormat="1" applyFont="1" applyFill="1" applyAlignment="1" applyProtection="1">
      <alignment horizontal="center" vertical="center" wrapText="1"/>
      <protection locked="0"/>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10" fillId="0" borderId="1" xfId="0" applyFont="1" applyBorder="1" applyAlignment="1">
      <alignment vertical="top" wrapText="1"/>
    </xf>
    <xf numFmtId="0" fontId="10" fillId="3" borderId="1" xfId="0" applyFont="1" applyFill="1" applyBorder="1" applyAlignment="1">
      <alignment horizontal="right" vertical="top" wrapText="1"/>
    </xf>
    <xf numFmtId="166" fontId="6" fillId="3" borderId="1" xfId="9" applyNumberFormat="1" applyFont="1" applyFill="1" applyBorder="1" applyAlignment="1">
      <alignment horizontal="left" vertical="center"/>
    </xf>
    <xf numFmtId="166" fontId="10" fillId="0" borderId="1" xfId="9" applyNumberFormat="1" applyFont="1" applyBorder="1" applyAlignment="1">
      <alignment horizontal="center" vertical="center"/>
    </xf>
    <xf numFmtId="166" fontId="6" fillId="3" borderId="0" xfId="9" applyNumberFormat="1" applyFont="1" applyFill="1" applyAlignment="1" applyProtection="1">
      <alignment horizontal="left" vertical="center" wrapText="1"/>
      <protection hidden="1"/>
    </xf>
    <xf numFmtId="166" fontId="6" fillId="3" borderId="0" xfId="9" applyNumberFormat="1" applyFont="1" applyFill="1" applyAlignment="1" applyProtection="1">
      <alignment horizontal="center" vertical="center" wrapText="1"/>
      <protection hidden="1"/>
    </xf>
    <xf numFmtId="164" fontId="6" fillId="3" borderId="1" xfId="9" applyFont="1" applyFill="1" applyBorder="1" applyAlignment="1">
      <alignment horizontal="center" vertical="center" wrapText="1"/>
    </xf>
    <xf numFmtId="166" fontId="6" fillId="3" borderId="10" xfId="0" applyNumberFormat="1" applyFont="1" applyFill="1" applyBorder="1" applyAlignment="1">
      <alignment horizontal="left" vertical="center" wrapText="1"/>
    </xf>
    <xf numFmtId="172" fontId="6" fillId="3" borderId="1" xfId="9" applyNumberFormat="1" applyFont="1" applyFill="1" applyBorder="1" applyAlignment="1">
      <alignment horizontal="center" vertical="center" wrapText="1"/>
    </xf>
    <xf numFmtId="49" fontId="8" fillId="3" borderId="1" xfId="0" applyNumberFormat="1" applyFont="1" applyFill="1" applyBorder="1" applyAlignment="1">
      <alignment horizontal="center" vertical="top" wrapText="1"/>
    </xf>
    <xf numFmtId="166" fontId="10" fillId="3" borderId="1" xfId="0" applyNumberFormat="1" applyFont="1" applyFill="1" applyBorder="1" applyAlignment="1">
      <alignment vertical="top" wrapText="1"/>
    </xf>
    <xf numFmtId="166" fontId="10" fillId="3" borderId="1" xfId="0" applyNumberFormat="1" applyFont="1" applyFill="1" applyBorder="1" applyAlignment="1">
      <alignment horizontal="right" vertical="top" wrapText="1"/>
    </xf>
    <xf numFmtId="166" fontId="8" fillId="3" borderId="1" xfId="0" applyNumberFormat="1" applyFont="1" applyFill="1" applyBorder="1" applyAlignment="1">
      <alignment horizontal="right" vertical="top" wrapText="1"/>
    </xf>
    <xf numFmtId="166" fontId="6" fillId="3" borderId="1" xfId="9" applyNumberFormat="1" applyFont="1" applyFill="1" applyBorder="1" applyAlignment="1">
      <alignment horizontal="center"/>
    </xf>
    <xf numFmtId="0" fontId="7" fillId="3" borderId="0" xfId="0" applyFont="1" applyFill="1" applyAlignment="1">
      <alignment horizontal="center" vertical="center"/>
    </xf>
    <xf numFmtId="166"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6" fillId="0" borderId="0" xfId="0" applyFont="1"/>
    <xf numFmtId="0" fontId="6" fillId="0" borderId="0" xfId="0" applyFont="1" applyAlignment="1">
      <alignment horizontal="center"/>
    </xf>
    <xf numFmtId="165" fontId="6" fillId="0" borderId="0" xfId="9" applyNumberFormat="1" applyFont="1" applyAlignment="1">
      <alignment horizontal="center"/>
    </xf>
    <xf numFmtId="3" fontId="0" fillId="0" borderId="0" xfId="0" applyNumberFormat="1"/>
    <xf numFmtId="0" fontId="4" fillId="0" borderId="0" xfId="4"/>
    <xf numFmtId="0" fontId="18" fillId="0" borderId="0" xfId="4" applyFont="1"/>
    <xf numFmtId="0" fontId="18" fillId="5" borderId="1" xfId="4" applyFont="1" applyFill="1" applyBorder="1" applyAlignment="1">
      <alignment horizontal="center" vertical="center"/>
    </xf>
    <xf numFmtId="0" fontId="0" fillId="0" borderId="1" xfId="0" applyBorder="1" applyAlignment="1">
      <alignment vertical="center" wrapText="1"/>
    </xf>
    <xf numFmtId="0" fontId="4" fillId="0" borderId="1" xfId="4" applyBorder="1"/>
    <xf numFmtId="166" fontId="7" fillId="6" borderId="1" xfId="10" applyNumberFormat="1" applyFont="1" applyFill="1" applyBorder="1" applyAlignment="1">
      <alignment horizontal="center" vertical="center" wrapText="1"/>
    </xf>
    <xf numFmtId="166" fontId="6" fillId="6" borderId="1" xfId="10" applyNumberFormat="1" applyFont="1" applyFill="1" applyBorder="1"/>
    <xf numFmtId="166" fontId="6" fillId="0" borderId="1" xfId="10" applyNumberFormat="1" applyFont="1" applyBorder="1"/>
    <xf numFmtId="166" fontId="6" fillId="6" borderId="1" xfId="10" applyNumberFormat="1" applyFont="1" applyFill="1" applyBorder="1" applyAlignment="1">
      <alignment wrapText="1"/>
    </xf>
    <xf numFmtId="166" fontId="6" fillId="7" borderId="1" xfId="10" applyNumberFormat="1" applyFont="1" applyFill="1" applyBorder="1"/>
    <xf numFmtId="166" fontId="6" fillId="3" borderId="1" xfId="10" applyNumberFormat="1" applyFont="1" applyFill="1" applyBorder="1"/>
    <xf numFmtId="166" fontId="9" fillId="6" borderId="1" xfId="0" applyNumberFormat="1" applyFont="1" applyFill="1" applyBorder="1" applyAlignment="1">
      <alignment wrapText="1"/>
    </xf>
    <xf numFmtId="166" fontId="16" fillId="3" borderId="0" xfId="0" applyNumberFormat="1" applyFont="1" applyFill="1"/>
    <xf numFmtId="166" fontId="6" fillId="3" borderId="0" xfId="10" applyNumberFormat="1" applyFont="1" applyFill="1"/>
    <xf numFmtId="164" fontId="6" fillId="3" borderId="1" xfId="10" applyFont="1" applyFill="1" applyBorder="1"/>
    <xf numFmtId="10" fontId="6" fillId="3" borderId="1" xfId="10" applyNumberFormat="1" applyFont="1" applyFill="1" applyBorder="1"/>
    <xf numFmtId="166" fontId="9" fillId="6" borderId="1" xfId="0" applyNumberFormat="1" applyFont="1" applyFill="1" applyBorder="1" applyAlignment="1">
      <alignment horizontal="left" vertical="center" wrapText="1"/>
    </xf>
    <xf numFmtId="166" fontId="6" fillId="3" borderId="0" xfId="10" applyNumberFormat="1" applyFont="1" applyFill="1" applyAlignment="1">
      <alignment horizontal="center" wrapText="1"/>
    </xf>
    <xf numFmtId="173" fontId="6" fillId="3" borderId="0" xfId="0" applyNumberFormat="1" applyFont="1" applyFill="1"/>
    <xf numFmtId="173" fontId="6" fillId="6" borderId="1" xfId="10" applyNumberFormat="1" applyFont="1" applyFill="1" applyBorder="1" applyAlignment="1">
      <alignment wrapText="1"/>
    </xf>
    <xf numFmtId="2" fontId="6" fillId="3" borderId="1" xfId="10" applyNumberFormat="1" applyFont="1" applyFill="1" applyBorder="1"/>
    <xf numFmtId="173" fontId="20" fillId="3" borderId="0" xfId="0" applyNumberFormat="1" applyFont="1" applyFill="1"/>
    <xf numFmtId="173" fontId="20" fillId="6" borderId="1" xfId="10" applyNumberFormat="1" applyFont="1" applyFill="1" applyBorder="1" applyAlignment="1">
      <alignment wrapText="1"/>
    </xf>
    <xf numFmtId="164" fontId="20" fillId="3" borderId="1" xfId="10" applyFont="1" applyFill="1" applyBorder="1"/>
    <xf numFmtId="165" fontId="6" fillId="3" borderId="1" xfId="10" applyNumberFormat="1" applyFont="1" applyFill="1" applyBorder="1"/>
    <xf numFmtId="173" fontId="9" fillId="6" borderId="1" xfId="0" applyNumberFormat="1" applyFont="1" applyFill="1" applyBorder="1" applyAlignment="1">
      <alignment horizontal="left" vertical="center" wrapText="1"/>
    </xf>
    <xf numFmtId="173" fontId="6" fillId="3" borderId="0" xfId="10" applyNumberFormat="1" applyFont="1" applyFill="1" applyAlignment="1">
      <alignment horizontal="center" wrapText="1"/>
    </xf>
    <xf numFmtId="173" fontId="7" fillId="3" borderId="0" xfId="0" applyNumberFormat="1" applyFont="1" applyFill="1"/>
    <xf numFmtId="173" fontId="6" fillId="3" borderId="0" xfId="0" applyNumberFormat="1" applyFont="1" applyFill="1" applyAlignment="1">
      <alignment horizontal="center" vertical="center"/>
    </xf>
    <xf numFmtId="173" fontId="7" fillId="6" borderId="1" xfId="0" applyNumberFormat="1" applyFont="1" applyFill="1" applyBorder="1" applyAlignment="1">
      <alignment horizontal="center" vertical="center"/>
    </xf>
    <xf numFmtId="173" fontId="7" fillId="6" borderId="1" xfId="0" applyNumberFormat="1" applyFont="1" applyFill="1" applyBorder="1" applyAlignment="1">
      <alignment horizontal="center" vertical="center" wrapText="1"/>
    </xf>
    <xf numFmtId="173" fontId="6" fillId="6" borderId="1" xfId="0" applyNumberFormat="1" applyFont="1" applyFill="1" applyBorder="1" applyAlignment="1">
      <alignment wrapText="1"/>
    </xf>
    <xf numFmtId="172" fontId="6" fillId="3" borderId="1" xfId="11" applyNumberFormat="1" applyFont="1" applyFill="1" applyBorder="1" applyAlignment="1">
      <alignment wrapText="1"/>
    </xf>
    <xf numFmtId="173" fontId="7" fillId="3" borderId="0" xfId="0" applyNumberFormat="1" applyFont="1" applyFill="1" applyAlignment="1">
      <alignment wrapText="1"/>
    </xf>
    <xf numFmtId="173" fontId="6" fillId="3" borderId="1" xfId="11" applyNumberFormat="1" applyFont="1" applyFill="1" applyBorder="1" applyAlignment="1">
      <alignment wrapText="1"/>
    </xf>
    <xf numFmtId="173" fontId="9" fillId="6" borderId="1" xfId="10" applyNumberFormat="1" applyFont="1" applyFill="1" applyBorder="1" applyAlignment="1">
      <alignment horizontal="left" vertical="center" wrapText="1"/>
    </xf>
    <xf numFmtId="173" fontId="11" fillId="3" borderId="0" xfId="0" applyNumberFormat="1" applyFont="1" applyFill="1"/>
    <xf numFmtId="173" fontId="11" fillId="3" borderId="0" xfId="0" applyNumberFormat="1" applyFont="1" applyFill="1" applyAlignment="1">
      <alignment horizontal="center" vertical="center"/>
    </xf>
    <xf numFmtId="166" fontId="6" fillId="3" borderId="0" xfId="6" applyNumberFormat="1" applyFont="1" applyFill="1"/>
    <xf numFmtId="166" fontId="7" fillId="3" borderId="0" xfId="6" applyNumberFormat="1" applyFont="1" applyFill="1"/>
    <xf numFmtId="166" fontId="7" fillId="6" borderId="4" xfId="12" applyNumberFormat="1" applyFont="1" applyFill="1" applyBorder="1" applyAlignment="1">
      <alignment horizontal="center" vertical="center" wrapText="1"/>
    </xf>
    <xf numFmtId="166" fontId="7" fillId="6" borderId="1" xfId="12" applyNumberFormat="1" applyFont="1" applyFill="1" applyBorder="1" applyAlignment="1">
      <alignment horizontal="center" vertical="center" wrapText="1"/>
    </xf>
    <xf numFmtId="166" fontId="7" fillId="3" borderId="0" xfId="6" applyNumberFormat="1" applyFont="1" applyFill="1" applyAlignment="1">
      <alignment wrapText="1"/>
    </xf>
    <xf numFmtId="166" fontId="7" fillId="6" borderId="2" xfId="6" applyNumberFormat="1" applyFont="1" applyFill="1" applyBorder="1" applyAlignment="1">
      <alignment horizontal="center" vertical="center" wrapText="1"/>
    </xf>
    <xf numFmtId="49" fontId="7" fillId="6" borderId="1" xfId="6" applyNumberFormat="1" applyFont="1" applyFill="1" applyBorder="1" applyAlignment="1">
      <alignment horizontal="center" vertical="center" wrapText="1"/>
    </xf>
    <xf numFmtId="49" fontId="7" fillId="6" borderId="1" xfId="12" applyNumberFormat="1" applyFont="1" applyFill="1" applyBorder="1" applyAlignment="1">
      <alignment horizontal="center" vertical="center" wrapText="1"/>
    </xf>
    <xf numFmtId="49" fontId="7" fillId="6" borderId="4" xfId="12" applyNumberFormat="1" applyFont="1" applyFill="1" applyBorder="1" applyAlignment="1">
      <alignment horizontal="center" vertical="center" wrapText="1"/>
    </xf>
    <xf numFmtId="166" fontId="7" fillId="6" borderId="1" xfId="6" applyNumberFormat="1" applyFont="1" applyFill="1" applyBorder="1" applyAlignment="1">
      <alignment wrapText="1"/>
    </xf>
    <xf numFmtId="166" fontId="6" fillId="3" borderId="1" xfId="6" applyNumberFormat="1" applyFont="1" applyFill="1" applyBorder="1"/>
    <xf numFmtId="173" fontId="6" fillId="3" borderId="1" xfId="12" applyNumberFormat="1" applyFont="1" applyFill="1" applyBorder="1"/>
    <xf numFmtId="166" fontId="6" fillId="3" borderId="1" xfId="12" applyNumberFormat="1" applyFont="1" applyFill="1" applyBorder="1"/>
    <xf numFmtId="166" fontId="6" fillId="3" borderId="7" xfId="12" applyNumberFormat="1" applyFont="1" applyFill="1" applyBorder="1"/>
    <xf numFmtId="166" fontId="6" fillId="3" borderId="12" xfId="12" applyNumberFormat="1" applyFont="1" applyFill="1" applyBorder="1"/>
    <xf numFmtId="166" fontId="6" fillId="6" borderId="1" xfId="6" applyNumberFormat="1" applyFont="1" applyFill="1" applyBorder="1" applyAlignment="1">
      <alignment wrapText="1"/>
    </xf>
    <xf numFmtId="166" fontId="7" fillId="3" borderId="1" xfId="6" applyNumberFormat="1" applyFont="1" applyFill="1" applyBorder="1" applyAlignment="1">
      <alignment horizontal="center"/>
    </xf>
    <xf numFmtId="166" fontId="6" fillId="3" borderId="1" xfId="6" applyNumberFormat="1" applyFont="1" applyFill="1" applyBorder="1" applyAlignment="1">
      <alignment horizontal="center"/>
    </xf>
    <xf numFmtId="172" fontId="6" fillId="3" borderId="1" xfId="12" applyNumberFormat="1" applyFont="1" applyFill="1" applyBorder="1"/>
    <xf numFmtId="172" fontId="6" fillId="3" borderId="7" xfId="12" applyNumberFormat="1" applyFont="1" applyFill="1" applyBorder="1"/>
    <xf numFmtId="172" fontId="6" fillId="3" borderId="12" xfId="12" applyNumberFormat="1" applyFont="1" applyFill="1" applyBorder="1"/>
    <xf numFmtId="166" fontId="6" fillId="3" borderId="12" xfId="6" applyNumberFormat="1" applyFont="1" applyFill="1" applyBorder="1"/>
    <xf numFmtId="166" fontId="9" fillId="6" borderId="1" xfId="6" applyNumberFormat="1" applyFont="1" applyFill="1" applyBorder="1" applyAlignment="1">
      <alignment wrapText="1"/>
    </xf>
    <xf numFmtId="166" fontId="9" fillId="3" borderId="1" xfId="6" applyNumberFormat="1" applyFont="1" applyFill="1" applyBorder="1"/>
    <xf numFmtId="166" fontId="9" fillId="3" borderId="1" xfId="12" applyNumberFormat="1" applyFont="1" applyFill="1" applyBorder="1"/>
    <xf numFmtId="166" fontId="9" fillId="3" borderId="0" xfId="6" applyNumberFormat="1" applyFont="1" applyFill="1"/>
    <xf numFmtId="166" fontId="6" fillId="3" borderId="0" xfId="12" applyNumberFormat="1" applyFont="1" applyFill="1"/>
    <xf numFmtId="173" fontId="6" fillId="3" borderId="0" xfId="12" applyNumberFormat="1" applyFont="1" applyFill="1"/>
    <xf numFmtId="166" fontId="7" fillId="3" borderId="0" xfId="6" applyNumberFormat="1" applyFont="1" applyFill="1" applyAlignment="1">
      <alignment horizontal="center" vertical="center" wrapText="1"/>
    </xf>
    <xf numFmtId="166" fontId="7" fillId="6" borderId="1" xfId="6" applyNumberFormat="1" applyFont="1" applyFill="1" applyBorder="1" applyAlignment="1">
      <alignment horizontal="center" vertical="center" wrapText="1"/>
    </xf>
    <xf numFmtId="4" fontId="6" fillId="0" borderId="1" xfId="12" applyNumberFormat="1" applyFont="1" applyBorder="1"/>
    <xf numFmtId="4" fontId="6" fillId="0" borderId="7" xfId="12" applyNumberFormat="1" applyFont="1" applyBorder="1"/>
    <xf numFmtId="4" fontId="6" fillId="3" borderId="12" xfId="12" applyNumberFormat="1" applyFont="1" applyFill="1" applyBorder="1"/>
    <xf numFmtId="166" fontId="16" fillId="3" borderId="0" xfId="6" applyNumberFormat="1" applyFont="1" applyFill="1"/>
    <xf numFmtId="166" fontId="9" fillId="3" borderId="1" xfId="6" applyNumberFormat="1" applyFont="1" applyFill="1" applyBorder="1" applyAlignment="1">
      <alignment horizontal="center"/>
    </xf>
    <xf numFmtId="4" fontId="9" fillId="0" borderId="1" xfId="12" applyNumberFormat="1" applyFont="1" applyBorder="1"/>
    <xf numFmtId="4" fontId="9" fillId="0" borderId="7" xfId="12" applyNumberFormat="1" applyFont="1" applyBorder="1"/>
    <xf numFmtId="166" fontId="9" fillId="3" borderId="12" xfId="6" applyNumberFormat="1" applyFont="1" applyFill="1" applyBorder="1"/>
    <xf numFmtId="0" fontId="21" fillId="0" borderId="0" xfId="0" applyFont="1"/>
    <xf numFmtId="4" fontId="9" fillId="3" borderId="1" xfId="12" applyNumberFormat="1" applyFont="1" applyFill="1" applyBorder="1"/>
    <xf numFmtId="4" fontId="9" fillId="3" borderId="7" xfId="12" applyNumberFormat="1" applyFont="1" applyFill="1" applyBorder="1"/>
    <xf numFmtId="172" fontId="6" fillId="0" borderId="1" xfId="12" applyNumberFormat="1" applyFont="1" applyBorder="1"/>
    <xf numFmtId="166" fontId="6" fillId="3" borderId="0" xfId="6" applyNumberFormat="1" applyFont="1" applyFill="1" applyAlignment="1">
      <alignment wrapText="1"/>
    </xf>
    <xf numFmtId="166" fontId="6" fillId="3" borderId="0" xfId="6" applyNumberFormat="1" applyFont="1" applyFill="1" applyAlignment="1">
      <alignment horizontal="left" wrapText="1"/>
    </xf>
    <xf numFmtId="166" fontId="7" fillId="6" borderId="1" xfId="10" applyNumberFormat="1" applyFont="1" applyFill="1" applyBorder="1" applyAlignment="1">
      <alignment horizontal="center" vertical="center"/>
    </xf>
    <xf numFmtId="166" fontId="6" fillId="3" borderId="0" xfId="10" applyNumberFormat="1" applyFont="1" applyFill="1" applyAlignment="1">
      <alignment wrapText="1"/>
    </xf>
    <xf numFmtId="172" fontId="6" fillId="3" borderId="1" xfId="0" applyNumberFormat="1" applyFont="1" applyFill="1" applyBorder="1" applyAlignment="1">
      <alignment horizontal="center"/>
    </xf>
    <xf numFmtId="172" fontId="6" fillId="0" borderId="1" xfId="0" applyNumberFormat="1" applyFont="1" applyBorder="1"/>
    <xf numFmtId="172" fontId="6" fillId="3" borderId="1" xfId="0" applyNumberFormat="1" applyFont="1" applyFill="1" applyBorder="1"/>
    <xf numFmtId="173" fontId="6" fillId="3" borderId="0" xfId="0" applyNumberFormat="1" applyFont="1" applyFill="1" applyAlignment="1">
      <alignment wrapText="1"/>
    </xf>
    <xf numFmtId="172" fontId="6" fillId="0" borderId="1" xfId="0" applyNumberFormat="1" applyFont="1" applyBorder="1" applyAlignment="1">
      <alignment horizontal="center"/>
    </xf>
    <xf numFmtId="172" fontId="6" fillId="0" borderId="1" xfId="0" applyNumberFormat="1" applyFont="1" applyBorder="1" applyAlignment="1">
      <alignment horizontal="right"/>
    </xf>
    <xf numFmtId="173" fontId="6" fillId="3" borderId="0" xfId="10" applyNumberFormat="1" applyFont="1" applyFill="1" applyAlignment="1">
      <alignment wrapText="1"/>
    </xf>
    <xf numFmtId="173" fontId="6" fillId="3" borderId="0" xfId="0" applyNumberFormat="1" applyFont="1" applyFill="1" applyAlignment="1">
      <alignment horizontal="center"/>
    </xf>
    <xf numFmtId="164" fontId="6" fillId="0" borderId="1" xfId="10" applyFont="1" applyBorder="1" applyAlignment="1">
      <alignment horizontal="center"/>
    </xf>
    <xf numFmtId="0" fontId="6" fillId="6" borderId="1" xfId="0" applyFont="1" applyFill="1" applyBorder="1" applyAlignment="1">
      <alignment wrapText="1"/>
    </xf>
    <xf numFmtId="165" fontId="6" fillId="0" borderId="1" xfId="10" applyNumberFormat="1" applyFont="1" applyBorder="1" applyAlignment="1">
      <alignment horizontal="center"/>
    </xf>
    <xf numFmtId="165" fontId="6" fillId="0" borderId="1" xfId="10" applyNumberFormat="1" applyFont="1" applyBorder="1"/>
    <xf numFmtId="166" fontId="6" fillId="0" borderId="1" xfId="0" applyNumberFormat="1" applyFont="1" applyBorder="1"/>
    <xf numFmtId="164" fontId="6" fillId="0" borderId="1" xfId="10" applyFont="1" applyBorder="1"/>
    <xf numFmtId="173" fontId="7" fillId="6" borderId="1" xfId="10" applyNumberFormat="1" applyFont="1" applyFill="1" applyBorder="1" applyAlignment="1">
      <alignment horizontal="center" vertical="center" wrapText="1"/>
    </xf>
    <xf numFmtId="173" fontId="6" fillId="6" borderId="1" xfId="10" applyNumberFormat="1" applyFont="1" applyFill="1" applyBorder="1"/>
    <xf numFmtId="166" fontId="6" fillId="3" borderId="1" xfId="10" applyNumberFormat="1" applyFont="1" applyFill="1" applyBorder="1" applyAlignment="1">
      <alignment horizontal="center" vertical="center"/>
    </xf>
    <xf numFmtId="172" fontId="6" fillId="3" borderId="1" xfId="10" applyNumberFormat="1" applyFont="1" applyFill="1" applyBorder="1" applyAlignment="1">
      <alignment horizontal="center" vertical="center"/>
    </xf>
    <xf numFmtId="173" fontId="6" fillId="3" borderId="1" xfId="10" applyNumberFormat="1" applyFont="1" applyFill="1" applyBorder="1" applyAlignment="1">
      <alignment horizontal="center" vertical="center"/>
    </xf>
    <xf numFmtId="169" fontId="6" fillId="3" borderId="1" xfId="10" applyNumberFormat="1" applyFont="1" applyFill="1" applyBorder="1" applyAlignment="1">
      <alignment horizontal="center" vertical="center"/>
    </xf>
    <xf numFmtId="173" fontId="7" fillId="6" borderId="1" xfId="10" applyNumberFormat="1" applyFont="1" applyFill="1" applyBorder="1" applyAlignment="1">
      <alignment wrapText="1"/>
    </xf>
    <xf numFmtId="166" fontId="7" fillId="3" borderId="1" xfId="10" applyNumberFormat="1" applyFont="1" applyFill="1" applyBorder="1" applyAlignment="1">
      <alignment horizontal="center" vertical="center"/>
    </xf>
    <xf numFmtId="166" fontId="6" fillId="3" borderId="0" xfId="10" applyNumberFormat="1" applyFont="1" applyFill="1" applyAlignment="1">
      <alignment horizontal="center" vertical="center"/>
    </xf>
    <xf numFmtId="173" fontId="6" fillId="3" borderId="0" xfId="10" applyNumberFormat="1" applyFont="1" applyFill="1" applyAlignment="1">
      <alignment horizontal="center" vertical="center"/>
    </xf>
    <xf numFmtId="166" fontId="7" fillId="6" borderId="1" xfId="0" applyNumberFormat="1" applyFont="1" applyFill="1" applyBorder="1" applyAlignment="1">
      <alignment horizontal="center" vertical="center" wrapText="1"/>
    </xf>
    <xf numFmtId="172" fontId="6" fillId="3" borderId="1" xfId="0" applyNumberFormat="1" applyFont="1" applyFill="1" applyBorder="1" applyAlignment="1">
      <alignment horizontal="center" vertical="center"/>
    </xf>
    <xf numFmtId="172" fontId="6" fillId="3" borderId="0" xfId="0" applyNumberFormat="1" applyFont="1" applyFill="1" applyAlignment="1">
      <alignment horizontal="center" vertical="center"/>
    </xf>
    <xf numFmtId="173" fontId="7" fillId="6" borderId="1" xfId="0" applyNumberFormat="1" applyFont="1" applyFill="1" applyBorder="1" applyAlignment="1">
      <alignment wrapText="1"/>
    </xf>
    <xf numFmtId="172" fontId="7" fillId="3" borderId="1" xfId="0" applyNumberFormat="1" applyFont="1" applyFill="1" applyBorder="1" applyAlignment="1">
      <alignment horizontal="center" vertical="center"/>
    </xf>
    <xf numFmtId="172" fontId="7" fillId="3" borderId="0" xfId="0" applyNumberFormat="1" applyFont="1" applyFill="1" applyAlignment="1">
      <alignment horizontal="center" vertical="center"/>
    </xf>
    <xf numFmtId="173" fontId="7" fillId="3" borderId="0" xfId="0" applyNumberFormat="1" applyFont="1" applyFill="1" applyAlignment="1">
      <alignment horizontal="center" vertical="center"/>
    </xf>
    <xf numFmtId="166" fontId="6" fillId="6" borderId="1" xfId="0" applyNumberFormat="1" applyFont="1" applyFill="1" applyBorder="1" applyAlignment="1">
      <alignment horizontal="left" vertical="center" wrapText="1"/>
    </xf>
    <xf numFmtId="172" fontId="6" fillId="3" borderId="1" xfId="0" applyNumberFormat="1" applyFont="1" applyFill="1" applyBorder="1" applyAlignment="1">
      <alignment horizontal="center" vertical="center" wrapText="1"/>
    </xf>
    <xf numFmtId="172" fontId="6" fillId="3" borderId="0" xfId="0" applyNumberFormat="1" applyFont="1" applyFill="1" applyAlignment="1">
      <alignment horizontal="center" vertical="center" wrapText="1"/>
    </xf>
    <xf numFmtId="49" fontId="6" fillId="0" borderId="0" xfId="0" applyNumberFormat="1" applyFont="1" applyAlignment="1">
      <alignment vertical="center"/>
    </xf>
    <xf numFmtId="173" fontId="6" fillId="6" borderId="1" xfId="0" applyNumberFormat="1" applyFont="1" applyFill="1" applyBorder="1"/>
    <xf numFmtId="172" fontId="6" fillId="3" borderId="1" xfId="0" applyNumberFormat="1" applyFont="1" applyFill="1" applyBorder="1" applyAlignment="1">
      <alignment vertical="center" wrapText="1"/>
    </xf>
    <xf numFmtId="173" fontId="6" fillId="3" borderId="0" xfId="0" applyNumberFormat="1" applyFont="1" applyFill="1" applyAlignment="1">
      <alignment horizontal="left" wrapText="1"/>
    </xf>
    <xf numFmtId="173" fontId="7" fillId="3" borderId="0" xfId="0" applyNumberFormat="1" applyFont="1" applyFill="1" applyAlignment="1">
      <alignment horizontal="left"/>
    </xf>
    <xf numFmtId="49" fontId="8" fillId="6" borderId="1" xfId="0" applyNumberFormat="1" applyFont="1" applyFill="1" applyBorder="1" applyAlignment="1">
      <alignment horizontal="center" vertical="top" wrapText="1"/>
    </xf>
    <xf numFmtId="166" fontId="6" fillId="6" borderId="1" xfId="0" applyNumberFormat="1" applyFont="1" applyFill="1" applyBorder="1" applyAlignment="1">
      <alignment wrapText="1"/>
    </xf>
    <xf numFmtId="166" fontId="6" fillId="3" borderId="1" xfId="10" applyNumberFormat="1" applyFont="1" applyFill="1" applyBorder="1" applyAlignment="1">
      <alignment wrapText="1"/>
    </xf>
    <xf numFmtId="166" fontId="6" fillId="6" borderId="17" xfId="0" applyNumberFormat="1" applyFont="1" applyFill="1" applyBorder="1" applyAlignment="1">
      <alignment wrapText="1"/>
    </xf>
    <xf numFmtId="166" fontId="6" fillId="3" borderId="17" xfId="10" applyNumberFormat="1" applyFont="1" applyFill="1" applyBorder="1" applyAlignment="1">
      <alignment wrapText="1"/>
    </xf>
    <xf numFmtId="166" fontId="6" fillId="6" borderId="2" xfId="0" applyNumberFormat="1" applyFont="1" applyFill="1" applyBorder="1" applyAlignment="1">
      <alignment wrapText="1"/>
    </xf>
    <xf numFmtId="166" fontId="6" fillId="3" borderId="2" xfId="10" applyNumberFormat="1" applyFont="1" applyFill="1" applyBorder="1" applyAlignment="1">
      <alignment wrapText="1"/>
    </xf>
    <xf numFmtId="172" fontId="6" fillId="3" borderId="17" xfId="10" applyNumberFormat="1" applyFont="1" applyFill="1" applyBorder="1" applyAlignment="1">
      <alignment horizontal="center" wrapText="1"/>
    </xf>
    <xf numFmtId="172" fontId="6" fillId="3" borderId="17" xfId="10" applyNumberFormat="1" applyFont="1" applyFill="1" applyBorder="1" applyAlignment="1">
      <alignment wrapText="1"/>
    </xf>
    <xf numFmtId="0" fontId="8" fillId="6" borderId="1" xfId="0" applyFont="1" applyFill="1" applyBorder="1" applyAlignment="1">
      <alignment horizontal="center" vertical="center" wrapText="1"/>
    </xf>
    <xf numFmtId="166" fontId="7" fillId="6" borderId="1" xfId="10" applyNumberFormat="1" applyFont="1" applyFill="1" applyBorder="1" applyAlignment="1">
      <alignment wrapText="1"/>
    </xf>
    <xf numFmtId="166" fontId="9" fillId="6" borderId="1" xfId="10" applyNumberFormat="1" applyFont="1" applyFill="1" applyBorder="1" applyAlignment="1">
      <alignment horizontal="center" vertical="center"/>
    </xf>
    <xf numFmtId="166" fontId="6" fillId="3" borderId="1" xfId="10" applyNumberFormat="1" applyFont="1" applyFill="1" applyBorder="1" applyAlignment="1">
      <alignment horizontal="center" vertical="center" wrapText="1"/>
    </xf>
    <xf numFmtId="166" fontId="9" fillId="3" borderId="0" xfId="0" applyNumberFormat="1" applyFont="1" applyFill="1"/>
    <xf numFmtId="166" fontId="7" fillId="6" borderId="1" xfId="0" applyNumberFormat="1" applyFont="1" applyFill="1" applyBorder="1" applyAlignment="1">
      <alignment horizontal="center" vertical="center"/>
    </xf>
    <xf numFmtId="166" fontId="8" fillId="6" borderId="1" xfId="0" applyNumberFormat="1" applyFont="1" applyFill="1" applyBorder="1" applyAlignment="1">
      <alignment horizontal="center" vertical="center" wrapText="1"/>
    </xf>
    <xf numFmtId="172" fontId="7" fillId="3" borderId="1" xfId="0" applyNumberFormat="1" applyFont="1" applyFill="1" applyBorder="1" applyAlignment="1">
      <alignment horizontal="center"/>
    </xf>
    <xf numFmtId="172" fontId="6" fillId="3" borderId="0" xfId="0" applyNumberFormat="1" applyFont="1" applyFill="1" applyAlignment="1">
      <alignment horizontal="center" wrapText="1"/>
    </xf>
    <xf numFmtId="172" fontId="6" fillId="3" borderId="1" xfId="0" applyNumberFormat="1" applyFont="1" applyFill="1" applyBorder="1" applyAlignment="1">
      <alignment horizontal="center" wrapText="1"/>
    </xf>
    <xf numFmtId="173" fontId="7" fillId="3" borderId="0" xfId="0" applyNumberFormat="1" applyFont="1" applyFill="1" applyAlignment="1">
      <alignment horizontal="center"/>
    </xf>
    <xf numFmtId="173" fontId="6" fillId="3" borderId="0" xfId="0" applyNumberFormat="1" applyFont="1" applyFill="1" applyAlignment="1">
      <alignment horizontal="center" wrapText="1"/>
    </xf>
    <xf numFmtId="173" fontId="7" fillId="6" borderId="1" xfId="10" applyNumberFormat="1" applyFont="1" applyFill="1" applyBorder="1" applyAlignment="1">
      <alignment horizontal="center"/>
    </xf>
    <xf numFmtId="173" fontId="6" fillId="6" borderId="1" xfId="10" applyNumberFormat="1" applyFont="1" applyFill="1" applyBorder="1" applyAlignment="1">
      <alignment horizontal="left" wrapText="1"/>
    </xf>
    <xf numFmtId="172" fontId="7" fillId="3" borderId="1" xfId="10" applyNumberFormat="1" applyFont="1" applyFill="1" applyBorder="1" applyAlignment="1">
      <alignment horizontal="center" vertical="center"/>
    </xf>
    <xf numFmtId="172" fontId="6" fillId="3" borderId="1" xfId="10" applyNumberFormat="1" applyFont="1" applyFill="1" applyBorder="1" applyAlignment="1">
      <alignment horizontal="center" wrapText="1"/>
    </xf>
    <xf numFmtId="173" fontId="6" fillId="3" borderId="0" xfId="10" applyNumberFormat="1" applyFont="1" applyFill="1" applyAlignment="1">
      <alignment horizontal="left" wrapText="1"/>
    </xf>
    <xf numFmtId="173" fontId="7" fillId="3" borderId="0" xfId="10" applyNumberFormat="1" applyFont="1" applyFill="1" applyAlignment="1">
      <alignment horizontal="center"/>
    </xf>
    <xf numFmtId="172" fontId="6" fillId="3" borderId="1" xfId="10" applyNumberFormat="1" applyFont="1" applyFill="1" applyBorder="1" applyAlignment="1">
      <alignment horizontal="center"/>
    </xf>
    <xf numFmtId="166" fontId="6" fillId="6" borderId="1" xfId="10" applyNumberFormat="1" applyFont="1" applyFill="1" applyBorder="1" applyAlignment="1">
      <alignment horizontal="left" vertical="center" wrapText="1"/>
    </xf>
    <xf numFmtId="172" fontId="6" fillId="3" borderId="1" xfId="10" applyNumberFormat="1" applyFont="1" applyFill="1" applyBorder="1"/>
    <xf numFmtId="173" fontId="6" fillId="3" borderId="1" xfId="10" applyNumberFormat="1" applyFont="1" applyFill="1" applyBorder="1"/>
    <xf numFmtId="49" fontId="7" fillId="3" borderId="0" xfId="0" applyNumberFormat="1" applyFont="1" applyFill="1" applyAlignment="1">
      <alignment horizontal="center" vertical="center"/>
    </xf>
    <xf numFmtId="49" fontId="7" fillId="6" borderId="1" xfId="0" applyNumberFormat="1" applyFont="1" applyFill="1" applyBorder="1" applyAlignment="1">
      <alignment horizontal="center" vertical="center" wrapText="1"/>
    </xf>
    <xf numFmtId="172" fontId="6" fillId="3" borderId="1" xfId="10" applyNumberFormat="1" applyFont="1" applyFill="1" applyBorder="1" applyAlignment="1">
      <alignment wrapText="1"/>
    </xf>
    <xf numFmtId="173" fontId="6" fillId="3" borderId="1" xfId="10" applyNumberFormat="1" applyFont="1" applyFill="1" applyBorder="1" applyAlignment="1">
      <alignment wrapText="1"/>
    </xf>
    <xf numFmtId="173" fontId="6" fillId="3" borderId="0" xfId="10" applyNumberFormat="1" applyFont="1" applyFill="1"/>
    <xf numFmtId="166" fontId="6" fillId="6" borderId="18" xfId="10" applyNumberFormat="1" applyFont="1" applyFill="1" applyBorder="1" applyAlignment="1">
      <alignment vertical="center" wrapText="1"/>
    </xf>
    <xf numFmtId="172" fontId="6" fillId="3" borderId="1" xfId="10" applyNumberFormat="1" applyFont="1" applyFill="1" applyBorder="1" applyAlignment="1">
      <alignment vertical="center" wrapText="1"/>
    </xf>
    <xf numFmtId="166" fontId="7" fillId="6" borderId="9" xfId="10" applyNumberFormat="1" applyFont="1" applyFill="1" applyBorder="1" applyAlignment="1">
      <alignment vertical="center" wrapText="1"/>
    </xf>
    <xf numFmtId="172" fontId="7" fillId="3" borderId="1" xfId="10" applyNumberFormat="1" applyFont="1" applyFill="1" applyBorder="1" applyAlignment="1">
      <alignment vertical="center" wrapText="1"/>
    </xf>
    <xf numFmtId="164" fontId="6" fillId="3" borderId="0" xfId="10" applyFont="1" applyFill="1" applyAlignment="1">
      <alignment vertical="center" wrapText="1"/>
    </xf>
    <xf numFmtId="172" fontId="6" fillId="6" borderId="1" xfId="0" applyNumberFormat="1" applyFont="1" applyFill="1" applyBorder="1" applyAlignment="1">
      <alignment vertical="center" wrapText="1"/>
    </xf>
    <xf numFmtId="172" fontId="6" fillId="6" borderId="7" xfId="0" applyNumberFormat="1" applyFont="1" applyFill="1" applyBorder="1" applyAlignment="1">
      <alignment vertical="center" wrapText="1"/>
    </xf>
    <xf numFmtId="166" fontId="6" fillId="6" borderId="0" xfId="0" applyNumberFormat="1" applyFont="1" applyFill="1" applyAlignment="1">
      <alignment vertical="center" wrapText="1"/>
    </xf>
    <xf numFmtId="164" fontId="6" fillId="3" borderId="1" xfId="10" applyFont="1" applyFill="1" applyBorder="1" applyAlignment="1">
      <alignment vertical="center" wrapText="1"/>
    </xf>
    <xf numFmtId="166" fontId="6" fillId="6" borderId="9" xfId="10" applyNumberFormat="1" applyFont="1" applyFill="1" applyBorder="1" applyAlignment="1">
      <alignment vertical="center" wrapText="1"/>
    </xf>
    <xf numFmtId="166" fontId="6" fillId="3" borderId="0" xfId="0" applyNumberFormat="1" applyFont="1" applyFill="1" applyAlignment="1">
      <alignment horizontal="center" vertical="center" wrapText="1"/>
    </xf>
    <xf numFmtId="172" fontId="6" fillId="3" borderId="0" xfId="10" applyNumberFormat="1" applyFont="1" applyFill="1" applyAlignment="1">
      <alignment vertical="center" wrapText="1"/>
    </xf>
    <xf numFmtId="172" fontId="6" fillId="3" borderId="0" xfId="0" applyNumberFormat="1" applyFont="1" applyFill="1" applyAlignment="1">
      <alignment vertical="center" wrapText="1"/>
    </xf>
    <xf numFmtId="166" fontId="7" fillId="6" borderId="1" xfId="10" applyNumberFormat="1" applyFont="1" applyFill="1" applyBorder="1" applyAlignment="1">
      <alignment vertical="center" wrapText="1"/>
    </xf>
    <xf numFmtId="174" fontId="7" fillId="3" borderId="1" xfId="10" applyNumberFormat="1" applyFont="1" applyFill="1" applyBorder="1" applyAlignment="1">
      <alignment vertical="center" wrapText="1"/>
    </xf>
    <xf numFmtId="172" fontId="6" fillId="6" borderId="1" xfId="0" applyNumberFormat="1" applyFont="1" applyFill="1" applyBorder="1" applyAlignment="1">
      <alignment horizontal="left" vertical="center" wrapText="1"/>
    </xf>
    <xf numFmtId="166" fontId="6" fillId="3" borderId="1" xfId="10" applyNumberFormat="1" applyFont="1" applyFill="1" applyBorder="1" applyAlignment="1">
      <alignment vertical="center" wrapText="1"/>
    </xf>
    <xf numFmtId="174" fontId="6" fillId="3" borderId="1" xfId="10" applyNumberFormat="1" applyFont="1" applyFill="1" applyBorder="1" applyAlignment="1">
      <alignment vertical="center" wrapText="1"/>
    </xf>
    <xf numFmtId="14" fontId="7" fillId="6" borderId="1" xfId="6" applyNumberFormat="1" applyFont="1" applyFill="1" applyBorder="1" applyAlignment="1">
      <alignment horizontal="center" vertical="center" wrapText="1"/>
    </xf>
    <xf numFmtId="14" fontId="7" fillId="6" borderId="1" xfId="12" applyNumberFormat="1" applyFont="1" applyFill="1" applyBorder="1" applyAlignment="1">
      <alignment horizontal="center" vertical="center" wrapText="1"/>
    </xf>
    <xf numFmtId="169" fontId="6" fillId="3" borderId="0" xfId="10" applyNumberFormat="1" applyFont="1" applyFill="1"/>
    <xf numFmtId="166" fontId="22" fillId="3" borderId="0" xfId="0" applyNumberFormat="1" applyFont="1" applyFill="1"/>
    <xf numFmtId="172" fontId="6" fillId="0" borderId="1" xfId="10" applyNumberFormat="1" applyFont="1" applyBorder="1" applyAlignment="1">
      <alignment wrapText="1"/>
    </xf>
    <xf numFmtId="166" fontId="6" fillId="0" borderId="0" xfId="0" applyNumberFormat="1" applyFont="1" applyAlignment="1">
      <alignment wrapText="1"/>
    </xf>
    <xf numFmtId="172" fontId="6" fillId="3" borderId="0" xfId="10" applyNumberFormat="1" applyFont="1" applyFill="1" applyAlignment="1">
      <alignment wrapText="1"/>
    </xf>
    <xf numFmtId="166" fontId="7" fillId="3" borderId="0" xfId="0" applyNumberFormat="1" applyFont="1" applyFill="1" applyAlignment="1">
      <alignment horizontal="center" vertical="center"/>
    </xf>
    <xf numFmtId="172" fontId="6" fillId="3" borderId="1" xfId="0" applyNumberFormat="1" applyFont="1" applyFill="1" applyBorder="1" applyAlignment="1">
      <alignment wrapText="1"/>
    </xf>
    <xf numFmtId="166" fontId="23" fillId="3" borderId="0" xfId="0" applyNumberFormat="1" applyFont="1" applyFill="1"/>
    <xf numFmtId="0" fontId="10" fillId="6" borderId="1" xfId="0" applyFont="1" applyFill="1" applyBorder="1" applyAlignment="1">
      <alignment vertical="top" wrapText="1"/>
    </xf>
    <xf numFmtId="166" fontId="7" fillId="6" borderId="1" xfId="10" applyNumberFormat="1" applyFont="1" applyFill="1" applyBorder="1"/>
    <xf numFmtId="172" fontId="7" fillId="3" borderId="1" xfId="10" applyNumberFormat="1" applyFont="1" applyFill="1" applyBorder="1"/>
    <xf numFmtId="166" fontId="7" fillId="3" borderId="1" xfId="10" applyNumberFormat="1" applyFont="1" applyFill="1" applyBorder="1"/>
    <xf numFmtId="166" fontId="7" fillId="3" borderId="0" xfId="10" applyNumberFormat="1" applyFont="1" applyFill="1"/>
    <xf numFmtId="173" fontId="7" fillId="3" borderId="0" xfId="10" applyNumberFormat="1" applyFont="1" applyFill="1"/>
    <xf numFmtId="173" fontId="7" fillId="3" borderId="0" xfId="10" applyNumberFormat="1" applyFont="1" applyFill="1" applyAlignment="1">
      <alignment wrapText="1"/>
    </xf>
    <xf numFmtId="172" fontId="6" fillId="3" borderId="0" xfId="10" applyNumberFormat="1" applyFont="1" applyFill="1"/>
    <xf numFmtId="172" fontId="6" fillId="3" borderId="0" xfId="0" applyNumberFormat="1" applyFont="1" applyFill="1"/>
    <xf numFmtId="166" fontId="14" fillId="3" borderId="0" xfId="0" applyNumberFormat="1" applyFont="1" applyFill="1" applyAlignment="1">
      <alignment wrapText="1"/>
    </xf>
    <xf numFmtId="172" fontId="6" fillId="3" borderId="1" xfId="10" applyNumberFormat="1" applyFont="1" applyFill="1" applyBorder="1" applyAlignment="1">
      <alignment horizontal="center" vertical="center" wrapText="1"/>
    </xf>
    <xf numFmtId="172" fontId="7" fillId="3" borderId="1" xfId="10" applyNumberFormat="1" applyFont="1" applyFill="1" applyBorder="1" applyAlignment="1">
      <alignment wrapText="1"/>
    </xf>
    <xf numFmtId="166" fontId="7" fillId="3" borderId="1" xfId="10" applyNumberFormat="1" applyFont="1" applyFill="1" applyBorder="1" applyAlignment="1">
      <alignment wrapText="1"/>
    </xf>
    <xf numFmtId="0" fontId="24" fillId="9" borderId="0" xfId="4" applyFont="1" applyFill="1" applyAlignment="1">
      <alignment wrapText="1"/>
    </xf>
    <xf numFmtId="0" fontId="25" fillId="9" borderId="0" xfId="4" applyFont="1" applyFill="1"/>
    <xf numFmtId="0" fontId="26" fillId="6" borderId="1" xfId="4" applyFont="1" applyFill="1" applyBorder="1" applyAlignment="1">
      <alignment wrapText="1"/>
    </xf>
    <xf numFmtId="166" fontId="24" fillId="9" borderId="1" xfId="4" applyNumberFormat="1" applyFont="1" applyFill="1" applyBorder="1"/>
    <xf numFmtId="0" fontId="27" fillId="6" borderId="1" xfId="4" applyFont="1" applyFill="1" applyBorder="1" applyAlignment="1">
      <alignment wrapText="1"/>
    </xf>
    <xf numFmtId="166" fontId="24" fillId="9" borderId="0" xfId="4" applyNumberFormat="1" applyFont="1" applyFill="1" applyAlignment="1">
      <alignment wrapText="1"/>
    </xf>
    <xf numFmtId="166" fontId="6" fillId="0" borderId="0" xfId="0" applyNumberFormat="1" applyFont="1"/>
    <xf numFmtId="166" fontId="7" fillId="0" borderId="0" xfId="0" applyNumberFormat="1" applyFont="1"/>
    <xf numFmtId="166" fontId="16" fillId="0" borderId="0" xfId="0" applyNumberFormat="1" applyFont="1"/>
    <xf numFmtId="172" fontId="7" fillId="6" borderId="1" xfId="9" applyNumberFormat="1" applyFont="1" applyFill="1" applyBorder="1" applyAlignment="1">
      <alignment wrapText="1"/>
    </xf>
    <xf numFmtId="172" fontId="7" fillId="6" borderId="1" xfId="9" applyNumberFormat="1" applyFont="1" applyFill="1" applyBorder="1" applyAlignment="1">
      <alignment horizontal="center" wrapText="1"/>
    </xf>
    <xf numFmtId="172" fontId="6" fillId="6" borderId="1" xfId="9" applyNumberFormat="1" applyFont="1" applyFill="1" applyBorder="1" applyAlignment="1">
      <alignment wrapText="1"/>
    </xf>
    <xf numFmtId="172" fontId="6" fillId="3" borderId="1" xfId="9" applyNumberFormat="1" applyFont="1" applyFill="1" applyBorder="1" applyAlignment="1">
      <alignment horizontal="left"/>
    </xf>
    <xf numFmtId="172" fontId="6" fillId="6" borderId="17" xfId="9" applyNumberFormat="1" applyFont="1" applyFill="1" applyBorder="1" applyAlignment="1">
      <alignment wrapText="1"/>
    </xf>
    <xf numFmtId="172" fontId="6" fillId="3" borderId="17" xfId="9" applyNumberFormat="1" applyFont="1" applyFill="1" applyBorder="1" applyAlignment="1">
      <alignment horizontal="left"/>
    </xf>
    <xf numFmtId="172" fontId="6" fillId="6" borderId="19" xfId="9" applyNumberFormat="1" applyFont="1" applyFill="1" applyBorder="1" applyAlignment="1">
      <alignment wrapText="1"/>
    </xf>
    <xf numFmtId="166" fontId="6" fillId="3" borderId="19" xfId="9" applyNumberFormat="1" applyFont="1" applyFill="1" applyBorder="1"/>
    <xf numFmtId="166" fontId="28" fillId="3" borderId="0" xfId="0" applyNumberFormat="1" applyFont="1" applyFill="1"/>
    <xf numFmtId="166" fontId="6" fillId="3" borderId="1" xfId="9" applyNumberFormat="1" applyFont="1" applyFill="1" applyBorder="1" applyAlignment="1">
      <alignment horizontal="left"/>
    </xf>
    <xf numFmtId="172" fontId="6" fillId="6" borderId="20" xfId="9" applyNumberFormat="1" applyFont="1" applyFill="1" applyBorder="1" applyAlignment="1">
      <alignment wrapText="1"/>
    </xf>
    <xf numFmtId="166" fontId="6" fillId="3" borderId="20" xfId="9" applyNumberFormat="1" applyFont="1" applyFill="1" applyBorder="1" applyAlignment="1">
      <alignment horizontal="left"/>
    </xf>
    <xf numFmtId="0" fontId="10" fillId="6" borderId="1" xfId="0" applyFont="1" applyFill="1" applyBorder="1" applyAlignment="1">
      <alignment wrapText="1"/>
    </xf>
    <xf numFmtId="166" fontId="6" fillId="3" borderId="17" xfId="9" applyNumberFormat="1" applyFont="1" applyFill="1" applyBorder="1" applyAlignment="1">
      <alignment horizontal="left"/>
    </xf>
    <xf numFmtId="166" fontId="7" fillId="6" borderId="1" xfId="0" applyNumberFormat="1" applyFont="1" applyFill="1" applyBorder="1" applyAlignment="1">
      <alignment wrapText="1"/>
    </xf>
    <xf numFmtId="164" fontId="6" fillId="3" borderId="1" xfId="9" applyFont="1" applyFill="1" applyBorder="1" applyAlignment="1">
      <alignment wrapText="1"/>
    </xf>
    <xf numFmtId="166" fontId="6" fillId="6" borderId="1" xfId="9" applyNumberFormat="1" applyFont="1" applyFill="1" applyBorder="1" applyAlignment="1">
      <alignment wrapText="1"/>
    </xf>
    <xf numFmtId="169" fontId="6" fillId="3" borderId="1" xfId="0" applyNumberFormat="1" applyFont="1" applyFill="1" applyBorder="1" applyAlignment="1">
      <alignment wrapText="1"/>
    </xf>
    <xf numFmtId="166" fontId="7" fillId="6" borderId="1" xfId="10" applyNumberFormat="1" applyFont="1" applyFill="1" applyBorder="1" applyAlignment="1">
      <alignment horizontal="center" vertical="center" wrapText="1"/>
    </xf>
    <xf numFmtId="173" fontId="7" fillId="6" borderId="1" xfId="10" applyNumberFormat="1" applyFont="1" applyFill="1" applyBorder="1" applyAlignment="1">
      <alignment horizontal="center" vertical="center" wrapText="1"/>
    </xf>
    <xf numFmtId="173" fontId="7" fillId="6" borderId="1" xfId="0" applyNumberFormat="1" applyFont="1" applyFill="1" applyBorder="1" applyAlignment="1">
      <alignment horizontal="center" vertical="center" wrapText="1"/>
    </xf>
    <xf numFmtId="166" fontId="9" fillId="3" borderId="0" xfId="0" applyNumberFormat="1" applyFont="1" applyFill="1" applyAlignment="1">
      <alignment horizontal="right" vertical="center" wrapText="1"/>
    </xf>
    <xf numFmtId="49" fontId="6" fillId="8" borderId="0" xfId="0" applyNumberFormat="1" applyFont="1" applyFill="1" applyAlignment="1">
      <alignment horizontal="left" vertical="center" wrapText="1"/>
    </xf>
    <xf numFmtId="49" fontId="6" fillId="8" borderId="0" xfId="0" applyNumberFormat="1" applyFont="1" applyFill="1" applyAlignment="1">
      <alignment horizontal="left" vertical="center"/>
    </xf>
    <xf numFmtId="173" fontId="6" fillId="6" borderId="7" xfId="0" applyNumberFormat="1" applyFont="1" applyFill="1" applyBorder="1" applyAlignment="1">
      <alignment horizontal="left" wrapText="1"/>
    </xf>
    <xf numFmtId="173" fontId="6" fillId="6" borderId="9" xfId="0" applyNumberFormat="1" applyFont="1" applyFill="1" applyBorder="1" applyAlignment="1">
      <alignment horizontal="left" wrapText="1"/>
    </xf>
    <xf numFmtId="173" fontId="6" fillId="6" borderId="8" xfId="0" applyNumberFormat="1" applyFont="1" applyFill="1" applyBorder="1" applyAlignment="1">
      <alignment horizontal="left" wrapText="1"/>
    </xf>
    <xf numFmtId="173" fontId="9" fillId="3" borderId="16" xfId="0" applyNumberFormat="1" applyFont="1" applyFill="1" applyBorder="1" applyAlignment="1">
      <alignment horizontal="right" vertical="center"/>
    </xf>
    <xf numFmtId="166" fontId="6" fillId="3" borderId="4" xfId="9" applyNumberFormat="1" applyFont="1" applyFill="1" applyBorder="1" applyAlignment="1">
      <alignment horizontal="center" vertical="center" wrapText="1"/>
    </xf>
    <xf numFmtId="166" fontId="6" fillId="3" borderId="2" xfId="9" applyNumberFormat="1" applyFont="1" applyFill="1" applyBorder="1" applyAlignment="1">
      <alignment horizontal="center" vertical="center" wrapText="1"/>
    </xf>
    <xf numFmtId="166" fontId="6" fillId="3" borderId="5" xfId="9" applyNumberFormat="1" applyFont="1" applyFill="1" applyBorder="1" applyAlignment="1">
      <alignment horizontal="center" vertical="center" wrapText="1"/>
    </xf>
    <xf numFmtId="166" fontId="6" fillId="3" borderId="6" xfId="9" applyNumberFormat="1" applyFont="1" applyFill="1" applyBorder="1" applyAlignment="1">
      <alignment horizontal="center" vertical="center" wrapText="1"/>
    </xf>
    <xf numFmtId="166" fontId="6" fillId="3" borderId="1" xfId="9" applyNumberFormat="1" applyFont="1" applyFill="1" applyBorder="1" applyAlignment="1">
      <alignment horizontal="center" vertical="center" wrapText="1" shrinkToFit="1"/>
    </xf>
    <xf numFmtId="166" fontId="6" fillId="3" borderId="4" xfId="9" applyNumberFormat="1" applyFont="1" applyFill="1" applyBorder="1" applyAlignment="1">
      <alignment horizontal="center" vertical="center" wrapText="1" shrinkToFit="1"/>
    </xf>
    <xf numFmtId="166" fontId="6" fillId="3" borderId="2" xfId="9" applyNumberFormat="1" applyFont="1" applyFill="1" applyBorder="1" applyAlignment="1">
      <alignment horizontal="center" vertical="center" wrapText="1" shrinkToFit="1"/>
    </xf>
    <xf numFmtId="166" fontId="6" fillId="3" borderId="1" xfId="9" applyNumberFormat="1" applyFont="1" applyFill="1" applyBorder="1" applyAlignment="1">
      <alignment horizontal="center" vertical="center" wrapText="1"/>
    </xf>
    <xf numFmtId="166" fontId="6" fillId="3" borderId="7" xfId="9" applyNumberFormat="1" applyFont="1" applyFill="1" applyBorder="1" applyAlignment="1">
      <alignment horizontal="center" vertical="center" wrapText="1"/>
    </xf>
    <xf numFmtId="166" fontId="6" fillId="3" borderId="9" xfId="9" applyNumberFormat="1" applyFont="1" applyFill="1" applyBorder="1" applyAlignment="1">
      <alignment horizontal="center" vertical="center" wrapText="1"/>
    </xf>
    <xf numFmtId="166" fontId="6" fillId="3" borderId="7" xfId="9" applyNumberFormat="1" applyFont="1" applyFill="1" applyBorder="1" applyAlignment="1">
      <alignment horizontal="center" vertical="center"/>
    </xf>
    <xf numFmtId="166" fontId="6" fillId="3" borderId="8" xfId="9" applyNumberFormat="1" applyFont="1" applyFill="1" applyBorder="1" applyAlignment="1">
      <alignment horizontal="center" vertical="center"/>
    </xf>
    <xf numFmtId="166" fontId="6" fillId="3" borderId="8" xfId="9" applyNumberFormat="1" applyFont="1" applyFill="1" applyBorder="1" applyAlignment="1">
      <alignment horizontal="center" vertical="center" wrapText="1"/>
    </xf>
    <xf numFmtId="166" fontId="7" fillId="3" borderId="4" xfId="9" applyNumberFormat="1" applyFont="1" applyFill="1" applyBorder="1" applyAlignment="1">
      <alignment horizontal="center" vertical="center" wrapText="1"/>
    </xf>
    <xf numFmtId="166" fontId="7" fillId="3" borderId="2" xfId="9" applyNumberFormat="1" applyFont="1" applyFill="1" applyBorder="1" applyAlignment="1">
      <alignment horizontal="center" vertical="center" wrapText="1"/>
    </xf>
    <xf numFmtId="0" fontId="18" fillId="5" borderId="1" xfId="4" applyFont="1" applyFill="1" applyBorder="1" applyAlignment="1">
      <alignment horizontal="center"/>
    </xf>
    <xf numFmtId="0" fontId="19" fillId="0" borderId="0" xfId="0" applyFont="1" applyAlignment="1">
      <alignment horizontal="center" wrapText="1"/>
    </xf>
    <xf numFmtId="0" fontId="0" fillId="0" borderId="0" xfId="0" applyAlignment="1">
      <alignment horizontal="center" wrapText="1"/>
    </xf>
    <xf numFmtId="0" fontId="9" fillId="3" borderId="7" xfId="10" applyNumberFormat="1" applyFont="1" applyFill="1" applyBorder="1" applyAlignment="1">
      <alignment horizontal="center" wrapText="1"/>
    </xf>
    <xf numFmtId="0" fontId="9" fillId="3" borderId="9" xfId="10" applyNumberFormat="1" applyFont="1" applyFill="1" applyBorder="1" applyAlignment="1">
      <alignment horizontal="center" wrapText="1"/>
    </xf>
    <xf numFmtId="0" fontId="9" fillId="3" borderId="8" xfId="10" applyNumberFormat="1" applyFont="1" applyFill="1" applyBorder="1" applyAlignment="1">
      <alignment horizontal="center" wrapText="1"/>
    </xf>
    <xf numFmtId="49" fontId="9" fillId="3" borderId="7" xfId="10" applyNumberFormat="1" applyFont="1" applyFill="1" applyBorder="1" applyAlignment="1">
      <alignment horizontal="left" wrapText="1"/>
    </xf>
    <xf numFmtId="49" fontId="9" fillId="3" borderId="9" xfId="10" applyNumberFormat="1" applyFont="1" applyFill="1" applyBorder="1" applyAlignment="1">
      <alignment horizontal="left" wrapText="1"/>
    </xf>
    <xf numFmtId="49" fontId="9" fillId="3" borderId="8" xfId="10" applyNumberFormat="1" applyFont="1" applyFill="1" applyBorder="1" applyAlignment="1">
      <alignment horizontal="left" wrapText="1"/>
    </xf>
    <xf numFmtId="173" fontId="9" fillId="3" borderId="7" xfId="0" applyNumberFormat="1" applyFont="1" applyFill="1" applyBorder="1" applyAlignment="1">
      <alignment horizontal="left" wrapText="1"/>
    </xf>
    <xf numFmtId="173" fontId="9" fillId="3" borderId="9" xfId="0" applyNumberFormat="1" applyFont="1" applyFill="1" applyBorder="1" applyAlignment="1">
      <alignment horizontal="left" wrapText="1"/>
    </xf>
    <xf numFmtId="173" fontId="9" fillId="3" borderId="8" xfId="0" applyNumberFormat="1" applyFont="1" applyFill="1" applyBorder="1" applyAlignment="1">
      <alignment horizontal="left" wrapText="1"/>
    </xf>
    <xf numFmtId="166" fontId="7" fillId="6" borderId="4" xfId="12" applyNumberFormat="1" applyFont="1" applyFill="1" applyBorder="1" applyAlignment="1">
      <alignment horizontal="center" vertical="center" wrapText="1"/>
    </xf>
    <xf numFmtId="166" fontId="7" fillId="6" borderId="11" xfId="12" applyNumberFormat="1" applyFont="1" applyFill="1" applyBorder="1" applyAlignment="1">
      <alignment horizontal="center" vertical="center" wrapText="1"/>
    </xf>
    <xf numFmtId="166" fontId="7" fillId="6" borderId="2" xfId="12" applyNumberFormat="1" applyFont="1" applyFill="1" applyBorder="1" applyAlignment="1">
      <alignment horizontal="center" vertical="center" wrapText="1"/>
    </xf>
    <xf numFmtId="166" fontId="7" fillId="6" borderId="4" xfId="6" applyNumberFormat="1" applyFont="1" applyFill="1" applyBorder="1" applyAlignment="1">
      <alignment horizontal="center" vertical="center" wrapText="1"/>
    </xf>
    <xf numFmtId="166" fontId="7" fillId="6" borderId="11" xfId="6" applyNumberFormat="1" applyFont="1" applyFill="1" applyBorder="1" applyAlignment="1">
      <alignment horizontal="center" vertical="center" wrapText="1"/>
    </xf>
    <xf numFmtId="166" fontId="7" fillId="6" borderId="2" xfId="6" applyNumberFormat="1" applyFont="1" applyFill="1" applyBorder="1" applyAlignment="1">
      <alignment horizontal="center" vertical="center" wrapText="1"/>
    </xf>
    <xf numFmtId="166" fontId="7" fillId="6" borderId="1" xfId="12" applyNumberFormat="1" applyFont="1" applyFill="1" applyBorder="1" applyAlignment="1">
      <alignment horizontal="center" vertical="center" wrapText="1"/>
    </xf>
    <xf numFmtId="166" fontId="7" fillId="6" borderId="1" xfId="6" applyNumberFormat="1" applyFont="1" applyFill="1" applyBorder="1" applyAlignment="1">
      <alignment horizontal="center" vertical="center"/>
    </xf>
    <xf numFmtId="166" fontId="7" fillId="6" borderId="1" xfId="6" applyNumberFormat="1" applyFont="1" applyFill="1" applyBorder="1" applyAlignment="1">
      <alignment horizontal="center"/>
    </xf>
    <xf numFmtId="166" fontId="7" fillId="6" borderId="2" xfId="6" applyNumberFormat="1" applyFont="1" applyFill="1" applyBorder="1" applyAlignment="1">
      <alignment horizontal="center" wrapText="1"/>
    </xf>
    <xf numFmtId="166" fontId="7" fillId="6" borderId="7" xfId="6" applyNumberFormat="1" applyFont="1" applyFill="1" applyBorder="1" applyAlignment="1">
      <alignment horizontal="center" wrapText="1"/>
    </xf>
    <xf numFmtId="166" fontId="7" fillId="6" borderId="9" xfId="6" applyNumberFormat="1" applyFont="1" applyFill="1" applyBorder="1" applyAlignment="1">
      <alignment horizontal="center" wrapText="1"/>
    </xf>
    <xf numFmtId="166" fontId="7" fillId="6" borderId="8" xfId="6" applyNumberFormat="1" applyFont="1" applyFill="1" applyBorder="1" applyAlignment="1">
      <alignment horizontal="center" wrapText="1"/>
    </xf>
    <xf numFmtId="166" fontId="7" fillId="6" borderId="1" xfId="6" applyNumberFormat="1" applyFont="1" applyFill="1" applyBorder="1" applyAlignment="1">
      <alignment horizontal="center" wrapText="1"/>
    </xf>
    <xf numFmtId="166" fontId="7" fillId="6" borderId="7" xfId="6" applyNumberFormat="1" applyFont="1" applyFill="1" applyBorder="1" applyAlignment="1">
      <alignment horizontal="center"/>
    </xf>
    <xf numFmtId="166" fontId="7" fillId="6" borderId="9" xfId="6" applyNumberFormat="1" applyFont="1" applyFill="1" applyBorder="1" applyAlignment="1">
      <alignment horizontal="center"/>
    </xf>
    <xf numFmtId="166" fontId="7" fillId="6" borderId="8" xfId="6" applyNumberFormat="1" applyFont="1" applyFill="1" applyBorder="1" applyAlignment="1">
      <alignment horizontal="center"/>
    </xf>
    <xf numFmtId="49" fontId="7" fillId="6" borderId="1" xfId="6" applyNumberFormat="1" applyFont="1" applyFill="1" applyBorder="1" applyAlignment="1">
      <alignment horizontal="center" vertical="center" wrapText="1"/>
    </xf>
    <xf numFmtId="166" fontId="7" fillId="6" borderId="1" xfId="6" applyNumberFormat="1" applyFont="1" applyFill="1" applyBorder="1" applyAlignment="1">
      <alignment horizontal="center" vertical="center" wrapText="1"/>
    </xf>
    <xf numFmtId="49" fontId="7" fillId="6" borderId="1" xfId="6" applyNumberFormat="1" applyFont="1" applyFill="1" applyBorder="1" applyAlignment="1">
      <alignment horizontal="center"/>
    </xf>
    <xf numFmtId="166" fontId="7" fillId="6" borderId="7" xfId="6" applyNumberFormat="1" applyFont="1" applyFill="1" applyBorder="1" applyAlignment="1">
      <alignment horizontal="center" vertical="center" wrapText="1"/>
    </xf>
    <xf numFmtId="166" fontId="7" fillId="6" borderId="9" xfId="6" applyNumberFormat="1" applyFont="1" applyFill="1" applyBorder="1" applyAlignment="1">
      <alignment horizontal="center" vertical="center" wrapText="1"/>
    </xf>
    <xf numFmtId="166" fontId="7" fillId="6" borderId="8" xfId="6" applyNumberFormat="1" applyFont="1" applyFill="1" applyBorder="1" applyAlignment="1">
      <alignment horizontal="center" vertical="center" wrapText="1"/>
    </xf>
    <xf numFmtId="172" fontId="6" fillId="0" borderId="4" xfId="12" applyNumberFormat="1" applyFont="1" applyBorder="1" applyAlignment="1">
      <alignment horizontal="center" vertical="center"/>
    </xf>
    <xf numFmtId="172" fontId="6" fillId="0" borderId="11" xfId="12" applyNumberFormat="1" applyFont="1" applyBorder="1" applyAlignment="1">
      <alignment horizontal="center" vertical="center"/>
    </xf>
    <xf numFmtId="172" fontId="6" fillId="0" borderId="2" xfId="12" applyNumberFormat="1" applyFont="1" applyBorder="1" applyAlignment="1">
      <alignment horizontal="center" vertical="center"/>
    </xf>
    <xf numFmtId="166" fontId="6" fillId="0" borderId="7" xfId="6" applyNumberFormat="1" applyFont="1" applyBorder="1" applyAlignment="1">
      <alignment horizontal="left" wrapText="1"/>
    </xf>
    <xf numFmtId="166" fontId="6" fillId="0" borderId="9" xfId="6" applyNumberFormat="1" applyFont="1" applyBorder="1" applyAlignment="1">
      <alignment horizontal="left" wrapText="1"/>
    </xf>
    <xf numFmtId="166" fontId="6" fillId="0" borderId="8" xfId="6" applyNumberFormat="1" applyFont="1" applyBorder="1" applyAlignment="1">
      <alignment horizontal="left" wrapText="1"/>
    </xf>
    <xf numFmtId="166" fontId="9" fillId="3" borderId="0" xfId="6" applyNumberFormat="1" applyFont="1" applyFill="1" applyAlignment="1">
      <alignment horizontal="right" vertical="center" wrapText="1"/>
    </xf>
    <xf numFmtId="49" fontId="6" fillId="8" borderId="0" xfId="6" applyNumberFormat="1" applyFont="1" applyFill="1" applyAlignment="1">
      <alignment horizontal="left" vertical="center" wrapText="1"/>
    </xf>
    <xf numFmtId="166" fontId="7" fillId="6" borderId="13" xfId="6" applyNumberFormat="1" applyFont="1" applyFill="1" applyBorder="1" applyAlignment="1">
      <alignment horizontal="center" vertical="center" wrapText="1"/>
    </xf>
    <xf numFmtId="166" fontId="7" fillId="6" borderId="14" xfId="6" applyNumberFormat="1" applyFont="1" applyFill="1" applyBorder="1" applyAlignment="1">
      <alignment horizontal="center" vertical="center" wrapText="1"/>
    </xf>
    <xf numFmtId="166" fontId="7" fillId="6" borderId="15" xfId="6" applyNumberFormat="1" applyFont="1" applyFill="1" applyBorder="1" applyAlignment="1">
      <alignment horizontal="center" vertical="center" wrapText="1"/>
    </xf>
    <xf numFmtId="173" fontId="9" fillId="3" borderId="0" xfId="0" applyNumberFormat="1" applyFont="1" applyFill="1" applyAlignment="1">
      <alignment horizontal="right" vertical="center"/>
    </xf>
    <xf numFmtId="49" fontId="6" fillId="8" borderId="0" xfId="0" applyNumberFormat="1" applyFont="1" applyFill="1" applyAlignment="1">
      <alignment horizontal="left" wrapText="1"/>
    </xf>
    <xf numFmtId="49" fontId="6" fillId="8" borderId="0" xfId="0" applyNumberFormat="1" applyFont="1" applyFill="1" applyAlignment="1">
      <alignment horizontal="left"/>
    </xf>
    <xf numFmtId="173" fontId="7" fillId="6" borderId="7" xfId="10" applyNumberFormat="1" applyFont="1" applyFill="1" applyBorder="1" applyAlignment="1">
      <alignment horizontal="center" vertical="center" wrapText="1"/>
    </xf>
    <xf numFmtId="173" fontId="7" fillId="6" borderId="9" xfId="10" applyNumberFormat="1" applyFont="1" applyFill="1" applyBorder="1" applyAlignment="1">
      <alignment horizontal="center" vertical="center" wrapText="1"/>
    </xf>
    <xf numFmtId="173" fontId="7" fillId="6" borderId="8" xfId="10" applyNumberFormat="1" applyFont="1" applyFill="1" applyBorder="1" applyAlignment="1">
      <alignment horizontal="center" vertical="center" wrapText="1"/>
    </xf>
    <xf numFmtId="49" fontId="6" fillId="3" borderId="0" xfId="0" applyNumberFormat="1" applyFont="1" applyFill="1" applyAlignment="1">
      <alignment horizontal="left" vertical="center" wrapText="1"/>
    </xf>
    <xf numFmtId="49" fontId="6" fillId="3" borderId="0" xfId="10" applyNumberFormat="1" applyFont="1" applyFill="1" applyAlignment="1">
      <alignment horizontal="left" vertical="center" wrapText="1"/>
    </xf>
    <xf numFmtId="49" fontId="6" fillId="3" borderId="16" xfId="0" applyNumberFormat="1" applyFont="1" applyFill="1" applyBorder="1" applyAlignment="1">
      <alignment horizontal="left" vertical="center" wrapText="1"/>
    </xf>
  </cellXfs>
  <cellStyles count="14">
    <cellStyle name="ColumnHeaderNormal" xfId="1" xr:uid="{00000000-0005-0000-0000-000000000000}"/>
    <cellStyle name="TextNormal" xfId="2" xr:uid="{00000000-0005-0000-0000-000001000000}"/>
    <cellStyle name="Гиперссылка" xfId="3" builtinId="8"/>
    <cellStyle name="Обычный" xfId="0" builtinId="0"/>
    <cellStyle name="Обычный 2" xfId="4" xr:uid="{00000000-0005-0000-0000-000004000000}"/>
    <cellStyle name="Обычный 3" xfId="5" xr:uid="{00000000-0005-0000-0000-000005000000}"/>
    <cellStyle name="Обычный 4 2" xfId="6" xr:uid="{00000000-0005-0000-0000-000006000000}"/>
    <cellStyle name="Обычный 4 2 2" xfId="7" xr:uid="{00000000-0005-0000-0000-000007000000}"/>
    <cellStyle name="Обычный_ф2" xfId="8" xr:uid="{00000000-0005-0000-0000-000008000000}"/>
    <cellStyle name="Финансовый" xfId="9" builtinId="3"/>
    <cellStyle name="Финансовый 2" xfId="10" xr:uid="{00000000-0005-0000-0000-00000A000000}"/>
    <cellStyle name="Финансовый 2 2" xfId="11" xr:uid="{00000000-0005-0000-0000-00000B000000}"/>
    <cellStyle name="Финансовый 4" xfId="12" xr:uid="{00000000-0005-0000-0000-00000C000000}"/>
    <cellStyle name="Финансовый 4 2" xfId="13" xr:uid="{00000000-0005-0000-0000-00000D000000}"/>
  </cellStyles>
  <dxfs count="30">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charts/_rels/chart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9.xml.rels><?xml version="1.0" encoding="UTF-8" standalone="yes"?>
<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 Темп прироста выручки, % </c:v>
                </c:pt>
              </c:strCache>
            </c:strRef>
          </c:tx>
          <c:spPr bwMode="auto">
            <a:prstGeom prst="rect">
              <a:avLst/>
            </a:prstGeom>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аб!$B$91:$G$91</c:f>
              <c:numCache>
                <c:formatCode>_(* #\ ##0.00_);_(* \(#\ ##0.00\);_(* "-"??_);_(@_)</c:formatCode>
                <c:ptCount val="6"/>
                <c:pt idx="0">
                  <c:v>-20.270821911941304</c:v>
                </c:pt>
                <c:pt idx="1">
                  <c:v>13.141887622586646</c:v>
                </c:pt>
                <c:pt idx="2">
                  <c:v>3.2126526197922138</c:v>
                </c:pt>
                <c:pt idx="3">
                  <c:v>-12.760483385521956</c:v>
                </c:pt>
                <c:pt idx="4">
                  <c:v>65.239371271331166</c:v>
                </c:pt>
                <c:pt idx="5">
                  <c:v>-7.0769344561151417</c:v>
                </c:pt>
              </c:numCache>
            </c:numRef>
          </c:val>
          <c:smooth val="0"/>
          <c:extLst>
            <c:ext xmlns:c16="http://schemas.microsoft.com/office/drawing/2014/chart" uri="{C3380CC4-5D6E-409C-BE32-E72D297353CC}">
              <c16:uniqueId val="{00000000-A802-405D-9172-8FE5CE419264}"/>
            </c:ext>
          </c:extLst>
        </c:ser>
        <c:ser>
          <c:idx val="1"/>
          <c:order val="1"/>
          <c:tx>
            <c:strRef>
              <c:f>аб!$A$92</c:f>
              <c:strCache>
                <c:ptCount val="1"/>
                <c:pt idx="0">
                  <c:v> Рентабельность продаж (маржа), % </c:v>
                </c:pt>
              </c:strCache>
            </c:strRef>
          </c:tx>
          <c:spPr bwMode="auto">
            <a:prstGeom prst="rect">
              <a:avLst/>
            </a:prstGeom>
            <a:ln w="28575" cap="rnd">
              <a:solidFill>
                <a:schemeClr val="accent2"/>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аб!$B$92:$G$92</c:f>
              <c:numCache>
                <c:formatCode>_(* #\ ##0.00_);_(* \(#\ ##0.00\);_(* "-"??_);_(@_)</c:formatCode>
                <c:ptCount val="6"/>
                <c:pt idx="0">
                  <c:v>-2.5356659548734557</c:v>
                </c:pt>
                <c:pt idx="1">
                  <c:v>-47.93252991213194</c:v>
                </c:pt>
                <c:pt idx="2">
                  <c:v>4.6459866174752475</c:v>
                </c:pt>
                <c:pt idx="3">
                  <c:v>-5.7785880051766236</c:v>
                </c:pt>
                <c:pt idx="4">
                  <c:v>1231.3516455377621</c:v>
                </c:pt>
                <c:pt idx="5">
                  <c:v>-88.980779076611654</c:v>
                </c:pt>
              </c:numCache>
            </c:numRef>
          </c:val>
          <c:smooth val="0"/>
          <c:extLst>
            <c:ext xmlns:c16="http://schemas.microsoft.com/office/drawing/2014/chart" uri="{C3380CC4-5D6E-409C-BE32-E72D297353CC}">
              <c16:uniqueId val="{00000001-A802-405D-9172-8FE5CE419264}"/>
            </c:ext>
          </c:extLst>
        </c:ser>
        <c:ser>
          <c:idx val="2"/>
          <c:order val="2"/>
          <c:tx>
            <c:strRef>
              <c:f>аб!$A$93</c:f>
              <c:strCache>
                <c:ptCount val="1"/>
                <c:pt idx="0">
                  <c:v> Доля прибыли от продаж в прибыли до налогообложения, % </c:v>
                </c:pt>
              </c:strCache>
            </c:strRef>
          </c:tx>
          <c:spPr bwMode="auto">
            <a:prstGeom prst="rect">
              <a:avLst/>
            </a:prstGeom>
            <a:ln w="28575" cap="rnd">
              <a:solidFill>
                <a:schemeClr val="accent3"/>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аб!$B$93:$G$93</c:f>
              <c:numCache>
                <c:formatCode>_(* #\ ##0.00_);_(* \(#\ ##0.00\);_(* "-"??_);_(@_)</c:formatCode>
                <c:ptCount val="6"/>
                <c:pt idx="0">
                  <c:v>-28.209041585380746</c:v>
                </c:pt>
                <c:pt idx="1">
                  <c:v>54.884160653412884</c:v>
                </c:pt>
                <c:pt idx="2">
                  <c:v>9.6931716024087962</c:v>
                </c:pt>
                <c:pt idx="3">
                  <c:v>-40.479995563378928</c:v>
                </c:pt>
                <c:pt idx="4">
                  <c:v>-85.888854750976094</c:v>
                </c:pt>
                <c:pt idx="5">
                  <c:v>724.64219945791433</c:v>
                </c:pt>
              </c:numCache>
            </c:numRef>
          </c:val>
          <c:smooth val="0"/>
          <c:extLst>
            <c:ext xmlns:c16="http://schemas.microsoft.com/office/drawing/2014/chart" uri="{C3380CC4-5D6E-409C-BE32-E72D297353CC}">
              <c16:uniqueId val="{00000002-A802-405D-9172-8FE5CE419264}"/>
            </c:ext>
          </c:extLst>
        </c:ser>
        <c:dLbls>
          <c:showLegendKey val="0"/>
          <c:showVal val="0"/>
          <c:showCatName val="0"/>
          <c:showSerName val="0"/>
          <c:showPercent val="0"/>
          <c:showBubbleSize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76799848"/>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7CD2-41D7-84A5-8800FA4E4D6E}"/>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7CD2-41D7-84A5-8800FA4E4D6E}"/>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7CD2-41D7-84A5-8800FA4E4D6E}"/>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7CD2-41D7-84A5-8800FA4E4D6E}"/>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7CD2-41D7-84A5-8800FA4E4D6E}"/>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29B6-4CC5-A228-E15DB31742A7}"/>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29B6-4CC5-A228-E15DB31742A7}"/>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29B6-4CC5-A228-E15DB31742A7}"/>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E197-467E-A339-0800ED9CEBD4}"/>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E197-467E-A339-0800ED9CEBD4}"/>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E197-467E-A339-0800ED9CEBD4}"/>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E197-467E-A339-0800ED9CEBD4}"/>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E197-467E-A339-0800ED9CEBD4}"/>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6367-415B-843C-D2C7A2352B85}"/>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6367-415B-843C-D2C7A2352B85}"/>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6367-415B-843C-D2C7A2352B85}"/>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F0BC-4A1F-ACE2-E61D0F0209CC}"/>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F0BC-4A1F-ACE2-E61D0F0209CC}"/>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F0BC-4A1F-ACE2-E61D0F0209CC}"/>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F0BC-4A1F-ACE2-E61D0F0209CC}"/>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F0BC-4A1F-ACE2-E61D0F0209CC}"/>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5BBC-4EDD-A234-1C80D8B02CE2}"/>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5BBC-4EDD-A234-1C80D8B02CE2}"/>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5BBC-4EDD-A234-1C80D8B02CE2}"/>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 Чистая кредитная позиция (дебиторская задолженность - кредиторская задолженность), тыс. руб. </c:v>
                </c:pt>
              </c:strCache>
            </c:strRef>
          </c:tx>
          <c:spPr bwMode="auto">
            <a:prstGeom prst="rect">
              <a:avLst/>
            </a:prstGeom>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аб!$B$94:$G$94</c:f>
              <c:numCache>
                <c:formatCode>_(* #\ ##0_);_(* \(#\ ##0\);_(* "-"??_);_(@_)</c:formatCode>
                <c:ptCount val="6"/>
                <c:pt idx="0">
                  <c:v>-2394681</c:v>
                </c:pt>
                <c:pt idx="1">
                  <c:v>187662.5</c:v>
                </c:pt>
                <c:pt idx="2">
                  <c:v>-376449</c:v>
                </c:pt>
                <c:pt idx="3">
                  <c:v>-1425982.5</c:v>
                </c:pt>
                <c:pt idx="4">
                  <c:v>-648843</c:v>
                </c:pt>
                <c:pt idx="5">
                  <c:v>192623.5</c:v>
                </c:pt>
              </c:numCache>
            </c:numRef>
          </c:val>
          <c:smooth val="0"/>
          <c:extLst>
            <c:ext xmlns:c16="http://schemas.microsoft.com/office/drawing/2014/chart" uri="{C3380CC4-5D6E-409C-BE32-E72D297353CC}">
              <c16:uniqueId val="{00000000-A649-4692-A761-2602E49EE9EB}"/>
            </c:ext>
          </c:extLst>
        </c:ser>
        <c:dLbls>
          <c:showLegendKey val="0"/>
          <c:showVal val="0"/>
          <c:showCatName val="0"/>
          <c:showSerName val="0"/>
          <c:showPercent val="0"/>
          <c:showBubbleSize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554635512"/>
        <c:crosses val="autoZero"/>
        <c:crossBetween val="between"/>
      </c:valAx>
      <c:spPr>
        <a:prstGeom prst="rect">
          <a:avLst/>
        </a:prstGeom>
        <a:noFill/>
        <a:ln>
          <a:noFill/>
        </a:ln>
        <a:effectLst/>
      </c:spPr>
    </c:plotArea>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spc="0" baseline="0">
                <a:solidFill>
                  <a:schemeClr val="tx1">
                    <a:lumMod val="65000"/>
                    <a:lumOff val="35000"/>
                  </a:schemeClr>
                </a:solidFill>
                <a:latin typeface="+mn-lt"/>
                <a:ea typeface="+mn-ea"/>
                <a:cs typeface="+mn-cs"/>
              </a:defRPr>
            </a:pPr>
            <a:r>
              <a:rPr lang="ru-RU" b="1"/>
              <a:t>ХАРАКТЕРИСТИКА ИНВЕСТИЦИОННОЙ ДЕЯТЕЛЬНОСТИ</a:t>
            </a:r>
            <a:endParaRPr/>
          </a:p>
        </c:rich>
      </c:tx>
      <c:overlay val="0"/>
      <c:spPr>
        <a:prstGeom prst="rect">
          <a:avLst/>
        </a:prstGeom>
        <a:noFill/>
        <a:ln>
          <a:noFill/>
        </a:ln>
        <a:effectLst/>
      </c:spPr>
      <c:txPr>
        <a:bodyPr rot="0" spcFirstLastPara="1" vertOverflow="ellipsis" vert="horz" wrap="square" anchor="ctr" anchorCtr="1"/>
        <a:lstStyle/>
        <a:p>
          <a:pPr>
            <a:defRPr sz="1400" b="1"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Доля внеоборотных активов в валюте баланса, %  </c:v>
                </c:pt>
              </c:strCache>
            </c:strRef>
          </c:tx>
          <c:spPr bwMode="auto">
            <a:prstGeom prst="rect">
              <a:avLst/>
            </a:prstGeom>
            <a:ln w="28575" cap="rnd">
              <a:solidFill>
                <a:schemeClr val="accent1"/>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аб!$B$98:$H$98</c:f>
              <c:numCache>
                <c:formatCode>_(* #\ ##0.00_);_(* \(#\ ##0.00\);_(* "-"??_);_(@_)</c:formatCode>
                <c:ptCount val="7"/>
                <c:pt idx="0">
                  <c:v>35.267471461004583</c:v>
                </c:pt>
                <c:pt idx="1">
                  <c:v>33.792259717240952</c:v>
                </c:pt>
                <c:pt idx="2">
                  <c:v>25.813783430025065</c:v>
                </c:pt>
                <c:pt idx="3">
                  <c:v>18.032819047434391</c:v>
                </c:pt>
                <c:pt idx="4">
                  <c:v>22.483484416137383</c:v>
                </c:pt>
                <c:pt idx="5">
                  <c:v>34.24077715579476</c:v>
                </c:pt>
                <c:pt idx="6">
                  <c:v>55.308873767138145</c:v>
                </c:pt>
              </c:numCache>
            </c:numRef>
          </c:val>
          <c:smooth val="0"/>
          <c:extLst>
            <c:ext xmlns:c16="http://schemas.microsoft.com/office/drawing/2014/chart" uri="{C3380CC4-5D6E-409C-BE32-E72D297353CC}">
              <c16:uniqueId val="{00000000-F24A-4BA5-BB24-66531B7EA175}"/>
            </c:ext>
          </c:extLst>
        </c:ser>
        <c:ser>
          <c:idx val="1"/>
          <c:order val="1"/>
          <c:tx>
            <c:strRef>
              <c:f>аб!$A$99</c:f>
              <c:strCache>
                <c:ptCount val="1"/>
                <c:pt idx="0">
                  <c:v> Темп прироста внеоборотных активов, % </c:v>
                </c:pt>
              </c:strCache>
            </c:strRef>
          </c:tx>
          <c:spPr bwMode="auto">
            <a:prstGeom prst="rect">
              <a:avLst/>
            </a:prstGeom>
            <a:ln w="28575" cap="rnd">
              <a:solidFill>
                <a:schemeClr val="accent2"/>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аб!$B$99:$H$99</c:f>
              <c:numCache>
                <c:formatCode>_(* #\ ##0.00_);_(* \(#\ ##0.00\);_(* "-"??_);_(@_)</c:formatCode>
                <c:ptCount val="7"/>
                <c:pt idx="0">
                  <c:v>1.3025923869312386</c:v>
                </c:pt>
                <c:pt idx="1">
                  <c:v>19.084556012264322</c:v>
                </c:pt>
                <c:pt idx="2">
                  <c:v>44.280209212176693</c:v>
                </c:pt>
                <c:pt idx="3">
                  <c:v>-9.8169650933615422</c:v>
                </c:pt>
                <c:pt idx="4">
                  <c:v>-20.447390488669797</c:v>
                </c:pt>
                <c:pt idx="5">
                  <c:v>-21.744323057627092</c:v>
                </c:pt>
                <c:pt idx="6">
                  <c:v>0</c:v>
                </c:pt>
              </c:numCache>
            </c:numRef>
          </c:val>
          <c:smooth val="0"/>
          <c:extLst>
            <c:ext xmlns:c16="http://schemas.microsoft.com/office/drawing/2014/chart" uri="{C3380CC4-5D6E-409C-BE32-E72D297353CC}">
              <c16:uniqueId val="{00000001-F24A-4BA5-BB24-66531B7EA175}"/>
            </c:ext>
          </c:extLst>
        </c:ser>
        <c:ser>
          <c:idx val="2"/>
          <c:order val="2"/>
          <c:tx>
            <c:strRef>
              <c:f>аб!$A$100</c:f>
              <c:strCache>
                <c:ptCount val="1"/>
                <c:pt idx="0">
                  <c:v> Коэффициент ввода основных средств </c:v>
                </c:pt>
              </c:strCache>
            </c:strRef>
          </c:tx>
          <c:spPr bwMode="auto">
            <a:prstGeom prst="rect">
              <a:avLst/>
            </a:prstGeom>
            <a:ln w="28575" cap="rnd">
              <a:solidFill>
                <a:schemeClr val="accent3"/>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аб!$B$100:$H$100</c:f>
              <c:numCache>
                <c:formatCode>_(* #\ ##0.00_);_(* \(#\ ##0.00\);_(* "-"??_);_(@_)</c:formatCode>
                <c:ptCount val="7"/>
                <c:pt idx="0">
                  <c:v>6.0409734963449591E-2</c:v>
                </c:pt>
                <c:pt idx="1">
                  <c:v>0.11852411790535572</c:v>
                </c:pt>
                <c:pt idx="2">
                  <c:v>0.17634388719604194</c:v>
                </c:pt>
                <c:pt idx="3">
                  <c:v>0.26046750779953343</c:v>
                </c:pt>
                <c:pt idx="4">
                  <c:v>9.6381781957055268E-2</c:v>
                </c:pt>
                <c:pt idx="5">
                  <c:v>0.14282270361117766</c:v>
                </c:pt>
                <c:pt idx="6">
                  <c:v>0.17326677221907033</c:v>
                </c:pt>
              </c:numCache>
            </c:numRef>
          </c:val>
          <c:smooth val="0"/>
          <c:extLst>
            <c:ext xmlns:c16="http://schemas.microsoft.com/office/drawing/2014/chart" uri="{C3380CC4-5D6E-409C-BE32-E72D297353CC}">
              <c16:uniqueId val="{00000002-F24A-4BA5-BB24-66531B7EA175}"/>
            </c:ext>
          </c:extLst>
        </c:ser>
        <c:ser>
          <c:idx val="3"/>
          <c:order val="3"/>
          <c:tx>
            <c:strRef>
              <c:f>аб!$A$101</c:f>
              <c:strCache>
                <c:ptCount val="1"/>
                <c:pt idx="0">
                  <c:v> Коэффициент годности основных средств, % </c:v>
                </c:pt>
              </c:strCache>
            </c:strRef>
          </c:tx>
          <c:spPr bwMode="auto">
            <a:prstGeom prst="rect">
              <a:avLst/>
            </a:prstGeom>
            <a:ln w="28575" cap="rnd">
              <a:solidFill>
                <a:schemeClr val="accent4"/>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аб!$B$101:$H$101</c:f>
              <c:numCache>
                <c:formatCode>_(* #\ ##0.00_);_(* \(#\ ##0.00\);_(* "-"??_);_(@_)</c:formatCode>
                <c:ptCount val="7"/>
                <c:pt idx="0">
                  <c:v>0.95248332573396943</c:v>
                </c:pt>
                <c:pt idx="1">
                  <c:v>0.47806599398857952</c:v>
                </c:pt>
                <c:pt idx="2">
                  <c:v>0.46840637165518539</c:v>
                </c:pt>
                <c:pt idx="3">
                  <c:v>0.50826515913072756</c:v>
                </c:pt>
                <c:pt idx="4">
                  <c:v>0.56278569693530511</c:v>
                </c:pt>
                <c:pt idx="5">
                  <c:v>0.60806283424623642</c:v>
                </c:pt>
                <c:pt idx="6">
                  <c:v>0.5944849742074666</c:v>
                </c:pt>
              </c:numCache>
            </c:numRef>
          </c:val>
          <c:smooth val="0"/>
          <c:extLst>
            <c:ext xmlns:c16="http://schemas.microsoft.com/office/drawing/2014/chart" uri="{C3380CC4-5D6E-409C-BE32-E72D297353CC}">
              <c16:uniqueId val="{00000003-F24A-4BA5-BB24-66531B7EA175}"/>
            </c:ext>
          </c:extLst>
        </c:ser>
        <c:dLbls>
          <c:showLegendKey val="0"/>
          <c:showVal val="0"/>
          <c:showCatName val="0"/>
          <c:showSerName val="0"/>
          <c:showPercent val="0"/>
          <c:showBubbleSize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89520800"/>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a:solidFill>
                  <a:srgbClr val="000000"/>
                </a:solidFill>
                <a:latin typeface="Arial Cyr"/>
                <a:ea typeface="Arial Cyr"/>
                <a:cs typeface="Arial Cyr"/>
              </a:defRPr>
            </a:pPr>
            <a:r>
              <a:rPr lang="ru-RU"/>
              <a:t>Вертикальный анализ выручки 1997 г.</a:t>
            </a:r>
            <a:endParaRPr/>
          </a:p>
        </c:rich>
      </c:tx>
      <c:overlay val="0"/>
      <c:spPr>
        <a:prstGeom prst="rect">
          <a:avLst/>
        </a:prstGeom>
        <a:noFill/>
        <a:ln w="25400">
          <a:noFill/>
        </a:ln>
      </c:spPr>
    </c:title>
    <c:autoTitleDeleted val="0"/>
    <c:view3D>
      <c:rotX val="15"/>
      <c:hPercent val="6"/>
      <c:rotY val="20"/>
      <c:depthPercent val="100"/>
      <c:rAngAx val="1"/>
    </c:view3D>
    <c:floor>
      <c:thickness val="0"/>
      <c:spPr>
        <a:prstGeom prst="rect">
          <a:avLst/>
        </a:prstGeom>
        <a:solidFill>
          <a:srgbClr val="FFFFFF"/>
        </a:solidFill>
        <a:ln w="3175">
          <a:solidFill>
            <a:srgbClr val="000000"/>
          </a:solidFill>
          <a:prstDash val="solid"/>
        </a:ln>
      </c:spPr>
    </c:floor>
    <c:sideWall>
      <c:thickness val="0"/>
      <c:spPr>
        <a:prstGeom prst="rect">
          <a:avLst/>
        </a:prstGeom>
        <a:solidFill>
          <a:srgbClr val="FFFFFF"/>
        </a:solidFill>
        <a:ln w="12700">
          <a:solidFill>
            <a:srgbClr val="808080"/>
          </a:solidFill>
          <a:prstDash val="solid"/>
        </a:ln>
      </c:spPr>
    </c:sideWall>
    <c:backWall>
      <c:thickness val="0"/>
      <c:spPr>
        <a:prstGeom prst="rect">
          <a:avLst/>
        </a:prstGeom>
        <a:solidFill>
          <a:srgbClr val="FFFFFF"/>
        </a:solidFill>
        <a:ln w="12700">
          <a:solidFill>
            <a:srgbClr val="808080"/>
          </a:solidFill>
          <a:prstDash val="solid"/>
        </a:ln>
      </c:spPr>
    </c:backWall>
    <c:plotArea>
      <c:layout/>
      <c:bar3DChart>
        <c:barDir val="col"/>
        <c:grouping val="clustered"/>
        <c:varyColors val="0"/>
        <c:ser>
          <c:idx val="0"/>
          <c:order val="0"/>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96DF-45DD-A86F-EE0795A61C6D}"/>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1-96DF-45DD-A86F-EE0795A61C6D}"/>
            </c:ext>
          </c:extLst>
        </c:ser>
        <c:ser>
          <c:idx val="1"/>
          <c:order val="1"/>
          <c:tx>
            <c:strRef>
              <c:f>[2]п!$A$22</c:f>
              <c:strCache>
                <c:ptCount val="1"/>
                <c:pt idx="0">
                  <c:v>Себестоимость продаж</c:v>
                </c:pt>
              </c:strCache>
            </c:strRef>
          </c:tx>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96DF-45DD-A86F-EE0795A61C6D}"/>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3-96DF-45DD-A86F-EE0795A61C6D}"/>
            </c:ext>
          </c:extLst>
        </c:ser>
        <c:ser>
          <c:idx val="2"/>
          <c:order val="2"/>
          <c:tx>
            <c:strRef>
              <c:f>[2]п!$A$23</c:f>
              <c:strCache>
                <c:ptCount val="1"/>
                <c:pt idx="0">
                  <c:v>Валовая прибыль</c:v>
                </c:pt>
              </c:strCache>
            </c:strRef>
          </c:tx>
          <c:spPr>
            <a:prstGeom prst="rect">
              <a:avLst/>
            </a:prstGeom>
            <a:blipFill rotWithShape="0">
              <a:blip xmlns:r="http://schemas.openxmlformats.org/officeDocument/2006/relationships" r:embed="rId3"/>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4-96DF-45DD-A86F-EE0795A61C6D}"/>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5-96DF-45DD-A86F-EE0795A61C6D}"/>
            </c:ext>
          </c:extLst>
        </c:ser>
        <c:ser>
          <c:idx val="3"/>
          <c:order val="3"/>
          <c:tx>
            <c:strRef>
              <c:f>[2]п!$A$26</c:f>
              <c:strCache>
                <c:ptCount val="1"/>
                <c:pt idx="0">
                  <c:v>Прибыль (убыток) от продаж</c:v>
                </c:pt>
              </c:strCache>
            </c:strRef>
          </c:tx>
          <c:spPr>
            <a:prstGeom prst="rect">
              <a:avLst/>
            </a:prstGeom>
            <a:blipFill rotWithShape="0">
              <a:blip xmlns:r="http://schemas.openxmlformats.org/officeDocument/2006/relationships" r:embed="rId4"/>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6-96DF-45DD-A86F-EE0795A61C6D}"/>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7-96DF-45DD-A86F-EE0795A61C6D}"/>
            </c:ext>
          </c:extLst>
        </c:ser>
        <c:ser>
          <c:idx val="4"/>
          <c:order val="4"/>
          <c:tx>
            <c:strRef>
              <c:f>[2]п!$A$34</c:f>
              <c:strCache>
                <c:ptCount val="1"/>
                <c:pt idx="0">
                  <c:v>Текущий налог на прибыль</c:v>
                </c:pt>
              </c:strCache>
            </c:strRef>
          </c:tx>
          <c:spPr>
            <a:prstGeom prst="rect">
              <a:avLst/>
            </a:prstGeom>
            <a:blipFill rotWithShape="0">
              <a:blip xmlns:r="http://schemas.openxmlformats.org/officeDocument/2006/relationships" r:embed="rId5"/>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8-96DF-45DD-A86F-EE0795A61C6D}"/>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9-96DF-45DD-A86F-EE0795A61C6D}"/>
            </c:ext>
          </c:extLst>
        </c:ser>
        <c:ser>
          <c:idx val="5"/>
          <c:order val="5"/>
          <c:tx>
            <c:strRef>
              <c:f>[2]п!$A$36</c:f>
              <c:strCache>
                <c:ptCount val="1"/>
                <c:pt idx="0">
                  <c:v>Изменение отложенных налоговых обязательств</c:v>
                </c:pt>
              </c:strCache>
            </c:strRef>
          </c:tx>
          <c:spPr>
            <a:prstGeom prst="rect">
              <a:avLst/>
            </a:prstGeom>
            <a:blipFill rotWithShape="0">
              <a:blip xmlns:r="http://schemas.openxmlformats.org/officeDocument/2006/relationships" r:embed="rId6"/>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A-96DF-45DD-A86F-EE0795A61C6D}"/>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B-96DF-45DD-A86F-EE0795A61C6D}"/>
            </c:ext>
          </c:extLst>
        </c:ser>
        <c:dLbls>
          <c:showLegendKey val="0"/>
          <c:showVal val="0"/>
          <c:showCatName val="0"/>
          <c:showSerName val="0"/>
          <c:showPercent val="0"/>
          <c:showBubbleSize val="0"/>
        </c:dLbls>
        <c:gapWidth val="150"/>
        <c:shape val="box"/>
        <c:axId val="581225344"/>
        <c:axId val="1"/>
        <c:axId val="0"/>
      </c:bar3DChart>
      <c:catAx>
        <c:axId val="581225344"/>
        <c:scaling>
          <c:orientation val="minMax"/>
        </c:scaling>
        <c:delete val="0"/>
        <c:axPos val="b"/>
        <c:numFmt formatCode="General" sourceLinked="1"/>
        <c:majorTickMark val="out"/>
        <c:minorTickMark val="none"/>
        <c:tickLblPos val="low"/>
        <c:spPr>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solid"/>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581225344"/>
        <c:crosses val="autoZero"/>
        <c:crossBetween val="between"/>
      </c:valAx>
      <c:spPr>
        <a:prstGeom prst="rect">
          <a:avLst/>
        </a:prstGeom>
        <a:noFill/>
        <a:ln w="25400">
          <a:noFill/>
        </a:ln>
      </c:spPr>
    </c:plotArea>
    <c:legend>
      <c:legendPos val="r"/>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Arial Cyr"/>
              <a:ea typeface="Arial Cyr"/>
              <a:cs typeface="Arial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3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a:solidFill>
                  <a:srgbClr val="000000"/>
                </a:solidFill>
                <a:latin typeface="Times New Roman Cyr"/>
                <a:ea typeface="Times New Roman Cyr"/>
                <a:cs typeface="Times New Roman Cyr"/>
              </a:defRPr>
            </a:pPr>
            <a:r>
              <a:rPr lang="ru-RU"/>
              <a:t>Динамика коэффициентов ликвидности</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950B-46BC-9B16-4F9C39FBD388}"/>
            </c:ext>
          </c:extLst>
        </c:ser>
        <c:ser>
          <c:idx val="1"/>
          <c:order val="1"/>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950B-46BC-9B16-4F9C39FBD388}"/>
            </c:ext>
          </c:extLst>
        </c:ser>
        <c:ser>
          <c:idx val="2"/>
          <c:order val="2"/>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2-950B-46BC-9B16-4F9C39FBD388}"/>
            </c:ext>
          </c:extLst>
        </c:ser>
        <c:dLbls>
          <c:showLegendKey val="0"/>
          <c:showVal val="0"/>
          <c:showCatName val="0"/>
          <c:showSerName val="0"/>
          <c:showPercent val="0"/>
          <c:showBubbleSize val="0"/>
        </c:dLbls>
        <c:gapWidth val="150"/>
        <c:axId val="579921944"/>
        <c:axId val="1"/>
      </c:barChart>
      <c:catAx>
        <c:axId val="57992194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79921944"/>
        <c:crosses val="autoZero"/>
        <c:crossBetween val="between"/>
      </c:valAx>
      <c:spPr>
        <a:prstGeom prst="rect">
          <a:avLst/>
        </a:prstGeom>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85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a:solidFill>
                  <a:srgbClr val="000000"/>
                </a:solidFill>
                <a:latin typeface="Courier New Cyr"/>
                <a:ea typeface="Courier New Cyr"/>
                <a:cs typeface="Courier New Cyr"/>
              </a:defRPr>
            </a:pPr>
            <a:r>
              <a:rPr lang="ru-RU"/>
              <a:t>Динамика показателей структуры капитала</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993D-43B6-B4FE-CA66ED987E7F}"/>
            </c:ext>
          </c:extLst>
        </c:ser>
        <c:ser>
          <c:idx val="1"/>
          <c:order val="1"/>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993D-43B6-B4FE-CA66ED987E7F}"/>
            </c:ext>
          </c:extLst>
        </c:ser>
        <c:ser>
          <c:idx val="2"/>
          <c:order val="2"/>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2-993D-43B6-B4FE-CA66ED987E7F}"/>
            </c:ext>
          </c:extLst>
        </c:ser>
        <c:dLbls>
          <c:showLegendKey val="0"/>
          <c:showVal val="0"/>
          <c:showCatName val="0"/>
          <c:showSerName val="0"/>
          <c:showPercent val="0"/>
          <c:showBubbleSize val="0"/>
        </c:dLbls>
        <c:gapWidth val="150"/>
        <c:axId val="582178968"/>
        <c:axId val="1"/>
      </c:barChart>
      <c:catAx>
        <c:axId val="582178968"/>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82178968"/>
        <c:crosses val="autoZero"/>
        <c:crossBetween val="between"/>
      </c:valAx>
      <c:spPr>
        <a:prstGeom prst="rect">
          <a:avLst/>
        </a:prstGeom>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prstGeom prst="rect">
              <a:avLst/>
            </a:prstGeom>
            <a:solidFill>
              <a:srgbClr val="C0C0C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8738-4523-90AF-D9D05E9D907E}"/>
            </c:ext>
          </c:extLst>
        </c:ser>
        <c:ser>
          <c:idx val="1"/>
          <c:order val="1"/>
          <c:spPr>
            <a:prstGeom prst="rect">
              <a:avLst/>
            </a:prstGeom>
            <a:solidFill>
              <a:srgbClr val="FF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8738-4523-90AF-D9D05E9D907E}"/>
            </c:ext>
          </c:extLst>
        </c:ser>
        <c:dLbls>
          <c:showLegendKey val="0"/>
          <c:showVal val="0"/>
          <c:showCatName val="0"/>
          <c:showSerName val="0"/>
          <c:showPercent val="0"/>
          <c:showBubbleSize val="0"/>
        </c:dLbls>
        <c:gapWidth val="150"/>
        <c:axId val="582178640"/>
        <c:axId val="1"/>
      </c:barChart>
      <c:catAx>
        <c:axId val="582178640"/>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582178640"/>
        <c:crosses val="autoZero"/>
        <c:crossBetween val="between"/>
      </c:valAx>
      <c:spPr>
        <a:prstGeom prst="rect">
          <a:avLst/>
        </a:prstGeom>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дебиторской и кредиторской задолженности</a:t>
            </a:r>
            <a:endParaRPr/>
          </a:p>
        </c:rich>
      </c:tx>
      <c:overlay val="0"/>
      <c:spPr>
        <a:prstGeom prst="rect">
          <a:avLst/>
        </a:prstGeom>
        <a:noFill/>
        <a:ln w="25400">
          <a:noFill/>
        </a:ln>
      </c:spPr>
    </c:title>
    <c:autoTitleDeleted val="0"/>
    <c:plotArea>
      <c:layout/>
      <c:scatterChart>
        <c:scatterStyle val="lineMarker"/>
        <c:varyColors val="0"/>
        <c:ser>
          <c:idx val="0"/>
          <c:order val="0"/>
          <c:spPr>
            <a:prstGeom prst="rect">
              <a:avLst/>
            </a:prstGeom>
            <a:ln w="28575">
              <a:noFill/>
            </a:ln>
          </c:spPr>
          <c:smooth val="0"/>
          <c:extLst>
            <c:ext xmlns:c16="http://schemas.microsoft.com/office/drawing/2014/chart" uri="{C3380CC4-5D6E-409C-BE32-E72D297353CC}">
              <c16:uniqueId val="{00000000-48DF-4E4D-91AC-0548325AB914}"/>
            </c:ext>
          </c:extLst>
        </c:ser>
        <c:ser>
          <c:idx val="1"/>
          <c:order val="1"/>
          <c:spPr>
            <a:prstGeom prst="rect">
              <a:avLst/>
            </a:prstGeom>
            <a:ln w="28575">
              <a:noFill/>
            </a:ln>
          </c:spPr>
          <c:smooth val="0"/>
          <c:extLst>
            <c:ext xmlns:c16="http://schemas.microsoft.com/office/drawing/2014/chart" uri="{C3380CC4-5D6E-409C-BE32-E72D297353CC}">
              <c16:uniqueId val="{00000001-48DF-4E4D-91AC-0548325AB914}"/>
            </c:ext>
          </c:extLst>
        </c:ser>
        <c:dLbls>
          <c:showLegendKey val="0"/>
          <c:showVal val="0"/>
          <c:showCatName val="0"/>
          <c:showSerName val="0"/>
          <c:showPercent val="0"/>
          <c:showBubbleSize val="0"/>
        </c:dLbls>
        <c:axId val="499075408"/>
        <c:axId val="1"/>
      </c:scatterChart>
      <c:valAx>
        <c:axId val="499075408"/>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overlay val="0"/>
          <c:spPr>
            <a:prstGeom prst="rect">
              <a:avLst/>
            </a:prstGeom>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overlay val="0"/>
          <c:spPr>
            <a:prstGeom prst="rect">
              <a:avLst/>
            </a:prstGeom>
            <a:noFill/>
            <a:ln w="25400">
              <a:noFill/>
            </a:ln>
          </c:spPr>
        </c:title>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499075408"/>
        <c:crosses val="autoZero"/>
        <c:crossBetween val="midCat"/>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чистой кредитной позиции</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12700">
              <a:solidFill>
                <a:srgbClr val="000000"/>
              </a:solidFill>
              <a:prstDash val="solid"/>
            </a:ln>
          </c:spPr>
          <c:invertIfNegative val="1"/>
          <c:extLst>
            <c:ext xmlns:c14="http://schemas.microsoft.com/office/drawing/2007/8/2/chart" uri="{6F2FDCE9-48DA-4B69-8628-5D25D57E5C99}">
              <c14:invertSolidFillFmt>
                <c14:spPr xmlns:c14="http://schemas.microsoft.com/office/drawing/2007/8/2/chart">
                  <a:prstGeom prst="rect">
                    <a:avLst/>
                  </a:prstGeom>
                  <a:solidFill>
                    <a:srgbClr val="FFFFFF"/>
                  </a:solidFill>
                  <a:ln w="12700">
                    <a:solidFill>
                      <a:srgbClr val="000000"/>
                    </a:solidFill>
                    <a:prstDash val="solid"/>
                  </a:ln>
                </c14:spPr>
              </c14:invertSolidFillFmt>
            </c:ext>
            <c:ext xmlns:c16="http://schemas.microsoft.com/office/drawing/2014/chart" uri="{C3380CC4-5D6E-409C-BE32-E72D297353CC}">
              <c16:uniqueId val="{00000000-2DF5-46CA-9B5C-0E01A074B96E}"/>
            </c:ext>
          </c:extLst>
        </c:ser>
        <c:ser>
          <c:idx val="1"/>
          <c:order val="1"/>
          <c:spPr>
            <a:prstGeom prst="rect">
              <a:avLst/>
            </a:prstGeom>
            <a:solidFill>
              <a:srgbClr val="C0C0C0"/>
            </a:solidFill>
            <a:ln w="12700">
              <a:solidFill>
                <a:srgbClr val="000000"/>
              </a:solidFill>
              <a:prstDash val="solid"/>
            </a:ln>
          </c:spPr>
          <c:invertIfNegative val="0"/>
          <c:extLst>
            <c:ext xmlns:c16="http://schemas.microsoft.com/office/drawing/2014/chart" uri="{C3380CC4-5D6E-409C-BE32-E72D297353CC}">
              <c16:uniqueId val="{00000001-2DF5-46CA-9B5C-0E01A074B96E}"/>
            </c:ext>
          </c:extLst>
        </c:ser>
        <c:ser>
          <c:idx val="2"/>
          <c:order val="2"/>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1"/>
          <c:extLst>
            <c:ext xmlns:c16="http://schemas.microsoft.com/office/drawing/2014/chart" uri="{C3380CC4-5D6E-409C-BE32-E72D297353CC}">
              <c16:uniqueId val="{00000002-2DF5-46CA-9B5C-0E01A074B96E}"/>
            </c:ext>
          </c:extLst>
        </c:ser>
        <c:dLbls>
          <c:showLegendKey val="0"/>
          <c:showVal val="0"/>
          <c:showCatName val="0"/>
          <c:showSerName val="0"/>
          <c:showPercent val="0"/>
          <c:showBubbleSize val="0"/>
        </c:dLbls>
        <c:gapWidth val="150"/>
        <c:axId val="500555176"/>
        <c:axId val="1"/>
      </c:barChart>
      <c:catAx>
        <c:axId val="500555176"/>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overlay val="0"/>
          <c:spPr>
            <a:prstGeom prst="rect">
              <a:avLst/>
            </a:prstGeom>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overlay val="0"/>
          <c:spPr>
            <a:prstGeom prst="rect">
              <a:avLst/>
            </a:prstGeom>
            <a:noFill/>
            <a:ln w="25400">
              <a:noFill/>
            </a:ln>
          </c:spPr>
        </c:title>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00555176"/>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22</xdr:col>
      <xdr:colOff>146957</xdr:colOff>
      <xdr:row>79</xdr:row>
      <xdr:rowOff>16327</xdr:rowOff>
    </xdr:from>
    <xdr:to>
      <xdr:col>27</xdr:col>
      <xdr:colOff>727982</xdr:colOff>
      <xdr:row>93</xdr:row>
      <xdr:rowOff>420461</xdr:rowOff>
    </xdr:to>
    <xdr:graphicFrame macro="">
      <xdr:nvGraphicFramePr>
        <xdr:cNvPr id="4" name="Диаграмма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876299</xdr:colOff>
      <xdr:row>80</xdr:row>
      <xdr:rowOff>133350</xdr:rowOff>
    </xdr:from>
    <xdr:to>
      <xdr:col>33</xdr:col>
      <xdr:colOff>466724</xdr:colOff>
      <xdr:row>93</xdr:row>
      <xdr:rowOff>38100</xdr:rowOff>
    </xdr:to>
    <xdr:graphicFrame macro="">
      <xdr:nvGraphicFramePr>
        <xdr:cNvPr id="5" name="Диаграмма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830045</xdr:colOff>
      <xdr:row>97</xdr:row>
      <xdr:rowOff>95250</xdr:rowOff>
    </xdr:from>
    <xdr:to>
      <xdr:col>30</xdr:col>
      <xdr:colOff>81643</xdr:colOff>
      <xdr:row>115</xdr:row>
      <xdr:rowOff>272143</xdr:rowOff>
    </xdr:to>
    <xdr:graphicFrame macro="">
      <xdr:nvGraphicFramePr>
        <xdr:cNvPr id="6" name="Диаграмма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44</xdr:row>
      <xdr:rowOff>0</xdr:rowOff>
    </xdr:from>
    <xdr:to>
      <xdr:col>21</xdr:col>
      <xdr:colOff>704849</xdr:colOff>
      <xdr:row>44</xdr:row>
      <xdr:rowOff>0</xdr:rowOff>
    </xdr:to>
    <xdr:graphicFrame macro="">
      <xdr:nvGraphicFramePr>
        <xdr:cNvPr id="2087" name="Chart 7">
          <a:extLst>
            <a:ext uri="{FF2B5EF4-FFF2-40B4-BE49-F238E27FC236}">
              <a16:creationId xmlns:a16="http://schemas.microsoft.com/office/drawing/2014/main" id="{00000000-0008-0000-0900-00002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91</xdr:row>
      <xdr:rowOff>0</xdr:rowOff>
    </xdr:from>
    <xdr:to>
      <xdr:col>0</xdr:col>
      <xdr:colOff>0</xdr:colOff>
      <xdr:row>91</xdr:row>
      <xdr:rowOff>0</xdr:rowOff>
    </xdr:to>
    <xdr:graphicFrame macro="">
      <xdr:nvGraphicFramePr>
        <xdr:cNvPr id="26673" name="Chart 5">
          <a:extLst>
            <a:ext uri="{FF2B5EF4-FFF2-40B4-BE49-F238E27FC236}">
              <a16:creationId xmlns:a16="http://schemas.microsoft.com/office/drawing/2014/main" id="{00000000-0008-0000-0A00-000031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4" name="Chart 6">
          <a:extLst>
            <a:ext uri="{FF2B5EF4-FFF2-40B4-BE49-F238E27FC236}">
              <a16:creationId xmlns:a16="http://schemas.microsoft.com/office/drawing/2014/main" id="{00000000-0008-0000-0A00-000032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5" name="Chart 7">
          <a:extLst>
            <a:ext uri="{FF2B5EF4-FFF2-40B4-BE49-F238E27FC236}">
              <a16:creationId xmlns:a16="http://schemas.microsoft.com/office/drawing/2014/main" id="{00000000-0008-0000-0A00-000033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57</xdr:row>
      <xdr:rowOff>0</xdr:rowOff>
    </xdr:from>
    <xdr:to>
      <xdr:col>0</xdr:col>
      <xdr:colOff>0</xdr:colOff>
      <xdr:row>57</xdr:row>
      <xdr:rowOff>0</xdr:rowOff>
    </xdr:to>
    <xdr:graphicFrame macro="">
      <xdr:nvGraphicFramePr>
        <xdr:cNvPr id="39964" name="Chart 1037">
          <a:extLst>
            <a:ext uri="{FF2B5EF4-FFF2-40B4-BE49-F238E27FC236}">
              <a16:creationId xmlns:a16="http://schemas.microsoft.com/office/drawing/2014/main" id="{00000000-0008-0000-0B00-00001C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57</xdr:row>
      <xdr:rowOff>0</xdr:rowOff>
    </xdr:from>
    <xdr:to>
      <xdr:col>0</xdr:col>
      <xdr:colOff>0</xdr:colOff>
      <xdr:row>57</xdr:row>
      <xdr:rowOff>0</xdr:rowOff>
    </xdr:to>
    <xdr:graphicFrame macro="">
      <xdr:nvGraphicFramePr>
        <xdr:cNvPr id="39965" name="Chart 1038">
          <a:extLst>
            <a:ext uri="{FF2B5EF4-FFF2-40B4-BE49-F238E27FC236}">
              <a16:creationId xmlns:a16="http://schemas.microsoft.com/office/drawing/2014/main" id="{00000000-0008-0000-0B00-00001D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0</xdr:rowOff>
    </xdr:from>
    <xdr:to>
      <xdr:col>0</xdr:col>
      <xdr:colOff>0</xdr:colOff>
      <xdr:row>58</xdr:row>
      <xdr:rowOff>0</xdr:rowOff>
    </xdr:to>
    <xdr:pic>
      <xdr:nvPicPr>
        <xdr:cNvPr id="39966" name="Object 30">
          <a:extLst>
            <a:ext uri="{FF2B5EF4-FFF2-40B4-BE49-F238E27FC236}">
              <a16:creationId xmlns:a16="http://schemas.microsoft.com/office/drawing/2014/main" id="{00000000-0008-0000-0B00-00001E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7" name="Object 31">
          <a:extLst>
            <a:ext uri="{FF2B5EF4-FFF2-40B4-BE49-F238E27FC236}">
              <a16:creationId xmlns:a16="http://schemas.microsoft.com/office/drawing/2014/main" id="{00000000-0008-0000-0B00-00001F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8" name="Object 32">
          <a:extLst>
            <a:ext uri="{FF2B5EF4-FFF2-40B4-BE49-F238E27FC236}">
              <a16:creationId xmlns:a16="http://schemas.microsoft.com/office/drawing/2014/main" id="{00000000-0008-0000-0B00-000020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9" name="Object 33">
          <a:extLst>
            <a:ext uri="{FF2B5EF4-FFF2-40B4-BE49-F238E27FC236}">
              <a16:creationId xmlns:a16="http://schemas.microsoft.com/office/drawing/2014/main" id="{00000000-0008-0000-0B00-000021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70" name="Object 34">
          <a:extLst>
            <a:ext uri="{FF2B5EF4-FFF2-40B4-BE49-F238E27FC236}">
              <a16:creationId xmlns:a16="http://schemas.microsoft.com/office/drawing/2014/main" id="{00000000-0008-0000-0B00-000022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37</xdr:row>
      <xdr:rowOff>0</xdr:rowOff>
    </xdr:from>
    <xdr:to>
      <xdr:col>3</xdr:col>
      <xdr:colOff>0</xdr:colOff>
      <xdr:row>37</xdr:row>
      <xdr:rowOff>0</xdr:rowOff>
    </xdr:to>
    <xdr:graphicFrame macro="">
      <xdr:nvGraphicFramePr>
        <xdr:cNvPr id="2" name="Chart 15">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3</xdr:col>
      <xdr:colOff>0</xdr:colOff>
      <xdr:row>37</xdr:row>
      <xdr:rowOff>0</xdr:rowOff>
    </xdr:to>
    <xdr:graphicFrame macro="">
      <xdr:nvGraphicFramePr>
        <xdr:cNvPr id="3" name="Chart 16">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4" name="Chart 15">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5" name="Chart 16">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6" name="Chart 15">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7" name="Chart 16">
          <a:extLst>
            <a:ext uri="{FF2B5EF4-FFF2-40B4-BE49-F238E27FC236}">
              <a16:creationId xmlns:a16="http://schemas.microsoft.com/office/drawing/2014/main" id="{00000000-0008-0000-0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Себестоимость продаж</v>
          </cell>
        </row>
        <row r="10">
          <cell r="A10" t="str">
            <v>Валовая прибыль</v>
          </cell>
        </row>
        <row r="11">
          <cell r="A11" t="str">
            <v>Коммерческие расходы</v>
          </cell>
        </row>
        <row r="12">
          <cell r="A12" t="str">
            <v>Управленческие расходы</v>
          </cell>
        </row>
        <row r="13">
          <cell r="A13" t="str">
            <v>Прибыль (убыток) от продаж</v>
          </cell>
        </row>
        <row r="14">
          <cell r="A14" t="str">
            <v xml:space="preserve">    Прочие доходы и расходы</v>
          </cell>
        </row>
        <row r="15">
          <cell r="A15" t="str">
            <v>Доходы от участия в других организациях</v>
          </cell>
        </row>
        <row r="16">
          <cell r="A16" t="str">
            <v>Проценты к получению</v>
          </cell>
        </row>
        <row r="17">
          <cell r="A17" t="str">
            <v>Проценты к уплате</v>
          </cell>
        </row>
        <row r="18">
          <cell r="A18" t="str">
            <v>Прочие доходы</v>
          </cell>
        </row>
        <row r="19">
          <cell r="A19" t="str">
            <v>Прочие  расходы</v>
          </cell>
        </row>
        <row r="20">
          <cell r="A20" t="str">
            <v xml:space="preserve">     Прибыль (убыток) до налогообложения</v>
          </cell>
        </row>
        <row r="21">
          <cell r="A21" t="str">
            <v>Текущий налог на прибыль</v>
          </cell>
        </row>
        <row r="22">
          <cell r="A22" t="str">
            <v xml:space="preserve">   в т.ч. постоянные налоговые обязательства (активы)</v>
          </cell>
        </row>
        <row r="23">
          <cell r="A23" t="str">
            <v>Изменение отложенных налоговых обязательств</v>
          </cell>
        </row>
        <row r="24">
          <cell r="A24" t="str">
            <v>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Себестоимость продаж</v>
          </cell>
        </row>
        <row r="23">
          <cell r="A23" t="str">
            <v>Валовая прибыль</v>
          </cell>
        </row>
        <row r="26">
          <cell r="A26" t="str">
            <v>Прибыль (убыток) от продаж</v>
          </cell>
        </row>
        <row r="34">
          <cell r="A34" t="str">
            <v>Текущий налог на прибыль</v>
          </cell>
        </row>
        <row r="36">
          <cell r="A36" t="str">
            <v>Изменение отложенных налоговых обязательств</v>
          </cell>
        </row>
      </sheetData>
      <sheetData sheetId="9"/>
      <sheetData sheetId="10"/>
      <sheetData sheetId="11"/>
      <sheetData sheetId="12">
        <row r="5">
          <cell r="B5" t="str">
            <v>предыдущий год</v>
          </cell>
        </row>
      </sheetData>
      <sheetData sheetId="13">
        <row r="30">
          <cell r="D30">
            <v>25906082</v>
          </cell>
          <cell r="F30">
            <v>26135480</v>
          </cell>
        </row>
      </sheetData>
      <sheetData sheetId="14">
        <row r="4">
          <cell r="B4" t="str">
            <v>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tabColor indexed="45"/>
    <pageSetUpPr fitToPage="1"/>
  </sheetPr>
  <dimension ref="A1:J53"/>
  <sheetViews>
    <sheetView topLeftCell="A25" workbookViewId="0">
      <pane xSplit="1" topLeftCell="B1" activePane="topRight" state="frozen"/>
      <selection activeCell="A25" sqref="A25"/>
      <selection pane="topRight" activeCell="A25" sqref="A25"/>
    </sheetView>
  </sheetViews>
  <sheetFormatPr defaultColWidth="9.109375" defaultRowHeight="15.6" x14ac:dyDescent="0.3"/>
  <cols>
    <col min="1" max="1" width="49" style="1" customWidth="1"/>
    <col min="2" max="2" width="10.88671875" style="2" customWidth="1"/>
    <col min="3" max="4" width="17.44140625" customWidth="1"/>
    <col min="5" max="5" width="17.44140625" style="3" customWidth="1"/>
    <col min="6" max="6" width="17.44140625" style="4" customWidth="1"/>
    <col min="7" max="7" width="17.44140625" style="2" customWidth="1"/>
    <col min="8" max="8" width="17.44140625" style="1" customWidth="1"/>
    <col min="9" max="9" width="17.44140625" style="5" customWidth="1"/>
    <col min="10" max="10" width="17.44140625" style="1" customWidth="1"/>
    <col min="11" max="11" width="11.44140625" style="1" bestFit="1" customWidth="1"/>
    <col min="12" max="16384" width="9.109375" style="1"/>
  </cols>
  <sheetData>
    <row r="1" spans="1:10" x14ac:dyDescent="0.3">
      <c r="A1" s="1" t="s">
        <v>0</v>
      </c>
      <c r="B1" s="1"/>
      <c r="G1" s="1"/>
    </row>
    <row r="2" spans="1:10" x14ac:dyDescent="0.3">
      <c r="A2" s="6" t="s">
        <v>1</v>
      </c>
      <c r="B2" s="7"/>
      <c r="G2" s="1"/>
    </row>
    <row r="3" spans="1:10" ht="16.2" x14ac:dyDescent="0.35">
      <c r="A3" s="6" t="s">
        <v>2</v>
      </c>
      <c r="B3" s="8" t="s">
        <v>3</v>
      </c>
      <c r="F3" s="9"/>
      <c r="G3" s="1"/>
    </row>
    <row r="4" spans="1:10" ht="16.2" x14ac:dyDescent="0.35">
      <c r="A4" s="6" t="s">
        <v>4</v>
      </c>
      <c r="B4" s="8" t="s">
        <v>5</v>
      </c>
      <c r="G4" s="1"/>
    </row>
    <row r="5" spans="1:10" s="6" customFormat="1" ht="31.2" x14ac:dyDescent="0.3">
      <c r="A5" s="10" t="s">
        <v>6</v>
      </c>
      <c r="B5" s="11" t="s">
        <v>7</v>
      </c>
      <c r="C5" s="12" t="s">
        <v>8</v>
      </c>
      <c r="D5" s="12" t="s">
        <v>9</v>
      </c>
      <c r="E5" s="12" t="s">
        <v>10</v>
      </c>
      <c r="F5" s="12" t="s">
        <v>11</v>
      </c>
      <c r="G5" s="12" t="s">
        <v>12</v>
      </c>
      <c r="H5" s="12" t="s">
        <v>13</v>
      </c>
      <c r="I5" s="12" t="s">
        <v>14</v>
      </c>
      <c r="J5" s="12" t="s">
        <v>15</v>
      </c>
    </row>
    <row r="6" spans="1:10" s="6" customFormat="1" x14ac:dyDescent="0.3">
      <c r="A6" s="13">
        <v>1</v>
      </c>
      <c r="B6" s="14">
        <v>2</v>
      </c>
      <c r="C6" s="15">
        <v>3</v>
      </c>
      <c r="D6" s="15">
        <v>4</v>
      </c>
      <c r="E6" s="15">
        <v>5</v>
      </c>
      <c r="F6" s="15">
        <v>6</v>
      </c>
      <c r="G6" s="15">
        <v>7</v>
      </c>
      <c r="H6" s="15">
        <v>8</v>
      </c>
      <c r="I6" s="15">
        <v>9</v>
      </c>
      <c r="J6" s="15">
        <v>10</v>
      </c>
    </row>
    <row r="7" spans="1:10" x14ac:dyDescent="0.3">
      <c r="A7" s="16" t="s">
        <v>16</v>
      </c>
      <c r="B7" s="17"/>
      <c r="C7" s="18"/>
      <c r="D7" s="18"/>
      <c r="E7" s="18"/>
      <c r="F7" s="18"/>
      <c r="G7" s="18"/>
      <c r="H7" s="18"/>
      <c r="I7" s="18"/>
      <c r="J7" s="18"/>
    </row>
    <row r="8" spans="1:10" x14ac:dyDescent="0.3">
      <c r="A8" s="16" t="s">
        <v>17</v>
      </c>
      <c r="B8" s="19">
        <v>1110</v>
      </c>
      <c r="C8" s="20">
        <v>0</v>
      </c>
      <c r="D8" s="20">
        <v>0</v>
      </c>
      <c r="E8" s="20">
        <v>0</v>
      </c>
      <c r="F8" s="20">
        <v>0</v>
      </c>
      <c r="G8" s="20">
        <v>0</v>
      </c>
      <c r="H8" s="20">
        <v>0</v>
      </c>
      <c r="I8" s="20">
        <v>74</v>
      </c>
      <c r="J8" s="20">
        <v>241</v>
      </c>
    </row>
    <row r="9" spans="1:10" x14ac:dyDescent="0.3">
      <c r="A9" s="16" t="s">
        <v>18</v>
      </c>
      <c r="B9" s="19">
        <v>1120</v>
      </c>
      <c r="C9" s="20">
        <v>0</v>
      </c>
      <c r="D9" s="20">
        <v>0</v>
      </c>
      <c r="E9" s="20">
        <v>0</v>
      </c>
      <c r="F9" s="20">
        <v>0</v>
      </c>
      <c r="G9" s="20">
        <v>0</v>
      </c>
      <c r="H9" s="20">
        <v>0</v>
      </c>
      <c r="I9" s="20">
        <v>0</v>
      </c>
      <c r="J9" s="20">
        <v>0</v>
      </c>
    </row>
    <row r="10" spans="1:10" ht="18" customHeight="1" x14ac:dyDescent="0.3">
      <c r="A10" s="16" t="s">
        <v>19</v>
      </c>
      <c r="B10" s="19">
        <v>1130</v>
      </c>
      <c r="C10" s="20">
        <v>8002783</v>
      </c>
      <c r="D10" s="20">
        <v>3835076</v>
      </c>
      <c r="E10" s="20">
        <v>3893835</v>
      </c>
      <c r="F10" s="20">
        <v>3942223</v>
      </c>
      <c r="G10" s="20">
        <v>3832135</v>
      </c>
      <c r="H10" s="20">
        <v>3944835</v>
      </c>
      <c r="I10" s="20">
        <v>3571054</v>
      </c>
      <c r="J10" s="20">
        <v>3621106</v>
      </c>
    </row>
    <row r="11" spans="1:10" ht="16.5" customHeight="1" x14ac:dyDescent="0.3">
      <c r="A11" s="16" t="s">
        <v>20</v>
      </c>
      <c r="B11" s="19">
        <v>1140</v>
      </c>
      <c r="C11" s="20">
        <v>0</v>
      </c>
      <c r="D11" s="20">
        <v>0</v>
      </c>
      <c r="E11" s="20">
        <v>0</v>
      </c>
      <c r="F11" s="20">
        <v>0</v>
      </c>
      <c r="G11" s="20">
        <v>0</v>
      </c>
      <c r="H11" s="20">
        <v>0</v>
      </c>
      <c r="I11" s="20">
        <v>0</v>
      </c>
      <c r="J11" s="20">
        <v>0</v>
      </c>
    </row>
    <row r="12" spans="1:10" x14ac:dyDescent="0.3">
      <c r="A12" s="16" t="s">
        <v>21</v>
      </c>
      <c r="B12" s="19">
        <v>1150</v>
      </c>
      <c r="C12" s="20">
        <v>10139182</v>
      </c>
      <c r="D12" s="20">
        <v>8392766</v>
      </c>
      <c r="E12" s="20">
        <v>14629278</v>
      </c>
      <c r="F12" s="20">
        <v>4566241</v>
      </c>
      <c r="G12" s="20">
        <v>6479088</v>
      </c>
      <c r="H12" s="20">
        <v>7103849</v>
      </c>
      <c r="I12" s="20">
        <v>12356799</v>
      </c>
      <c r="J12" s="20">
        <v>15086882</v>
      </c>
    </row>
    <row r="13" spans="1:10" x14ac:dyDescent="0.3">
      <c r="A13" s="16" t="s">
        <v>22</v>
      </c>
      <c r="B13" s="19">
        <v>1160</v>
      </c>
      <c r="C13" s="20">
        <v>165840</v>
      </c>
      <c r="D13" s="20">
        <v>159685</v>
      </c>
      <c r="E13" s="20">
        <v>159055</v>
      </c>
      <c r="F13" s="20">
        <v>162155</v>
      </c>
      <c r="G13" s="20">
        <v>152200</v>
      </c>
      <c r="H13" s="20">
        <v>141399</v>
      </c>
      <c r="I13" s="20">
        <v>66139</v>
      </c>
      <c r="J13" s="20">
        <v>55032</v>
      </c>
    </row>
    <row r="14" spans="1:10" x14ac:dyDescent="0.3">
      <c r="A14" s="16" t="s">
        <v>23</v>
      </c>
      <c r="B14" s="19">
        <v>1170</v>
      </c>
      <c r="C14" s="20">
        <v>1345294</v>
      </c>
      <c r="D14" s="20">
        <v>2083522</v>
      </c>
      <c r="E14" s="20">
        <v>532148</v>
      </c>
      <c r="F14" s="20">
        <v>401995</v>
      </c>
      <c r="G14" s="20">
        <v>69514</v>
      </c>
      <c r="H14" s="20">
        <v>16713</v>
      </c>
      <c r="I14" s="20">
        <v>126630</v>
      </c>
      <c r="J14" s="20">
        <v>36822</v>
      </c>
    </row>
    <row r="15" spans="1:10" s="6" customFormat="1" x14ac:dyDescent="0.3">
      <c r="A15" s="21" t="s">
        <v>24</v>
      </c>
      <c r="B15" s="22">
        <v>1100</v>
      </c>
      <c r="C15" s="23">
        <f t="shared" ref="C15:J15" si="0">SUM(C8:C14)</f>
        <v>19653099</v>
      </c>
      <c r="D15" s="23">
        <f t="shared" si="0"/>
        <v>14471049</v>
      </c>
      <c r="E15" s="23">
        <f t="shared" si="0"/>
        <v>19214316</v>
      </c>
      <c r="F15" s="23">
        <f t="shared" si="0"/>
        <v>9072614</v>
      </c>
      <c r="G15" s="23">
        <f t="shared" si="0"/>
        <v>10532937</v>
      </c>
      <c r="H15" s="23">
        <f t="shared" si="0"/>
        <v>11206796</v>
      </c>
      <c r="I15" s="23">
        <f t="shared" si="0"/>
        <v>16120696</v>
      </c>
      <c r="J15" s="23">
        <f t="shared" si="0"/>
        <v>18800083</v>
      </c>
    </row>
    <row r="16" spans="1:10" x14ac:dyDescent="0.3">
      <c r="A16" s="16" t="s">
        <v>25</v>
      </c>
      <c r="B16" s="17"/>
      <c r="C16" s="18"/>
      <c r="D16" s="18"/>
      <c r="E16" s="18"/>
      <c r="F16" s="18"/>
      <c r="G16" s="18"/>
      <c r="H16" s="18"/>
      <c r="I16" s="18"/>
      <c r="J16" s="18"/>
    </row>
    <row r="17" spans="1:10" x14ac:dyDescent="0.3">
      <c r="A17" s="16" t="s">
        <v>26</v>
      </c>
      <c r="B17" s="19">
        <v>1210</v>
      </c>
      <c r="C17" s="20">
        <v>3359236</v>
      </c>
      <c r="D17" s="20">
        <v>2454097</v>
      </c>
      <c r="E17" s="24">
        <v>2594147</v>
      </c>
      <c r="F17" s="20">
        <v>2183513</v>
      </c>
      <c r="G17" s="20">
        <v>1971564</v>
      </c>
      <c r="H17" s="24">
        <v>1667298</v>
      </c>
      <c r="I17" s="20">
        <v>1505696</v>
      </c>
      <c r="J17" s="24">
        <v>1811263</v>
      </c>
    </row>
    <row r="18" spans="1:10" ht="31.2" x14ac:dyDescent="0.3">
      <c r="A18" s="16" t="s">
        <v>27</v>
      </c>
      <c r="B18" s="19">
        <v>1220</v>
      </c>
      <c r="C18" s="20">
        <v>33290</v>
      </c>
      <c r="D18" s="20">
        <v>16327</v>
      </c>
      <c r="E18" s="20">
        <v>549766</v>
      </c>
      <c r="F18" s="20">
        <v>186218</v>
      </c>
      <c r="G18" s="20">
        <v>432921</v>
      </c>
      <c r="H18" s="20">
        <v>212888</v>
      </c>
      <c r="I18" s="20">
        <v>196713</v>
      </c>
      <c r="J18" s="20">
        <v>43321</v>
      </c>
    </row>
    <row r="19" spans="1:10" x14ac:dyDescent="0.3">
      <c r="A19" s="16" t="s">
        <v>28</v>
      </c>
      <c r="B19" s="19">
        <v>1230</v>
      </c>
      <c r="C19" s="20">
        <f t="shared" ref="C19:J19" si="1">SUM(C20:C21)</f>
        <v>2703825</v>
      </c>
      <c r="D19" s="20">
        <f t="shared" si="1"/>
        <v>3097566</v>
      </c>
      <c r="E19" s="20">
        <f t="shared" si="1"/>
        <v>3241082</v>
      </c>
      <c r="F19" s="20">
        <f t="shared" si="1"/>
        <v>3705802</v>
      </c>
      <c r="G19" s="20">
        <f t="shared" si="1"/>
        <v>5380410</v>
      </c>
      <c r="H19" s="20">
        <f t="shared" si="1"/>
        <v>5548340</v>
      </c>
      <c r="I19" s="20">
        <f t="shared" si="1"/>
        <v>4398970</v>
      </c>
      <c r="J19" s="20">
        <f t="shared" si="1"/>
        <v>4598730</v>
      </c>
    </row>
    <row r="20" spans="1:10" x14ac:dyDescent="0.3">
      <c r="A20" s="25" t="s">
        <v>29</v>
      </c>
      <c r="B20" s="19">
        <v>1231</v>
      </c>
      <c r="C20" s="20">
        <v>0</v>
      </c>
      <c r="D20" s="20">
        <v>0</v>
      </c>
      <c r="E20" s="20">
        <v>101369</v>
      </c>
      <c r="F20" s="20">
        <v>0</v>
      </c>
      <c r="G20" s="20">
        <v>206724</v>
      </c>
      <c r="H20" s="20">
        <v>295395</v>
      </c>
      <c r="I20" s="20">
        <v>1780926</v>
      </c>
      <c r="J20" s="20">
        <v>2720474</v>
      </c>
    </row>
    <row r="21" spans="1:10" x14ac:dyDescent="0.3">
      <c r="A21" s="25" t="s">
        <v>30</v>
      </c>
      <c r="B21" s="19">
        <v>1232</v>
      </c>
      <c r="C21" s="20">
        <f>3124548-420723</f>
        <v>2703825</v>
      </c>
      <c r="D21" s="20">
        <f>3524467-426901</f>
        <v>3097566</v>
      </c>
      <c r="E21" s="20">
        <f>3579097-439384</f>
        <v>3139713</v>
      </c>
      <c r="F21" s="20">
        <f>4144082-438280</f>
        <v>3705802</v>
      </c>
      <c r="G21" s="20">
        <f>5602624-428938</f>
        <v>5173686</v>
      </c>
      <c r="H21" s="20">
        <v>5252945</v>
      </c>
      <c r="I21" s="20">
        <v>2618044</v>
      </c>
      <c r="J21" s="20">
        <v>1878256</v>
      </c>
    </row>
    <row r="22" spans="1:10" ht="31.2" x14ac:dyDescent="0.3">
      <c r="A22" s="16" t="s">
        <v>31</v>
      </c>
      <c r="B22" s="19">
        <v>1240</v>
      </c>
      <c r="C22" s="20">
        <v>18308260</v>
      </c>
      <c r="D22" s="20">
        <v>27313352</v>
      </c>
      <c r="E22" s="20">
        <v>22234137</v>
      </c>
      <c r="F22" s="20">
        <v>38591144</v>
      </c>
      <c r="G22" s="20">
        <v>24929179</v>
      </c>
      <c r="H22" s="20">
        <v>23956588</v>
      </c>
      <c r="I22" s="20">
        <v>10536852</v>
      </c>
      <c r="J22" s="20">
        <v>3602536</v>
      </c>
    </row>
    <row r="23" spans="1:10" x14ac:dyDescent="0.3">
      <c r="A23" s="16" t="s">
        <v>32</v>
      </c>
      <c r="B23" s="19">
        <v>1250</v>
      </c>
      <c r="C23" s="20">
        <v>3397538</v>
      </c>
      <c r="D23" s="20">
        <v>1007422</v>
      </c>
      <c r="E23" s="20">
        <v>3121333</v>
      </c>
      <c r="F23" s="20">
        <v>4548134</v>
      </c>
      <c r="G23" s="20">
        <v>6655180</v>
      </c>
      <c r="H23" s="20">
        <v>3728021</v>
      </c>
      <c r="I23" s="20">
        <v>509947</v>
      </c>
      <c r="J23" s="20">
        <v>831112</v>
      </c>
    </row>
    <row r="24" spans="1:10" x14ac:dyDescent="0.3">
      <c r="A24" s="16" t="s">
        <v>33</v>
      </c>
      <c r="B24" s="19">
        <v>1260</v>
      </c>
      <c r="C24" s="20">
        <v>726358</v>
      </c>
      <c r="D24" s="20">
        <v>216717</v>
      </c>
      <c r="E24" s="20">
        <v>152360</v>
      </c>
      <c r="F24" s="20">
        <v>186155</v>
      </c>
      <c r="G24" s="20">
        <v>345727</v>
      </c>
      <c r="H24" s="20">
        <v>124161</v>
      </c>
      <c r="I24" s="20">
        <v>96823</v>
      </c>
      <c r="J24" s="20">
        <v>85009</v>
      </c>
    </row>
    <row r="25" spans="1:10" s="6" customFormat="1" x14ac:dyDescent="0.3">
      <c r="A25" s="21" t="s">
        <v>34</v>
      </c>
      <c r="B25" s="22">
        <v>1200</v>
      </c>
      <c r="C25" s="23">
        <f t="shared" ref="C25:J25" si="2">SUM(C17:C19,C22,C23,C24)</f>
        <v>28528507</v>
      </c>
      <c r="D25" s="23">
        <f t="shared" si="2"/>
        <v>34105481</v>
      </c>
      <c r="E25" s="23">
        <f t="shared" si="2"/>
        <v>31892825</v>
      </c>
      <c r="F25" s="23">
        <f t="shared" si="2"/>
        <v>49400966</v>
      </c>
      <c r="G25" s="23">
        <f t="shared" si="2"/>
        <v>39714981</v>
      </c>
      <c r="H25" s="23">
        <f t="shared" si="2"/>
        <v>35237296</v>
      </c>
      <c r="I25" s="23">
        <f t="shared" si="2"/>
        <v>17245001</v>
      </c>
      <c r="J25" s="23">
        <f t="shared" si="2"/>
        <v>10971971</v>
      </c>
    </row>
    <row r="26" spans="1:10" s="6" customFormat="1" x14ac:dyDescent="0.3">
      <c r="A26" s="21" t="s">
        <v>35</v>
      </c>
      <c r="B26" s="22">
        <v>1600</v>
      </c>
      <c r="C26" s="23">
        <f t="shared" ref="C26:J26" si="3">C15+C25</f>
        <v>48181606</v>
      </c>
      <c r="D26" s="23">
        <f t="shared" si="3"/>
        <v>48576530</v>
      </c>
      <c r="E26" s="23">
        <f t="shared" si="3"/>
        <v>51107141</v>
      </c>
      <c r="F26" s="23">
        <f t="shared" si="3"/>
        <v>58473580</v>
      </c>
      <c r="G26" s="23">
        <f t="shared" si="3"/>
        <v>50247918</v>
      </c>
      <c r="H26" s="23">
        <f t="shared" si="3"/>
        <v>46444092</v>
      </c>
      <c r="I26" s="23">
        <f t="shared" si="3"/>
        <v>33365697</v>
      </c>
      <c r="J26" s="23">
        <f t="shared" si="3"/>
        <v>29772054</v>
      </c>
    </row>
    <row r="27" spans="1:10" x14ac:dyDescent="0.3">
      <c r="A27" s="26"/>
      <c r="B27" s="26"/>
      <c r="C27" s="27"/>
      <c r="D27" s="27"/>
      <c r="E27" s="27"/>
      <c r="F27" s="27"/>
      <c r="G27" s="27"/>
      <c r="H27" s="27"/>
      <c r="I27" s="27"/>
      <c r="J27" s="27"/>
    </row>
    <row r="28" spans="1:10" s="6" customFormat="1" ht="31.2" x14ac:dyDescent="0.3">
      <c r="A28" s="10" t="s">
        <v>36</v>
      </c>
      <c r="B28" s="11" t="s">
        <v>7</v>
      </c>
      <c r="C28" s="28" t="str">
        <f t="shared" ref="C28:J28" si="4">C5</f>
        <v>на 31 декабря 2019 года</v>
      </c>
      <c r="D28" s="28" t="str">
        <f t="shared" si="4"/>
        <v>на 31 декабря 2018 года</v>
      </c>
      <c r="E28" s="28" t="str">
        <f t="shared" si="4"/>
        <v>на 31 декабря 2017 года</v>
      </c>
      <c r="F28" s="28" t="str">
        <f t="shared" si="4"/>
        <v>на 31 декабря 2016 года</v>
      </c>
      <c r="G28" s="28" t="str">
        <f t="shared" si="4"/>
        <v>на 31 декабря 2015 года</v>
      </c>
      <c r="H28" s="28" t="str">
        <f t="shared" si="4"/>
        <v>на 31 декабря 2014 года</v>
      </c>
      <c r="I28" s="28" t="str">
        <f t="shared" si="4"/>
        <v>на 31 декабря 2013 года</v>
      </c>
      <c r="J28" s="28" t="str">
        <f t="shared" si="4"/>
        <v>на 31 декабря 2012 года</v>
      </c>
    </row>
    <row r="29" spans="1:10" s="6" customFormat="1" x14ac:dyDescent="0.3">
      <c r="A29" s="13">
        <v>1</v>
      </c>
      <c r="B29" s="14">
        <v>2</v>
      </c>
      <c r="C29" s="29">
        <v>3</v>
      </c>
      <c r="D29" s="29">
        <v>4</v>
      </c>
      <c r="E29" s="29">
        <v>5</v>
      </c>
      <c r="F29" s="29">
        <v>6</v>
      </c>
      <c r="G29" s="29">
        <v>7</v>
      </c>
      <c r="H29" s="29">
        <v>8</v>
      </c>
      <c r="I29" s="29">
        <v>9</v>
      </c>
      <c r="J29" s="29">
        <v>10</v>
      </c>
    </row>
    <row r="30" spans="1:10" x14ac:dyDescent="0.3">
      <c r="A30" s="16" t="s">
        <v>37</v>
      </c>
      <c r="B30" s="17"/>
      <c r="C30" s="18"/>
      <c r="D30" s="18"/>
      <c r="E30" s="18"/>
      <c r="F30" s="18"/>
      <c r="G30" s="18"/>
      <c r="H30" s="18"/>
      <c r="I30" s="18"/>
      <c r="J30" s="18"/>
    </row>
    <row r="31" spans="1:10" ht="15" customHeight="1" x14ac:dyDescent="0.3">
      <c r="A31" s="16" t="s">
        <v>38</v>
      </c>
      <c r="B31" s="19">
        <v>1310</v>
      </c>
      <c r="C31" s="20">
        <v>218860</v>
      </c>
      <c r="D31" s="20">
        <v>218860</v>
      </c>
      <c r="E31" s="20">
        <v>218860</v>
      </c>
      <c r="F31" s="20">
        <v>218860</v>
      </c>
      <c r="G31" s="20">
        <v>218860</v>
      </c>
      <c r="H31" s="20">
        <v>218860</v>
      </c>
      <c r="I31" s="20">
        <v>218860</v>
      </c>
      <c r="J31" s="20">
        <v>218860</v>
      </c>
    </row>
    <row r="32" spans="1:10" ht="18.75" customHeight="1" x14ac:dyDescent="0.3">
      <c r="A32" s="16" t="s">
        <v>39</v>
      </c>
      <c r="B32" s="19">
        <v>1320</v>
      </c>
      <c r="C32" s="20">
        <v>0</v>
      </c>
      <c r="D32" s="20">
        <v>0</v>
      </c>
      <c r="E32" s="20">
        <v>-96647</v>
      </c>
      <c r="F32" s="20">
        <v>0</v>
      </c>
      <c r="G32" s="20">
        <v>-20847</v>
      </c>
      <c r="H32" s="20">
        <v>0</v>
      </c>
      <c r="I32" s="20">
        <v>0</v>
      </c>
      <c r="J32" s="20">
        <v>0</v>
      </c>
    </row>
    <row r="33" spans="1:10" x14ac:dyDescent="0.3">
      <c r="A33" s="16" t="s">
        <v>40</v>
      </c>
      <c r="B33" s="19">
        <v>1340</v>
      </c>
      <c r="C33" s="30">
        <v>417269</v>
      </c>
      <c r="D33" s="30">
        <v>418860</v>
      </c>
      <c r="E33" s="20">
        <v>420686</v>
      </c>
      <c r="F33" s="30">
        <v>484791</v>
      </c>
      <c r="G33" s="30">
        <v>518210</v>
      </c>
      <c r="H33" s="20">
        <v>531553</v>
      </c>
      <c r="I33" s="30">
        <v>543121</v>
      </c>
      <c r="J33" s="20">
        <v>563922</v>
      </c>
    </row>
    <row r="34" spans="1:10" x14ac:dyDescent="0.3">
      <c r="A34" s="16" t="s">
        <v>41</v>
      </c>
      <c r="B34" s="19">
        <v>1350</v>
      </c>
      <c r="C34" s="20">
        <v>84000</v>
      </c>
      <c r="D34" s="20">
        <v>84000</v>
      </c>
      <c r="E34" s="20">
        <v>84000</v>
      </c>
      <c r="F34" s="20">
        <v>84000</v>
      </c>
      <c r="G34" s="20">
        <v>84000</v>
      </c>
      <c r="H34" s="20">
        <v>84000</v>
      </c>
      <c r="I34" s="20">
        <v>84000</v>
      </c>
      <c r="J34" s="20">
        <v>84000</v>
      </c>
    </row>
    <row r="35" spans="1:10" x14ac:dyDescent="0.3">
      <c r="A35" s="16" t="s">
        <v>42</v>
      </c>
      <c r="B35" s="19">
        <v>1360</v>
      </c>
      <c r="C35" s="20">
        <v>32829</v>
      </c>
      <c r="D35" s="20">
        <v>32829</v>
      </c>
      <c r="E35" s="20">
        <v>32829</v>
      </c>
      <c r="F35" s="20">
        <v>32829</v>
      </c>
      <c r="G35" s="20">
        <v>32829</v>
      </c>
      <c r="H35" s="20">
        <v>32829</v>
      </c>
      <c r="I35" s="20">
        <v>32829</v>
      </c>
      <c r="J35" s="20">
        <v>32829</v>
      </c>
    </row>
    <row r="36" spans="1:10" ht="31.2" x14ac:dyDescent="0.3">
      <c r="A36" s="16" t="s">
        <v>43</v>
      </c>
      <c r="B36" s="19">
        <v>1370</v>
      </c>
      <c r="C36" s="20">
        <v>39665734</v>
      </c>
      <c r="D36" s="20">
        <v>44989485</v>
      </c>
      <c r="E36" s="20">
        <v>46368906</v>
      </c>
      <c r="F36" s="20">
        <v>40435274</v>
      </c>
      <c r="G36" s="20">
        <v>34077800</v>
      </c>
      <c r="H36" s="20">
        <v>25268238</v>
      </c>
      <c r="I36" s="20">
        <v>25027272</v>
      </c>
      <c r="J36" s="20">
        <v>21162720</v>
      </c>
    </row>
    <row r="37" spans="1:10" s="6" customFormat="1" ht="19.95" customHeight="1" x14ac:dyDescent="0.3">
      <c r="A37" s="21" t="s">
        <v>44</v>
      </c>
      <c r="B37" s="22">
        <v>1300</v>
      </c>
      <c r="C37" s="23">
        <f t="shared" ref="C37:J37" si="5">SUM(C31:C36)</f>
        <v>40418692</v>
      </c>
      <c r="D37" s="23">
        <f t="shared" si="5"/>
        <v>45744034</v>
      </c>
      <c r="E37" s="23">
        <f t="shared" si="5"/>
        <v>47028634</v>
      </c>
      <c r="F37" s="23">
        <f t="shared" si="5"/>
        <v>41255754</v>
      </c>
      <c r="G37" s="23">
        <f t="shared" si="5"/>
        <v>34910852</v>
      </c>
      <c r="H37" s="23">
        <f t="shared" si="5"/>
        <v>26135480</v>
      </c>
      <c r="I37" s="23">
        <f t="shared" si="5"/>
        <v>25906082</v>
      </c>
      <c r="J37" s="23">
        <f t="shared" si="5"/>
        <v>22062331</v>
      </c>
    </row>
    <row r="38" spans="1:10" ht="17.399999999999999" customHeight="1" x14ac:dyDescent="0.3">
      <c r="A38" s="16" t="s">
        <v>45</v>
      </c>
      <c r="B38" s="17"/>
      <c r="C38" s="18"/>
      <c r="D38" s="18"/>
      <c r="E38" s="18"/>
      <c r="F38" s="18"/>
      <c r="G38" s="18"/>
      <c r="H38" s="18"/>
      <c r="I38" s="18"/>
      <c r="J38" s="18"/>
    </row>
    <row r="39" spans="1:10" x14ac:dyDescent="0.3">
      <c r="A39" s="16" t="s">
        <v>46</v>
      </c>
      <c r="B39" s="19">
        <v>1410</v>
      </c>
      <c r="C39" s="20">
        <v>0</v>
      </c>
      <c r="D39" s="20">
        <v>0</v>
      </c>
      <c r="E39" s="20">
        <v>0</v>
      </c>
      <c r="F39" s="20">
        <v>3000000</v>
      </c>
      <c r="G39" s="20">
        <v>10932405</v>
      </c>
      <c r="H39" s="20">
        <v>8438760</v>
      </c>
      <c r="I39" s="20">
        <v>4909380</v>
      </c>
      <c r="J39" s="20">
        <v>5454937</v>
      </c>
    </row>
    <row r="40" spans="1:10" x14ac:dyDescent="0.3">
      <c r="A40" s="16" t="s">
        <v>47</v>
      </c>
      <c r="B40" s="19">
        <v>1420</v>
      </c>
      <c r="C40" s="20">
        <v>675161</v>
      </c>
      <c r="D40" s="20">
        <v>551941</v>
      </c>
      <c r="E40" s="20">
        <v>419734</v>
      </c>
      <c r="F40" s="20">
        <v>261403</v>
      </c>
      <c r="G40" s="20">
        <v>275358</v>
      </c>
      <c r="H40" s="20">
        <v>161590</v>
      </c>
      <c r="I40" s="20">
        <v>124369</v>
      </c>
      <c r="J40" s="20">
        <v>113141</v>
      </c>
    </row>
    <row r="41" spans="1:10" x14ac:dyDescent="0.3">
      <c r="A41" s="16" t="s">
        <v>48</v>
      </c>
      <c r="B41" s="19">
        <v>1430</v>
      </c>
      <c r="C41" s="20">
        <v>0</v>
      </c>
      <c r="D41" s="20">
        <v>0</v>
      </c>
      <c r="E41" s="20">
        <v>0</v>
      </c>
      <c r="F41" s="20">
        <v>0</v>
      </c>
      <c r="G41" s="20">
        <v>0</v>
      </c>
      <c r="H41" s="20">
        <v>0</v>
      </c>
      <c r="I41" s="20">
        <v>0</v>
      </c>
      <c r="J41" s="20">
        <v>0</v>
      </c>
    </row>
    <row r="42" spans="1:10" x14ac:dyDescent="0.3">
      <c r="A42" s="16" t="s">
        <v>49</v>
      </c>
      <c r="B42" s="19">
        <v>1450</v>
      </c>
      <c r="C42" s="20">
        <v>0</v>
      </c>
      <c r="D42" s="20">
        <v>0</v>
      </c>
      <c r="E42" s="20">
        <v>0</v>
      </c>
      <c r="F42" s="20">
        <v>0</v>
      </c>
      <c r="G42" s="20">
        <v>0</v>
      </c>
      <c r="H42" s="20">
        <v>29937</v>
      </c>
      <c r="I42" s="20">
        <v>0</v>
      </c>
      <c r="J42" s="20">
        <v>0</v>
      </c>
    </row>
    <row r="43" spans="1:10" s="6" customFormat="1" x14ac:dyDescent="0.3">
      <c r="A43" s="21" t="s">
        <v>50</v>
      </c>
      <c r="B43" s="22">
        <v>1400</v>
      </c>
      <c r="C43" s="23">
        <f t="shared" ref="C43:J43" si="6">SUM(C39:C42)</f>
        <v>675161</v>
      </c>
      <c r="D43" s="23">
        <f t="shared" si="6"/>
        <v>551941</v>
      </c>
      <c r="E43" s="23">
        <f t="shared" si="6"/>
        <v>419734</v>
      </c>
      <c r="F43" s="23">
        <f t="shared" si="6"/>
        <v>3261403</v>
      </c>
      <c r="G43" s="23">
        <f t="shared" si="6"/>
        <v>11207763</v>
      </c>
      <c r="H43" s="23">
        <f t="shared" si="6"/>
        <v>8630287</v>
      </c>
      <c r="I43" s="23">
        <f t="shared" si="6"/>
        <v>5033749</v>
      </c>
      <c r="J43" s="23">
        <f t="shared" si="6"/>
        <v>5568078</v>
      </c>
    </row>
    <row r="44" spans="1:10" x14ac:dyDescent="0.3">
      <c r="A44" s="16" t="s">
        <v>51</v>
      </c>
      <c r="B44" s="17"/>
      <c r="C44" s="18"/>
      <c r="D44" s="18"/>
      <c r="E44" s="18"/>
      <c r="F44" s="18"/>
      <c r="G44" s="18"/>
      <c r="H44" s="18"/>
      <c r="I44" s="18"/>
      <c r="J44" s="18"/>
    </row>
    <row r="45" spans="1:10" x14ac:dyDescent="0.3">
      <c r="A45" s="16" t="s">
        <v>46</v>
      </c>
      <c r="B45" s="19">
        <v>1510</v>
      </c>
      <c r="C45" s="20">
        <v>0</v>
      </c>
      <c r="D45" s="20">
        <v>0</v>
      </c>
      <c r="E45" s="20">
        <v>866541</v>
      </c>
      <c r="F45" s="20">
        <v>10726608</v>
      </c>
      <c r="G45" s="20">
        <v>15345</v>
      </c>
      <c r="H45" s="20">
        <v>9580010</v>
      </c>
      <c r="I45" s="20">
        <v>657754</v>
      </c>
      <c r="J45" s="20">
        <v>597056</v>
      </c>
    </row>
    <row r="46" spans="1:10" x14ac:dyDescent="0.3">
      <c r="A46" s="16" t="s">
        <v>52</v>
      </c>
      <c r="B46" s="19">
        <v>1520</v>
      </c>
      <c r="C46" s="20">
        <v>6817353</v>
      </c>
      <c r="D46" s="20">
        <v>2027319</v>
      </c>
      <c r="E46" s="20">
        <v>2565248</v>
      </c>
      <c r="F46" s="20">
        <v>3010880</v>
      </c>
      <c r="G46" s="20">
        <v>3951678</v>
      </c>
      <c r="H46" s="20">
        <v>2001453</v>
      </c>
      <c r="I46" s="20">
        <v>1672552</v>
      </c>
      <c r="J46" s="20">
        <v>1437090</v>
      </c>
    </row>
    <row r="47" spans="1:10" x14ac:dyDescent="0.3">
      <c r="A47" s="16" t="s">
        <v>53</v>
      </c>
      <c r="B47" s="19">
        <v>1530</v>
      </c>
      <c r="C47" s="20">
        <v>7661</v>
      </c>
      <c r="D47" s="20">
        <v>926</v>
      </c>
      <c r="E47" s="20">
        <v>1085</v>
      </c>
      <c r="F47" s="20">
        <v>1244</v>
      </c>
      <c r="G47" s="20">
        <v>1403</v>
      </c>
      <c r="H47" s="20">
        <v>1562</v>
      </c>
      <c r="I47" s="20">
        <v>1722</v>
      </c>
      <c r="J47" s="20">
        <v>2168</v>
      </c>
    </row>
    <row r="48" spans="1:10" x14ac:dyDescent="0.3">
      <c r="A48" s="16" t="s">
        <v>48</v>
      </c>
      <c r="B48" s="19">
        <v>1540</v>
      </c>
      <c r="C48" s="20">
        <v>249890</v>
      </c>
      <c r="D48" s="20">
        <v>208416</v>
      </c>
      <c r="E48" s="20">
        <v>190774</v>
      </c>
      <c r="F48" s="20">
        <v>211683</v>
      </c>
      <c r="G48" s="20">
        <v>159709</v>
      </c>
      <c r="H48" s="20">
        <v>94742</v>
      </c>
      <c r="I48" s="20">
        <v>85327</v>
      </c>
      <c r="J48" s="20">
        <v>102181</v>
      </c>
    </row>
    <row r="49" spans="1:10" x14ac:dyDescent="0.3">
      <c r="A49" s="16" t="s">
        <v>49</v>
      </c>
      <c r="B49" s="19">
        <v>1550</v>
      </c>
      <c r="C49" s="20">
        <v>12849</v>
      </c>
      <c r="D49" s="20">
        <v>43894</v>
      </c>
      <c r="E49" s="20">
        <v>35125</v>
      </c>
      <c r="F49" s="20">
        <v>6008</v>
      </c>
      <c r="G49" s="20">
        <v>1168</v>
      </c>
      <c r="H49" s="20">
        <v>558</v>
      </c>
      <c r="I49" s="20">
        <v>8511</v>
      </c>
      <c r="J49" s="20">
        <v>3150</v>
      </c>
    </row>
    <row r="50" spans="1:10" s="6" customFormat="1" x14ac:dyDescent="0.3">
      <c r="A50" s="21" t="s">
        <v>54</v>
      </c>
      <c r="B50" s="22">
        <v>1500</v>
      </c>
      <c r="C50" s="23">
        <f t="shared" ref="C50:J50" si="7">SUM(C45:C49)</f>
        <v>7087753</v>
      </c>
      <c r="D50" s="23">
        <f t="shared" si="7"/>
        <v>2280555</v>
      </c>
      <c r="E50" s="23">
        <f t="shared" si="7"/>
        <v>3658773</v>
      </c>
      <c r="F50" s="23">
        <f t="shared" si="7"/>
        <v>13956423</v>
      </c>
      <c r="G50" s="23">
        <f t="shared" si="7"/>
        <v>4129303</v>
      </c>
      <c r="H50" s="23">
        <f t="shared" si="7"/>
        <v>11678325</v>
      </c>
      <c r="I50" s="23">
        <f t="shared" si="7"/>
        <v>2425866</v>
      </c>
      <c r="J50" s="23">
        <f t="shared" si="7"/>
        <v>2141645</v>
      </c>
    </row>
    <row r="51" spans="1:10" s="6" customFormat="1" x14ac:dyDescent="0.3">
      <c r="A51" s="21" t="s">
        <v>55</v>
      </c>
      <c r="B51" s="22">
        <v>1700</v>
      </c>
      <c r="C51" s="23">
        <f t="shared" ref="C51:J51" si="8">C37+C43+C50</f>
        <v>48181606</v>
      </c>
      <c r="D51" s="23">
        <f t="shared" si="8"/>
        <v>48576530</v>
      </c>
      <c r="E51" s="23">
        <f t="shared" si="8"/>
        <v>51107141</v>
      </c>
      <c r="F51" s="23">
        <f t="shared" si="8"/>
        <v>58473580</v>
      </c>
      <c r="G51" s="23">
        <f t="shared" si="8"/>
        <v>50247918</v>
      </c>
      <c r="H51" s="23">
        <f t="shared" si="8"/>
        <v>46444092</v>
      </c>
      <c r="I51" s="23">
        <f t="shared" si="8"/>
        <v>33365697</v>
      </c>
      <c r="J51" s="23">
        <f t="shared" si="8"/>
        <v>29772054</v>
      </c>
    </row>
    <row r="52" spans="1:10" x14ac:dyDescent="0.3">
      <c r="C52" s="4">
        <f t="shared" ref="C52:J52" si="9">C26-C51</f>
        <v>0</v>
      </c>
      <c r="D52" s="4">
        <f t="shared" si="9"/>
        <v>0</v>
      </c>
      <c r="E52" s="4">
        <f t="shared" si="9"/>
        <v>0</v>
      </c>
      <c r="F52" s="4">
        <f t="shared" si="9"/>
        <v>0</v>
      </c>
      <c r="G52" s="4">
        <f t="shared" si="9"/>
        <v>0</v>
      </c>
      <c r="H52" s="4">
        <f t="shared" si="9"/>
        <v>0</v>
      </c>
      <c r="I52" s="4">
        <f t="shared" si="9"/>
        <v>0</v>
      </c>
      <c r="J52" s="4">
        <f t="shared" si="9"/>
        <v>0</v>
      </c>
    </row>
    <row r="53" spans="1:10" x14ac:dyDescent="0.3">
      <c r="D53" s="3"/>
      <c r="E53" s="1"/>
      <c r="G53" s="4"/>
      <c r="I53" s="1"/>
    </row>
  </sheetData>
  <pageMargins left="0.75" right="0.75" top="0.51000000000000023" bottom="0.52" header="0.5" footer="0.5"/>
  <pageSetup paperSize="9" scale="44"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AG51"/>
  <sheetViews>
    <sheetView tabSelected="1" topLeftCell="A40" zoomScale="80" workbookViewId="0">
      <pane xSplit="1" topLeftCell="B1" activePane="topRight" state="frozen"/>
      <selection pane="topRight" activeCell="J40" sqref="J40"/>
    </sheetView>
  </sheetViews>
  <sheetFormatPr defaultColWidth="9.109375" defaultRowHeight="15.6" x14ac:dyDescent="0.3"/>
  <cols>
    <col min="1" max="1" width="35.33203125" style="177" customWidth="1"/>
    <col min="2" max="2" width="16.88671875" style="187" bestFit="1" customWidth="1"/>
    <col min="3" max="33" width="16.5546875" style="187" customWidth="1"/>
    <col min="34" max="16384" width="9.109375" style="177"/>
  </cols>
  <sheetData>
    <row r="1" spans="1:33" x14ac:dyDescent="0.3">
      <c r="A1" s="186" t="s">
        <v>515</v>
      </c>
    </row>
    <row r="2" spans="1:33" x14ac:dyDescent="0.3">
      <c r="A2" s="386" t="s">
        <v>177</v>
      </c>
      <c r="B2" s="386" t="s">
        <v>421</v>
      </c>
      <c r="C2" s="386"/>
      <c r="D2" s="386"/>
      <c r="E2" s="386"/>
      <c r="F2" s="386"/>
      <c r="G2" s="386"/>
      <c r="H2" s="386"/>
      <c r="I2" s="387" t="s">
        <v>422</v>
      </c>
      <c r="J2" s="387"/>
      <c r="K2" s="387"/>
      <c r="L2" s="387"/>
      <c r="M2" s="387"/>
      <c r="N2" s="387"/>
      <c r="O2" s="387"/>
      <c r="P2" s="387" t="s">
        <v>516</v>
      </c>
      <c r="Q2" s="387"/>
      <c r="R2" s="387"/>
      <c r="S2" s="387"/>
      <c r="T2" s="387"/>
      <c r="U2" s="387"/>
      <c r="V2" s="387"/>
      <c r="W2" s="387"/>
      <c r="X2" s="387"/>
      <c r="Y2" s="387"/>
      <c r="Z2" s="387"/>
      <c r="AA2" s="387"/>
      <c r="AB2" s="387"/>
      <c r="AC2" s="387"/>
      <c r="AD2" s="387"/>
      <c r="AE2" s="387"/>
      <c r="AF2" s="387"/>
      <c r="AG2" s="387"/>
    </row>
    <row r="3" spans="1:33" s="192" customFormat="1" x14ac:dyDescent="0.3">
      <c r="A3" s="386"/>
      <c r="B3" s="386"/>
      <c r="C3" s="386"/>
      <c r="D3" s="386"/>
      <c r="E3" s="386"/>
      <c r="F3" s="386"/>
      <c r="G3" s="386"/>
      <c r="H3" s="386"/>
      <c r="I3" s="387"/>
      <c r="J3" s="387"/>
      <c r="K3" s="387"/>
      <c r="L3" s="387"/>
      <c r="M3" s="387"/>
      <c r="N3" s="387"/>
      <c r="O3" s="387"/>
      <c r="P3" s="388" t="str">
        <f>аб!Q22</f>
        <v xml:space="preserve">2019/2018 </v>
      </c>
      <c r="Q3" s="388"/>
      <c r="R3" s="388"/>
      <c r="S3" s="388" t="str">
        <f>аб!T22</f>
        <v>2018/2017</v>
      </c>
      <c r="T3" s="388"/>
      <c r="U3" s="388"/>
      <c r="V3" s="388" t="str">
        <f>аб!W22</f>
        <v>2017/2016</v>
      </c>
      <c r="W3" s="388"/>
      <c r="X3" s="388"/>
      <c r="Y3" s="388" t="str">
        <f>аб!Z22</f>
        <v>2016/2015</v>
      </c>
      <c r="Z3" s="388"/>
      <c r="AA3" s="388"/>
      <c r="AB3" s="388" t="str">
        <f>аб!AC22</f>
        <v>2015/2014</v>
      </c>
      <c r="AC3" s="388"/>
      <c r="AD3" s="388"/>
      <c r="AE3" s="388" t="str">
        <f>аб!AF22</f>
        <v>2014/2013</v>
      </c>
      <c r="AF3" s="388"/>
      <c r="AG3" s="388"/>
    </row>
    <row r="4" spans="1:33" s="192" customFormat="1" ht="31.2" x14ac:dyDescent="0.3">
      <c r="A4" s="386"/>
      <c r="B4" s="257" t="s">
        <v>320</v>
      </c>
      <c r="C4" s="257" t="s">
        <v>321</v>
      </c>
      <c r="D4" s="257" t="s">
        <v>322</v>
      </c>
      <c r="E4" s="257" t="s">
        <v>323</v>
      </c>
      <c r="F4" s="257" t="s">
        <v>324</v>
      </c>
      <c r="G4" s="257" t="s">
        <v>325</v>
      </c>
      <c r="H4" s="257" t="s">
        <v>326</v>
      </c>
      <c r="I4" s="257" t="str">
        <f t="shared" ref="I4:O4" si="0">B4</f>
        <v>2019 год</v>
      </c>
      <c r="J4" s="257" t="str">
        <f t="shared" si="0"/>
        <v>2018 год</v>
      </c>
      <c r="K4" s="257" t="str">
        <f t="shared" si="0"/>
        <v>2017 год</v>
      </c>
      <c r="L4" s="257" t="str">
        <f t="shared" si="0"/>
        <v>2016 год</v>
      </c>
      <c r="M4" s="257" t="str">
        <f t="shared" si="0"/>
        <v>2015 год</v>
      </c>
      <c r="N4" s="257" t="str">
        <f t="shared" si="0"/>
        <v>2014 год</v>
      </c>
      <c r="O4" s="257" t="str">
        <f t="shared" si="0"/>
        <v>2013 год</v>
      </c>
      <c r="P4" s="257" t="str">
        <f>аб!Q23</f>
        <v>в тыс. руб.</v>
      </c>
      <c r="Q4" s="257" t="str">
        <f>аб!R23</f>
        <v>темп прироста, %</v>
      </c>
      <c r="R4" s="257" t="str">
        <f>аб!S23</f>
        <v>в структуре, %</v>
      </c>
      <c r="S4" s="257" t="str">
        <f>аб!T23</f>
        <v>в тыс. руб.</v>
      </c>
      <c r="T4" s="257" t="str">
        <f>аб!U23</f>
        <v>темп прироста, %</v>
      </c>
      <c r="U4" s="257" t="str">
        <f>аб!V23</f>
        <v>в структуре, %</v>
      </c>
      <c r="V4" s="257" t="str">
        <f>аб!W23</f>
        <v>в тыс. руб.</v>
      </c>
      <c r="W4" s="257" t="str">
        <f>аб!X23</f>
        <v>темп прироста, %</v>
      </c>
      <c r="X4" s="257" t="str">
        <f>аб!Y23</f>
        <v>в структуре, %</v>
      </c>
      <c r="Y4" s="257" t="str">
        <f>аб!Z23</f>
        <v>в тыс. руб.</v>
      </c>
      <c r="Z4" s="257" t="str">
        <f>аб!AA23</f>
        <v>темп прироста, %</v>
      </c>
      <c r="AA4" s="257" t="str">
        <f>аб!AB23</f>
        <v>в структуре, %</v>
      </c>
      <c r="AB4" s="257" t="str">
        <f>аб!AC23</f>
        <v>в тыс. руб.</v>
      </c>
      <c r="AC4" s="257" t="str">
        <f>аб!AD23</f>
        <v>темп прироста, %</v>
      </c>
      <c r="AD4" s="257" t="str">
        <f>аб!AE23</f>
        <v>в структуре, %</v>
      </c>
      <c r="AE4" s="257" t="str">
        <f>аб!AF23</f>
        <v>в тыс. руб.</v>
      </c>
      <c r="AF4" s="257" t="str">
        <f>аб!AG23</f>
        <v>темп прироста, %</v>
      </c>
      <c r="AG4" s="257" t="str">
        <f>аб!AH23</f>
        <v>в структуре, %</v>
      </c>
    </row>
    <row r="5" spans="1:33" x14ac:dyDescent="0.3">
      <c r="A5" s="258" t="s">
        <v>517</v>
      </c>
      <c r="B5" s="259">
        <f>'2'!C7</f>
        <v>21650314</v>
      </c>
      <c r="C5" s="259">
        <f>'2'!D7</f>
        <v>27154819</v>
      </c>
      <c r="D5" s="259">
        <f>'2'!E7</f>
        <v>24000677</v>
      </c>
      <c r="E5" s="259">
        <f>'2'!F7</f>
        <v>23253619</v>
      </c>
      <c r="F5" s="259">
        <f>'2'!G7</f>
        <v>26654915</v>
      </c>
      <c r="G5" s="259">
        <f>'2'!H7</f>
        <v>16131092</v>
      </c>
      <c r="H5" s="259">
        <f>'2'!I7</f>
        <v>17359621</v>
      </c>
      <c r="I5" s="260">
        <f t="shared" ref="I5:I9" si="1">(B5/B$5)*100</f>
        <v>100</v>
      </c>
      <c r="J5" s="260">
        <f t="shared" ref="J5:J9" si="2">(C5/C$5)*100</f>
        <v>100</v>
      </c>
      <c r="K5" s="260">
        <f t="shared" ref="K5:K9" si="3">(D5/D$5)*100</f>
        <v>100</v>
      </c>
      <c r="L5" s="260">
        <f t="shared" ref="L5:L9" si="4">(E5/E$5)*100</f>
        <v>100</v>
      </c>
      <c r="M5" s="260">
        <f t="shared" ref="M5:M9" si="5">(F5/F$5)*100</f>
        <v>100</v>
      </c>
      <c r="N5" s="260">
        <f t="shared" ref="N5:N9" si="6">(G5/G$5)*100</f>
        <v>100</v>
      </c>
      <c r="O5" s="260">
        <f t="shared" ref="O5:O9" si="7">(H5/H$5)*100</f>
        <v>100</v>
      </c>
      <c r="P5" s="261">
        <f t="shared" ref="P5:P9" si="8">B5-C5</f>
        <v>-5504505</v>
      </c>
      <c r="Q5" s="262">
        <f t="shared" ref="Q5:Q9" si="9">((B5-C5)/C5)*100</f>
        <v>-20.270821911941304</v>
      </c>
      <c r="R5" s="262">
        <f t="shared" ref="R5:R9" si="10">((B5/$B$5)-(C5/$C$5))*100</f>
        <v>0</v>
      </c>
      <c r="S5" s="261">
        <f t="shared" ref="S5:S9" si="11">C5-D5</f>
        <v>3154142</v>
      </c>
      <c r="T5" s="262">
        <f t="shared" ref="T5:T9" si="12">((C5-D5)/D5)*100</f>
        <v>13.141887622586646</v>
      </c>
      <c r="U5" s="262">
        <f t="shared" ref="U5:U9" si="13">((C5/$C$5)-(D5/$D$5))*100</f>
        <v>0</v>
      </c>
      <c r="V5" s="261">
        <f t="shared" ref="V5:V9" si="14">D5-E5</f>
        <v>747058</v>
      </c>
      <c r="W5" s="262">
        <f t="shared" ref="W5:W9" si="15">((D5-E5)/E5)*100</f>
        <v>3.2126526197922138</v>
      </c>
      <c r="X5" s="262">
        <f t="shared" ref="X5:X9" si="16">((D5/$D$5)-(E5/$E$5))*100</f>
        <v>0</v>
      </c>
      <c r="Y5" s="261">
        <f t="shared" ref="Y5:Y9" si="17">E5-F5</f>
        <v>-3401296</v>
      </c>
      <c r="Z5" s="262">
        <f t="shared" ref="Z5:Z9" si="18">((E5-F5)/F5)*100</f>
        <v>-12.760483385521956</v>
      </c>
      <c r="AA5" s="262">
        <f t="shared" ref="AA5:AA9" si="19">((E5/$E$5)-(F5/$F$5))*100</f>
        <v>0</v>
      </c>
      <c r="AB5" s="261">
        <f t="shared" ref="AB5:AB9" si="20">F5-G5</f>
        <v>10523823</v>
      </c>
      <c r="AC5" s="262">
        <f t="shared" ref="AC5:AC9" si="21">((F5-G5)/G5)*100</f>
        <v>65.239371271331166</v>
      </c>
      <c r="AD5" s="262">
        <f t="shared" ref="AD5:AD9" si="22">((F5/$F$5)-(G5/$G$5))*100</f>
        <v>0</v>
      </c>
      <c r="AE5" s="261">
        <f t="shared" ref="AE5:AE9" si="23">G5-H5</f>
        <v>-1228529</v>
      </c>
      <c r="AF5" s="262">
        <f t="shared" ref="AF5:AF9" si="24">((G5-H5)/H5)*100</f>
        <v>-7.0769344561151417</v>
      </c>
      <c r="AG5" s="262">
        <f t="shared" ref="AG5:AG9" si="25">((G5/$G$5)-(H5/$H$5))*100</f>
        <v>0</v>
      </c>
    </row>
    <row r="6" spans="1:33" ht="31.2" x14ac:dyDescent="0.3">
      <c r="A6" s="178" t="s">
        <v>518</v>
      </c>
      <c r="B6" s="259">
        <f>'2'!C8+'2'!C10+'2'!C11</f>
        <v>-18342702</v>
      </c>
      <c r="C6" s="259">
        <f>'2'!D8+'2'!D10+'2'!D11</f>
        <v>-19744407</v>
      </c>
      <c r="D6" s="259">
        <f>'2'!E8+'2'!E10+'2'!E11</f>
        <v>-17314516</v>
      </c>
      <c r="E6" s="259">
        <f>'2'!F8+'2'!F10+'2'!F11</f>
        <v>-17554473</v>
      </c>
      <c r="F6" s="259">
        <f>'2'!G8+'2'!G10+'2'!G11</f>
        <v>-15035034</v>
      </c>
      <c r="G6" s="259">
        <f>'2'!H8+'2'!H10+'2'!H11</f>
        <v>-12043987</v>
      </c>
      <c r="H6" s="259">
        <f>'2'!I8+'2'!I10+'2'!I11</f>
        <v>-12894116</v>
      </c>
      <c r="I6" s="260">
        <f t="shared" si="1"/>
        <v>-84.722567996011506</v>
      </c>
      <c r="J6" s="260">
        <f t="shared" si="2"/>
        <v>-72.710508584130125</v>
      </c>
      <c r="K6" s="260">
        <f t="shared" si="3"/>
        <v>-72.141781667242128</v>
      </c>
      <c r="L6" s="260">
        <f t="shared" si="4"/>
        <v>-75.491359000936583</v>
      </c>
      <c r="M6" s="260">
        <f t="shared" si="5"/>
        <v>-56.406235022696563</v>
      </c>
      <c r="N6" s="260">
        <f t="shared" si="6"/>
        <v>-74.663184612672225</v>
      </c>
      <c r="O6" s="260">
        <f t="shared" si="7"/>
        <v>-74.276483340275689</v>
      </c>
      <c r="P6" s="261">
        <f t="shared" si="8"/>
        <v>1401705</v>
      </c>
      <c r="Q6" s="262">
        <f t="shared" si="9"/>
        <v>-7.0992509423048258</v>
      </c>
      <c r="R6" s="262">
        <f t="shared" si="10"/>
        <v>-12.012059411881381</v>
      </c>
      <c r="S6" s="261">
        <f t="shared" si="11"/>
        <v>-2429891</v>
      </c>
      <c r="T6" s="262">
        <f t="shared" si="12"/>
        <v>14.033837272725384</v>
      </c>
      <c r="U6" s="262">
        <f t="shared" si="13"/>
        <v>-0.56872691688799604</v>
      </c>
      <c r="V6" s="261">
        <f t="shared" si="14"/>
        <v>239957</v>
      </c>
      <c r="W6" s="262">
        <f t="shared" si="15"/>
        <v>-1.3669279618932451</v>
      </c>
      <c r="X6" s="262">
        <f t="shared" si="16"/>
        <v>3.3495773336944534</v>
      </c>
      <c r="Y6" s="261">
        <f t="shared" si="17"/>
        <v>-2519439</v>
      </c>
      <c r="Z6" s="262">
        <f t="shared" si="18"/>
        <v>16.757122065703342</v>
      </c>
      <c r="AA6" s="262">
        <f t="shared" si="19"/>
        <v>-19.085123978240027</v>
      </c>
      <c r="AB6" s="261">
        <f t="shared" si="20"/>
        <v>-2991047</v>
      </c>
      <c r="AC6" s="262">
        <f t="shared" si="21"/>
        <v>24.83435925329378</v>
      </c>
      <c r="AD6" s="262">
        <f t="shared" si="22"/>
        <v>18.256949589975669</v>
      </c>
      <c r="AE6" s="261">
        <f t="shared" si="23"/>
        <v>850129</v>
      </c>
      <c r="AF6" s="262">
        <f t="shared" si="24"/>
        <v>-6.5931545830671912</v>
      </c>
      <c r="AG6" s="262">
        <f t="shared" si="25"/>
        <v>-0.38670127239653906</v>
      </c>
    </row>
    <row r="7" spans="1:33" s="186" customFormat="1" x14ac:dyDescent="0.3">
      <c r="A7" s="263" t="s">
        <v>519</v>
      </c>
      <c r="B7" s="264">
        <f t="shared" ref="B7:H7" si="26">B5+B6</f>
        <v>3307612</v>
      </c>
      <c r="C7" s="264">
        <f t="shared" si="26"/>
        <v>7410412</v>
      </c>
      <c r="D7" s="264">
        <f t="shared" si="26"/>
        <v>6686161</v>
      </c>
      <c r="E7" s="264">
        <f t="shared" si="26"/>
        <v>5699146</v>
      </c>
      <c r="F7" s="264">
        <f t="shared" si="26"/>
        <v>11619881</v>
      </c>
      <c r="G7" s="264">
        <f t="shared" si="26"/>
        <v>4087105</v>
      </c>
      <c r="H7" s="264">
        <f t="shared" si="26"/>
        <v>4465505</v>
      </c>
      <c r="I7" s="260">
        <f t="shared" si="1"/>
        <v>15.277432003988487</v>
      </c>
      <c r="J7" s="260">
        <f t="shared" si="2"/>
        <v>27.289491415869872</v>
      </c>
      <c r="K7" s="260">
        <f t="shared" si="3"/>
        <v>27.858218332757861</v>
      </c>
      <c r="L7" s="260">
        <f t="shared" si="4"/>
        <v>24.508640999063413</v>
      </c>
      <c r="M7" s="260">
        <f t="shared" si="5"/>
        <v>43.593764977303437</v>
      </c>
      <c r="N7" s="260">
        <f t="shared" si="6"/>
        <v>25.336815387327778</v>
      </c>
      <c r="O7" s="260">
        <f t="shared" si="7"/>
        <v>25.723516659724311</v>
      </c>
      <c r="P7" s="261">
        <f t="shared" si="8"/>
        <v>-4102800</v>
      </c>
      <c r="Q7" s="262">
        <f t="shared" si="9"/>
        <v>-55.36534270969009</v>
      </c>
      <c r="R7" s="262">
        <f t="shared" si="10"/>
        <v>-12.012059411881385</v>
      </c>
      <c r="S7" s="261">
        <f t="shared" si="11"/>
        <v>724251</v>
      </c>
      <c r="T7" s="262">
        <f t="shared" si="12"/>
        <v>10.832090343023449</v>
      </c>
      <c r="U7" s="262">
        <f t="shared" si="13"/>
        <v>-0.56872691688799049</v>
      </c>
      <c r="V7" s="261">
        <f t="shared" si="14"/>
        <v>987015</v>
      </c>
      <c r="W7" s="262">
        <f t="shared" si="15"/>
        <v>17.318647390328305</v>
      </c>
      <c r="X7" s="262">
        <f t="shared" si="16"/>
        <v>3.3495773336944481</v>
      </c>
      <c r="Y7" s="261">
        <f t="shared" si="17"/>
        <v>-5920735</v>
      </c>
      <c r="Z7" s="262">
        <f t="shared" si="18"/>
        <v>-50.953490831790795</v>
      </c>
      <c r="AA7" s="262">
        <f t="shared" si="19"/>
        <v>-19.08512397824002</v>
      </c>
      <c r="AB7" s="261">
        <f t="shared" si="20"/>
        <v>7532776</v>
      </c>
      <c r="AC7" s="262">
        <f t="shared" si="21"/>
        <v>184.30590846087881</v>
      </c>
      <c r="AD7" s="262">
        <f t="shared" si="22"/>
        <v>18.256949589975658</v>
      </c>
      <c r="AE7" s="261">
        <f t="shared" si="23"/>
        <v>-378400</v>
      </c>
      <c r="AF7" s="262">
        <f t="shared" si="24"/>
        <v>-8.4738456232833688</v>
      </c>
      <c r="AG7" s="262">
        <f t="shared" si="25"/>
        <v>-0.38670127239653351</v>
      </c>
    </row>
    <row r="8" spans="1:33" x14ac:dyDescent="0.3">
      <c r="A8" s="178" t="s">
        <v>520</v>
      </c>
      <c r="B8" s="259">
        <f>'2'!C14+'2'!C15+'2'!C16+'2'!C17+'2'!C18</f>
        <v>1159910</v>
      </c>
      <c r="C8" s="259">
        <f>'2'!D14+'2'!D15+'2'!D16+'2'!D17+'2'!D18</f>
        <v>-224792</v>
      </c>
      <c r="D8" s="259">
        <f>'2'!E14+'2'!E15+'2'!E16+'2'!E17+'2'!E18</f>
        <v>3355504</v>
      </c>
      <c r="E8" s="259">
        <f>'2'!F14+'2'!F15+'2'!F16+'2'!F17+'2'!F18</f>
        <v>3689831</v>
      </c>
      <c r="F8" s="259">
        <f>'2'!G14+'2'!G15+'2'!G16+'2'!G17+'2'!G18</f>
        <v>-225962</v>
      </c>
      <c r="G8" s="259">
        <f>'2'!H14+'2'!H15+'2'!H16+'2'!H17+'2'!H18</f>
        <v>-3521583</v>
      </c>
      <c r="H8" s="259">
        <f>'2'!I14+'2'!I15+'2'!I16+'2'!I17+'2'!I18</f>
        <v>629796</v>
      </c>
      <c r="I8" s="260">
        <f t="shared" si="1"/>
        <v>5.3574742611123325</v>
      </c>
      <c r="J8" s="260">
        <f t="shared" si="2"/>
        <v>-0.82781623401724758</v>
      </c>
      <c r="K8" s="260">
        <f t="shared" si="3"/>
        <v>13.98087228956083</v>
      </c>
      <c r="L8" s="260">
        <f t="shared" si="4"/>
        <v>15.867770947825369</v>
      </c>
      <c r="M8" s="260">
        <f t="shared" si="5"/>
        <v>-0.84773108449229717</v>
      </c>
      <c r="N8" s="260">
        <f t="shared" si="6"/>
        <v>-21.831026690567505</v>
      </c>
      <c r="O8" s="260">
        <f t="shared" si="7"/>
        <v>3.6279363472278572</v>
      </c>
      <c r="P8" s="261">
        <f t="shared" si="8"/>
        <v>1384702</v>
      </c>
      <c r="Q8" s="262">
        <f t="shared" si="9"/>
        <v>-615.99256201288301</v>
      </c>
      <c r="R8" s="262">
        <f t="shared" si="10"/>
        <v>6.1852904951295802</v>
      </c>
      <c r="S8" s="261">
        <f t="shared" si="11"/>
        <v>-3580296</v>
      </c>
      <c r="T8" s="262">
        <f t="shared" si="12"/>
        <v>-106.69920226588911</v>
      </c>
      <c r="U8" s="262">
        <f t="shared" si="13"/>
        <v>-14.808688523578079</v>
      </c>
      <c r="V8" s="261">
        <f t="shared" si="14"/>
        <v>-334327</v>
      </c>
      <c r="W8" s="262">
        <f t="shared" si="15"/>
        <v>-9.0607672817535541</v>
      </c>
      <c r="X8" s="262">
        <f t="shared" si="16"/>
        <v>-1.886898658264538</v>
      </c>
      <c r="Y8" s="261">
        <f t="shared" si="17"/>
        <v>3915793</v>
      </c>
      <c r="Z8" s="262">
        <f t="shared" si="18"/>
        <v>-1732.9431497331409</v>
      </c>
      <c r="AA8" s="262">
        <f t="shared" si="19"/>
        <v>16.715502032317666</v>
      </c>
      <c r="AB8" s="261">
        <f t="shared" si="20"/>
        <v>3295621</v>
      </c>
      <c r="AC8" s="262">
        <f t="shared" si="21"/>
        <v>-93.583510597364878</v>
      </c>
      <c r="AD8" s="262">
        <f t="shared" si="22"/>
        <v>20.98329560607521</v>
      </c>
      <c r="AE8" s="261">
        <f t="shared" si="23"/>
        <v>-4151379</v>
      </c>
      <c r="AF8" s="262">
        <f t="shared" si="24"/>
        <v>-659.16249071127788</v>
      </c>
      <c r="AG8" s="262">
        <f t="shared" si="25"/>
        <v>-25.458963037795364</v>
      </c>
    </row>
    <row r="9" spans="1:33" ht="31.2" x14ac:dyDescent="0.3">
      <c r="A9" s="178" t="s">
        <v>521</v>
      </c>
      <c r="B9" s="259">
        <f>'2'!C14+'2'!C15+'2'!C17+'2'!C18</f>
        <v>1159910</v>
      </c>
      <c r="C9" s="259">
        <f>'2'!D14+'2'!D15+'2'!D17+'2'!D18</f>
        <v>-178801</v>
      </c>
      <c r="D9" s="259">
        <f>'2'!E14+'2'!E15+'2'!E17+'2'!E18</f>
        <v>3684640</v>
      </c>
      <c r="E9" s="259">
        <f>'2'!F14+'2'!F15+'2'!F17+'2'!F18</f>
        <v>4464289</v>
      </c>
      <c r="F9" s="259">
        <f>'2'!G14+'2'!G15+'2'!G17+'2'!G18</f>
        <v>651365</v>
      </c>
      <c r="G9" s="259">
        <f>'2'!H14+'2'!H15+'2'!H17+'2'!H18</f>
        <v>-3091112</v>
      </c>
      <c r="H9" s="259">
        <f>'2'!I14+'2'!I15+'2'!I17+'2'!I18</f>
        <v>1049561</v>
      </c>
      <c r="I9" s="260">
        <f t="shared" si="1"/>
        <v>5.3574742611123325</v>
      </c>
      <c r="J9" s="260">
        <f t="shared" si="2"/>
        <v>-0.65845034724775742</v>
      </c>
      <c r="K9" s="260">
        <f t="shared" si="3"/>
        <v>15.352233605743704</v>
      </c>
      <c r="L9" s="260">
        <f t="shared" si="4"/>
        <v>19.1982546888723</v>
      </c>
      <c r="M9" s="260">
        <f t="shared" si="5"/>
        <v>2.4436956561294605</v>
      </c>
      <c r="N9" s="260">
        <f t="shared" si="6"/>
        <v>-19.162447278832705</v>
      </c>
      <c r="O9" s="260">
        <f t="shared" si="7"/>
        <v>6.0459902897649664</v>
      </c>
      <c r="P9" s="261">
        <f t="shared" si="8"/>
        <v>1338711</v>
      </c>
      <c r="Q9" s="262">
        <f t="shared" si="9"/>
        <v>-748.71561121022808</v>
      </c>
      <c r="R9" s="262">
        <f t="shared" si="10"/>
        <v>6.0159246083600904</v>
      </c>
      <c r="S9" s="261">
        <f t="shared" si="11"/>
        <v>-3863441</v>
      </c>
      <c r="T9" s="262">
        <f t="shared" si="12"/>
        <v>-104.85260432498154</v>
      </c>
      <c r="U9" s="262">
        <f t="shared" si="13"/>
        <v>-16.01068395299146</v>
      </c>
      <c r="V9" s="261">
        <f t="shared" si="14"/>
        <v>-779649</v>
      </c>
      <c r="W9" s="262">
        <f t="shared" si="15"/>
        <v>-17.464124746404185</v>
      </c>
      <c r="X9" s="262">
        <f t="shared" si="16"/>
        <v>-3.846021083128595</v>
      </c>
      <c r="Y9" s="261">
        <f t="shared" si="17"/>
        <v>3812924</v>
      </c>
      <c r="Z9" s="262">
        <f t="shared" si="18"/>
        <v>585.37440605497682</v>
      </c>
      <c r="AA9" s="262">
        <f t="shared" si="19"/>
        <v>16.75455903274284</v>
      </c>
      <c r="AB9" s="261">
        <f t="shared" si="20"/>
        <v>3742477</v>
      </c>
      <c r="AC9" s="262">
        <f t="shared" si="21"/>
        <v>-121.07219020210202</v>
      </c>
      <c r="AD9" s="262">
        <f t="shared" si="22"/>
        <v>21.606142934962165</v>
      </c>
      <c r="AE9" s="261">
        <f t="shared" si="23"/>
        <v>-4140673</v>
      </c>
      <c r="AF9" s="262">
        <f t="shared" si="24"/>
        <v>-394.51475426392557</v>
      </c>
      <c r="AG9" s="262">
        <f t="shared" si="25"/>
        <v>-25.20843756859767</v>
      </c>
    </row>
    <row r="10" spans="1:33" x14ac:dyDescent="0.3">
      <c r="A10" s="178" t="s">
        <v>522</v>
      </c>
      <c r="B10" s="259">
        <f>'2'!C16</f>
        <v>0</v>
      </c>
      <c r="C10" s="259">
        <f>'2'!D16</f>
        <v>-45991</v>
      </c>
      <c r="D10" s="259">
        <f>'2'!E16</f>
        <v>-329136</v>
      </c>
      <c r="E10" s="259">
        <f>'2'!F16</f>
        <v>-774458</v>
      </c>
      <c r="F10" s="259">
        <f>'2'!G16</f>
        <v>-877327</v>
      </c>
      <c r="G10" s="259">
        <f>'2'!H16</f>
        <v>-430471</v>
      </c>
      <c r="H10" s="259">
        <f>'2'!I16</f>
        <v>-419765</v>
      </c>
      <c r="I10" s="260">
        <f t="shared" ref="I10:I15" si="27">(B10/B$5)*100</f>
        <v>0</v>
      </c>
      <c r="J10" s="260">
        <f t="shared" ref="J10:J15" si="28">(C10/C$5)*100</f>
        <v>-0.16936588676949016</v>
      </c>
      <c r="K10" s="260">
        <f t="shared" ref="K10:K15" si="29">(D10/D$5)*100</f>
        <v>-1.3713613161828726</v>
      </c>
      <c r="L10" s="260">
        <f t="shared" ref="L10:L15" si="30">(E10/E$5)*100</f>
        <v>-3.3304837410469315</v>
      </c>
      <c r="M10" s="260">
        <f t="shared" ref="M10:M15" si="31">(F10/F$5)*100</f>
        <v>-3.2914267406217577</v>
      </c>
      <c r="N10" s="260">
        <f t="shared" ref="N10:N15" si="32">(G10/G$5)*100</f>
        <v>-2.6685794117348038</v>
      </c>
      <c r="O10" s="260">
        <f t="shared" ref="O10:O15" si="33">(H10/H$5)*100</f>
        <v>-2.4180539425371097</v>
      </c>
      <c r="P10" s="261">
        <f t="shared" ref="P10:P15" si="34">B10-C10</f>
        <v>45991</v>
      </c>
      <c r="Q10" s="262">
        <f t="shared" ref="Q10:Q15" si="35">((B10-C10)/C10)*100</f>
        <v>-100</v>
      </c>
      <c r="R10" s="262">
        <f t="shared" ref="R10:R15" si="36">((B10/$B$5)-(C10/$C$5))*100</f>
        <v>0.16936588676949016</v>
      </c>
      <c r="S10" s="261">
        <f t="shared" ref="S10:S15" si="37">C10-D10</f>
        <v>283145</v>
      </c>
      <c r="T10" s="262">
        <f t="shared" ref="T10:T15" si="38">((C10-D10)/D10)*100</f>
        <v>-86.026748821155991</v>
      </c>
      <c r="U10" s="262">
        <f t="shared" ref="U10:U15" si="39">((C10/$C$5)-(D10/$D$5))*100</f>
        <v>1.2019954294133826</v>
      </c>
      <c r="V10" s="261">
        <f t="shared" ref="V10:V15" si="40">D10-E10</f>
        <v>445322</v>
      </c>
      <c r="W10" s="262">
        <f t="shared" ref="W10:W15" si="41">((D10-E10)/E10)*100</f>
        <v>-57.501116910148774</v>
      </c>
      <c r="X10" s="262">
        <f t="shared" ref="X10:X15" si="42">((D10/$D$5)-(E10/$E$5))*100</f>
        <v>1.9591224248640589</v>
      </c>
      <c r="Y10" s="261">
        <f t="shared" ref="Y10:Y15" si="43">E10-F10</f>
        <v>102869</v>
      </c>
      <c r="Z10" s="262">
        <f t="shared" ref="Z10:Z15" si="44">((E10-F10)/F10)*100</f>
        <v>-11.725274612544695</v>
      </c>
      <c r="AA10" s="262">
        <f t="shared" ref="AA10:AA15" si="45">((E10/$E$5)-(F10/$F$5))*100</f>
        <v>-3.9057000425173766E-2</v>
      </c>
      <c r="AB10" s="261">
        <f t="shared" ref="AB10:AB15" si="46">F10-G10</f>
        <v>-446856</v>
      </c>
      <c r="AC10" s="262">
        <f t="shared" ref="AC10:AC15" si="47">((F10-G10)/G10)*100</f>
        <v>103.80629589449694</v>
      </c>
      <c r="AD10" s="262">
        <f t="shared" ref="AD10:AD15" si="48">((F10/$F$5)-(G10/$G$5))*100</f>
        <v>-0.62284732888695382</v>
      </c>
      <c r="AE10" s="261">
        <f t="shared" ref="AE10:AE15" si="49">G10-H10</f>
        <v>-10706</v>
      </c>
      <c r="AF10" s="262">
        <f t="shared" ref="AF10:AF15" si="50">((G10-H10)/H10)*100</f>
        <v>2.5504746703512682</v>
      </c>
      <c r="AG10" s="262">
        <f t="shared" ref="AG10:AG15" si="51">((G10/$G$5)-(H10/$H$5))*100</f>
        <v>-0.25052546919769431</v>
      </c>
    </row>
    <row r="11" spans="1:33" s="186" customFormat="1" x14ac:dyDescent="0.3">
      <c r="A11" s="263" t="s">
        <v>523</v>
      </c>
      <c r="B11" s="264">
        <f t="shared" ref="B11:H11" si="52">B7+B8</f>
        <v>4467522</v>
      </c>
      <c r="C11" s="264">
        <f t="shared" si="52"/>
        <v>7185620</v>
      </c>
      <c r="D11" s="264">
        <f t="shared" si="52"/>
        <v>10041665</v>
      </c>
      <c r="E11" s="264">
        <f t="shared" si="52"/>
        <v>9388977</v>
      </c>
      <c r="F11" s="264">
        <f t="shared" si="52"/>
        <v>11393919</v>
      </c>
      <c r="G11" s="264">
        <f t="shared" si="52"/>
        <v>565522</v>
      </c>
      <c r="H11" s="264">
        <f t="shared" si="52"/>
        <v>5095301</v>
      </c>
      <c r="I11" s="260">
        <f t="shared" si="27"/>
        <v>20.63490626510082</v>
      </c>
      <c r="J11" s="260">
        <f t="shared" si="28"/>
        <v>26.461675181852623</v>
      </c>
      <c r="K11" s="260">
        <f t="shared" si="29"/>
        <v>41.8390906223187</v>
      </c>
      <c r="L11" s="260">
        <f t="shared" si="30"/>
        <v>40.376411946888787</v>
      </c>
      <c r="M11" s="260">
        <f t="shared" si="31"/>
        <v>42.746033892811134</v>
      </c>
      <c r="N11" s="260">
        <f t="shared" si="32"/>
        <v>3.5057886967602689</v>
      </c>
      <c r="O11" s="260">
        <f t="shared" si="33"/>
        <v>29.351453006952166</v>
      </c>
      <c r="P11" s="261">
        <f t="shared" si="34"/>
        <v>-2718098</v>
      </c>
      <c r="Q11" s="262">
        <f t="shared" si="35"/>
        <v>-37.826909856073662</v>
      </c>
      <c r="R11" s="262">
        <f t="shared" si="36"/>
        <v>-5.8267689167518038</v>
      </c>
      <c r="S11" s="261">
        <f t="shared" si="37"/>
        <v>-2856045</v>
      </c>
      <c r="T11" s="262">
        <f t="shared" si="38"/>
        <v>-28.441946629368736</v>
      </c>
      <c r="U11" s="262">
        <f t="shared" si="39"/>
        <v>-15.377415440466075</v>
      </c>
      <c r="V11" s="261">
        <f t="shared" si="40"/>
        <v>652688</v>
      </c>
      <c r="W11" s="262">
        <f t="shared" si="41"/>
        <v>6.9516412703961254</v>
      </c>
      <c r="X11" s="262">
        <f t="shared" si="42"/>
        <v>1.4626786754299126</v>
      </c>
      <c r="Y11" s="261">
        <f t="shared" si="43"/>
        <v>-2004942</v>
      </c>
      <c r="Z11" s="262">
        <f t="shared" si="44"/>
        <v>-17.596596921568423</v>
      </c>
      <c r="AA11" s="262">
        <f t="shared" si="45"/>
        <v>-2.3696219459223511</v>
      </c>
      <c r="AB11" s="261">
        <f t="shared" si="46"/>
        <v>10828397</v>
      </c>
      <c r="AC11" s="262">
        <f t="shared" si="47"/>
        <v>1914.7614062759715</v>
      </c>
      <c r="AD11" s="262">
        <f t="shared" si="48"/>
        <v>39.240245196050864</v>
      </c>
      <c r="AE11" s="261">
        <f t="shared" si="49"/>
        <v>-4529779</v>
      </c>
      <c r="AF11" s="262">
        <f t="shared" si="50"/>
        <v>-88.901107118107447</v>
      </c>
      <c r="AG11" s="262">
        <f t="shared" si="51"/>
        <v>-25.845664310191896</v>
      </c>
    </row>
    <row r="12" spans="1:33" ht="31.2" x14ac:dyDescent="0.3">
      <c r="A12" s="178" t="s">
        <v>524</v>
      </c>
      <c r="B12" s="259">
        <f>'2'!C20+'2'!C22+'2'!C23+'2'!C24</f>
        <v>-779539</v>
      </c>
      <c r="C12" s="259">
        <f>'2'!D20+'2'!D22+'2'!D23+'2'!D24</f>
        <v>-2439640</v>
      </c>
      <c r="D12" s="259">
        <f>'2'!E20+'2'!E22+'2'!E23+'2'!E24</f>
        <v>-1985358</v>
      </c>
      <c r="E12" s="259">
        <f>'2'!F20+'2'!F22+'2'!F23+'2'!F24</f>
        <v>-1929979</v>
      </c>
      <c r="F12" s="259">
        <f>'2'!G20+'2'!G22+'2'!G23+'2'!G24</f>
        <v>-2319525</v>
      </c>
      <c r="G12" s="259">
        <f>'2'!H20+'2'!H22+'2'!H23+'2'!H24</f>
        <v>-153034</v>
      </c>
      <c r="H12" s="259">
        <f>'2'!I20+'2'!I22+'2'!I23+'2'!I24</f>
        <v>-1066861</v>
      </c>
      <c r="I12" s="260">
        <f t="shared" si="27"/>
        <v>-3.6005898113071249</v>
      </c>
      <c r="J12" s="260">
        <f t="shared" si="28"/>
        <v>-8.9841880367532561</v>
      </c>
      <c r="K12" s="260">
        <f t="shared" si="29"/>
        <v>-8.2720916580811448</v>
      </c>
      <c r="L12" s="260">
        <f t="shared" si="30"/>
        <v>-8.2996930499291306</v>
      </c>
      <c r="M12" s="260">
        <f t="shared" si="31"/>
        <v>-8.7020536362618301</v>
      </c>
      <c r="N12" s="260">
        <f t="shared" si="32"/>
        <v>-0.94868964853712323</v>
      </c>
      <c r="O12" s="260">
        <f t="shared" si="33"/>
        <v>-6.145646843326821</v>
      </c>
      <c r="P12" s="261">
        <f t="shared" si="34"/>
        <v>1660101</v>
      </c>
      <c r="Q12" s="262">
        <f t="shared" si="35"/>
        <v>-68.046965945795279</v>
      </c>
      <c r="R12" s="262">
        <f t="shared" si="36"/>
        <v>5.3835982254461312</v>
      </c>
      <c r="S12" s="261">
        <f t="shared" si="37"/>
        <v>-454282</v>
      </c>
      <c r="T12" s="262">
        <f t="shared" si="38"/>
        <v>22.881616313027674</v>
      </c>
      <c r="U12" s="262">
        <f t="shared" si="39"/>
        <v>-0.71209637867211129</v>
      </c>
      <c r="V12" s="261">
        <f t="shared" si="40"/>
        <v>-55379</v>
      </c>
      <c r="W12" s="262">
        <f t="shared" si="41"/>
        <v>2.8694094598956776</v>
      </c>
      <c r="X12" s="262">
        <f t="shared" si="42"/>
        <v>2.7601391847986712E-2</v>
      </c>
      <c r="Y12" s="261">
        <f t="shared" si="43"/>
        <v>389546</v>
      </c>
      <c r="Z12" s="262">
        <f t="shared" si="44"/>
        <v>-16.794214332675871</v>
      </c>
      <c r="AA12" s="262">
        <f t="shared" si="45"/>
        <v>0.40236058633269928</v>
      </c>
      <c r="AB12" s="261">
        <f t="shared" si="46"/>
        <v>-2166491</v>
      </c>
      <c r="AC12" s="262">
        <f t="shared" si="47"/>
        <v>1415.6925911888861</v>
      </c>
      <c r="AD12" s="262">
        <f t="shared" si="48"/>
        <v>-7.7533639877247067</v>
      </c>
      <c r="AE12" s="261">
        <f t="shared" si="49"/>
        <v>913827</v>
      </c>
      <c r="AF12" s="262">
        <f t="shared" si="50"/>
        <v>-85.655675856554879</v>
      </c>
      <c r="AG12" s="262">
        <f t="shared" si="51"/>
        <v>5.1969571947896984</v>
      </c>
    </row>
    <row r="13" spans="1:33" s="186" customFormat="1" x14ac:dyDescent="0.3">
      <c r="A13" s="263" t="s">
        <v>525</v>
      </c>
      <c r="B13" s="264">
        <f t="shared" ref="B13:H13" si="53">B11+B12</f>
        <v>3687983</v>
      </c>
      <c r="C13" s="264">
        <f t="shared" si="53"/>
        <v>4745980</v>
      </c>
      <c r="D13" s="264">
        <f t="shared" si="53"/>
        <v>8056307</v>
      </c>
      <c r="E13" s="264">
        <f t="shared" si="53"/>
        <v>7458998</v>
      </c>
      <c r="F13" s="264">
        <f t="shared" si="53"/>
        <v>9074394</v>
      </c>
      <c r="G13" s="264">
        <f t="shared" si="53"/>
        <v>412488</v>
      </c>
      <c r="H13" s="264">
        <f t="shared" si="53"/>
        <v>4028440</v>
      </c>
      <c r="I13" s="260">
        <f t="shared" si="27"/>
        <v>17.034316453793696</v>
      </c>
      <c r="J13" s="260">
        <f t="shared" si="28"/>
        <v>17.477487145099367</v>
      </c>
      <c r="K13" s="260">
        <f t="shared" si="29"/>
        <v>33.566998964237548</v>
      </c>
      <c r="L13" s="260">
        <f t="shared" si="30"/>
        <v>32.076718896959648</v>
      </c>
      <c r="M13" s="260">
        <f t="shared" si="31"/>
        <v>34.043980256549304</v>
      </c>
      <c r="N13" s="260">
        <f t="shared" si="32"/>
        <v>2.5570990482231459</v>
      </c>
      <c r="O13" s="260">
        <f t="shared" si="33"/>
        <v>23.205806163625347</v>
      </c>
      <c r="P13" s="261">
        <f t="shared" si="34"/>
        <v>-1057997</v>
      </c>
      <c r="Q13" s="262">
        <f t="shared" si="35"/>
        <v>-22.292487536820634</v>
      </c>
      <c r="R13" s="262">
        <f t="shared" si="36"/>
        <v>-0.44317069130566933</v>
      </c>
      <c r="S13" s="261">
        <f t="shared" si="37"/>
        <v>-3310327</v>
      </c>
      <c r="T13" s="262">
        <f t="shared" si="38"/>
        <v>-41.089881505260415</v>
      </c>
      <c r="U13" s="262">
        <f t="shared" si="39"/>
        <v>-16.089511819138185</v>
      </c>
      <c r="V13" s="261">
        <f t="shared" si="40"/>
        <v>597309</v>
      </c>
      <c r="W13" s="262">
        <f t="shared" si="41"/>
        <v>8.0078986480489736</v>
      </c>
      <c r="X13" s="262">
        <f t="shared" si="42"/>
        <v>1.4902800672778993</v>
      </c>
      <c r="Y13" s="261">
        <f t="shared" si="43"/>
        <v>-1615396</v>
      </c>
      <c r="Z13" s="262">
        <f t="shared" si="44"/>
        <v>-17.801695628380255</v>
      </c>
      <c r="AA13" s="262">
        <f t="shared" si="45"/>
        <v>-1.967261359589656</v>
      </c>
      <c r="AB13" s="261">
        <f t="shared" si="46"/>
        <v>8661906</v>
      </c>
      <c r="AC13" s="262">
        <f t="shared" si="47"/>
        <v>2099.9170884971199</v>
      </c>
      <c r="AD13" s="262">
        <f t="shared" si="48"/>
        <v>31.48688120832616</v>
      </c>
      <c r="AE13" s="261">
        <f t="shared" si="49"/>
        <v>-3615952</v>
      </c>
      <c r="AF13" s="262">
        <f t="shared" si="50"/>
        <v>-89.760602118934372</v>
      </c>
      <c r="AG13" s="262">
        <f t="shared" si="51"/>
        <v>-20.6487071154022</v>
      </c>
    </row>
    <row r="14" spans="1:33" x14ac:dyDescent="0.3">
      <c r="A14" s="178" t="s">
        <v>115</v>
      </c>
      <c r="B14" s="259">
        <f>'3'!H131</f>
        <v>-9017024</v>
      </c>
      <c r="C14" s="261">
        <f>'3'!H113</f>
        <v>-6128075</v>
      </c>
      <c r="D14" s="261">
        <f>'3'!H95</f>
        <v>-2188598</v>
      </c>
      <c r="E14" s="261">
        <f>'3'!H77</f>
        <v>-1136768</v>
      </c>
      <c r="F14" s="261">
        <f>'3'!H59</f>
        <v>-280140</v>
      </c>
      <c r="G14" s="261">
        <f>'3'!H41</f>
        <v>-185108</v>
      </c>
      <c r="H14" s="261">
        <f>'3'!H23</f>
        <v>-185108</v>
      </c>
      <c r="I14" s="260">
        <f t="shared" si="27"/>
        <v>-41.64846754647531</v>
      </c>
      <c r="J14" s="260">
        <f t="shared" si="28"/>
        <v>-22.567173067881615</v>
      </c>
      <c r="K14" s="260">
        <f t="shared" si="29"/>
        <v>-9.1189011043313499</v>
      </c>
      <c r="L14" s="260">
        <f t="shared" si="30"/>
        <v>-4.8885637973168823</v>
      </c>
      <c r="M14" s="260">
        <f t="shared" si="31"/>
        <v>-1.0509881573435893</v>
      </c>
      <c r="N14" s="260">
        <f t="shared" si="32"/>
        <v>-1.1475230567155652</v>
      </c>
      <c r="O14" s="260">
        <f t="shared" si="33"/>
        <v>-1.0663136021229958</v>
      </c>
      <c r="P14" s="261">
        <f t="shared" si="34"/>
        <v>-2888949</v>
      </c>
      <c r="Q14" s="262">
        <f t="shared" si="35"/>
        <v>47.142846652496914</v>
      </c>
      <c r="R14" s="262">
        <f t="shared" si="36"/>
        <v>-19.081294478593694</v>
      </c>
      <c r="S14" s="261">
        <f t="shared" si="37"/>
        <v>-3939477</v>
      </c>
      <c r="T14" s="262">
        <f t="shared" si="38"/>
        <v>180.00002741481075</v>
      </c>
      <c r="U14" s="262">
        <f t="shared" si="39"/>
        <v>-13.448271963550267</v>
      </c>
      <c r="V14" s="261">
        <f t="shared" si="40"/>
        <v>-1051830</v>
      </c>
      <c r="W14" s="262">
        <f t="shared" si="41"/>
        <v>92.528114795631126</v>
      </c>
      <c r="X14" s="262">
        <f t="shared" si="42"/>
        <v>-4.2303373070144676</v>
      </c>
      <c r="Y14" s="261">
        <f t="shared" si="43"/>
        <v>-856628</v>
      </c>
      <c r="Z14" s="262">
        <f t="shared" si="44"/>
        <v>305.78567858927681</v>
      </c>
      <c r="AA14" s="262">
        <f t="shared" si="45"/>
        <v>-3.8375756399732923</v>
      </c>
      <c r="AB14" s="261">
        <f t="shared" si="46"/>
        <v>-95032</v>
      </c>
      <c r="AC14" s="262">
        <f t="shared" si="47"/>
        <v>51.338677960974131</v>
      </c>
      <c r="AD14" s="262">
        <f t="shared" si="48"/>
        <v>9.6534899371975874E-2</v>
      </c>
      <c r="AE14" s="261">
        <f t="shared" si="49"/>
        <v>0</v>
      </c>
      <c r="AF14" s="262">
        <f t="shared" si="50"/>
        <v>0</v>
      </c>
      <c r="AG14" s="262">
        <f t="shared" si="51"/>
        <v>-8.1209454592569452E-2</v>
      </c>
    </row>
    <row r="15" spans="1:33" s="186" customFormat="1" x14ac:dyDescent="0.3">
      <c r="A15" s="263" t="s">
        <v>526</v>
      </c>
      <c r="B15" s="264">
        <f t="shared" ref="B15:H15" si="54">B13+B14</f>
        <v>-5329041</v>
      </c>
      <c r="C15" s="264">
        <f t="shared" si="54"/>
        <v>-1382095</v>
      </c>
      <c r="D15" s="264">
        <f t="shared" si="54"/>
        <v>5867709</v>
      </c>
      <c r="E15" s="264">
        <f t="shared" si="54"/>
        <v>6322230</v>
      </c>
      <c r="F15" s="264">
        <f t="shared" si="54"/>
        <v>8794254</v>
      </c>
      <c r="G15" s="264">
        <f t="shared" si="54"/>
        <v>227380</v>
      </c>
      <c r="H15" s="264">
        <f t="shared" si="54"/>
        <v>3843332</v>
      </c>
      <c r="I15" s="260">
        <f t="shared" si="27"/>
        <v>-24.614151092681613</v>
      </c>
      <c r="J15" s="260">
        <f t="shared" si="28"/>
        <v>-5.0896859227822508</v>
      </c>
      <c r="K15" s="260">
        <f t="shared" si="29"/>
        <v>24.448097859906202</v>
      </c>
      <c r="L15" s="260">
        <f t="shared" si="30"/>
        <v>27.188155099642771</v>
      </c>
      <c r="M15" s="260">
        <f t="shared" si="31"/>
        <v>32.992992099205722</v>
      </c>
      <c r="N15" s="260">
        <f t="shared" si="32"/>
        <v>1.4095759915075805</v>
      </c>
      <c r="O15" s="260">
        <f t="shared" si="33"/>
        <v>22.139492561502351</v>
      </c>
      <c r="P15" s="261">
        <f t="shared" si="34"/>
        <v>-3946946</v>
      </c>
      <c r="Q15" s="262">
        <f t="shared" si="35"/>
        <v>285.5770406520536</v>
      </c>
      <c r="R15" s="262">
        <f t="shared" si="36"/>
        <v>-19.524465169899365</v>
      </c>
      <c r="S15" s="261">
        <f t="shared" si="37"/>
        <v>-7249804</v>
      </c>
      <c r="T15" s="262">
        <f t="shared" si="38"/>
        <v>-123.55425260523315</v>
      </c>
      <c r="U15" s="262">
        <f t="shared" si="39"/>
        <v>-29.537783782688454</v>
      </c>
      <c r="V15" s="261">
        <f t="shared" si="40"/>
        <v>-454521</v>
      </c>
      <c r="W15" s="262">
        <f t="shared" si="41"/>
        <v>-7.189251261026568</v>
      </c>
      <c r="X15" s="262">
        <f t="shared" si="42"/>
        <v>-2.7400572397365681</v>
      </c>
      <c r="Y15" s="261">
        <f t="shared" si="43"/>
        <v>-2472024</v>
      </c>
      <c r="Z15" s="262">
        <f t="shared" si="44"/>
        <v>-28.109536067527728</v>
      </c>
      <c r="AA15" s="262">
        <f t="shared" si="45"/>
        <v>-5.8048369995629514</v>
      </c>
      <c r="AB15" s="261">
        <f t="shared" si="46"/>
        <v>8566874</v>
      </c>
      <c r="AC15" s="262">
        <f t="shared" si="47"/>
        <v>3767.6462309789777</v>
      </c>
      <c r="AD15" s="262">
        <f t="shared" si="48"/>
        <v>31.583416107698142</v>
      </c>
      <c r="AE15" s="261">
        <f t="shared" si="49"/>
        <v>-3615952</v>
      </c>
      <c r="AF15" s="262">
        <f t="shared" si="50"/>
        <v>-94.083779387260847</v>
      </c>
      <c r="AG15" s="262">
        <f t="shared" si="51"/>
        <v>-20.729916569994771</v>
      </c>
    </row>
    <row r="16" spans="1:33" s="64" customFormat="1" x14ac:dyDescent="0.3">
      <c r="A16" s="77"/>
      <c r="B16" s="33"/>
      <c r="C16" s="33"/>
      <c r="D16" s="265"/>
      <c r="E16" s="265"/>
      <c r="F16" s="265"/>
      <c r="G16" s="265"/>
      <c r="H16" s="266"/>
      <c r="I16" s="266"/>
      <c r="J16" s="266"/>
      <c r="K16" s="33"/>
      <c r="L16" s="33"/>
      <c r="M16" s="33"/>
      <c r="N16" s="33"/>
      <c r="O16" s="33"/>
      <c r="P16" s="33"/>
      <c r="Q16" s="33"/>
      <c r="R16" s="33"/>
      <c r="S16" s="33"/>
      <c r="T16" s="33"/>
      <c r="U16" s="33"/>
      <c r="V16" s="33"/>
      <c r="W16" s="33"/>
      <c r="X16" s="33"/>
      <c r="Y16" s="33"/>
      <c r="Z16" s="33"/>
      <c r="AA16" s="33"/>
      <c r="AB16" s="33"/>
      <c r="AC16" s="33"/>
      <c r="AD16" s="33"/>
      <c r="AE16" s="33"/>
      <c r="AF16" s="33"/>
      <c r="AG16" s="33"/>
    </row>
    <row r="17" spans="1:33" s="64" customFormat="1" ht="31.5" customHeight="1" x14ac:dyDescent="0.3">
      <c r="A17" s="389" t="s">
        <v>472</v>
      </c>
      <c r="B17" s="390" t="s">
        <v>527</v>
      </c>
      <c r="C17" s="391"/>
      <c r="D17" s="391"/>
      <c r="E17" s="391"/>
      <c r="F17" s="391"/>
      <c r="G17" s="391"/>
      <c r="H17" s="391"/>
      <c r="I17" s="391"/>
      <c r="J17" s="391"/>
      <c r="K17" s="391"/>
      <c r="L17" s="391"/>
      <c r="M17" s="391"/>
      <c r="N17" s="391"/>
      <c r="O17" s="391"/>
      <c r="P17" s="33"/>
      <c r="Q17" s="33"/>
      <c r="R17" s="33"/>
      <c r="S17" s="33"/>
      <c r="T17" s="33"/>
      <c r="U17" s="33"/>
      <c r="V17" s="33"/>
      <c r="W17" s="33"/>
      <c r="X17" s="33"/>
      <c r="Y17" s="33"/>
      <c r="Z17" s="33"/>
      <c r="AA17" s="33"/>
      <c r="AB17" s="33"/>
      <c r="AC17" s="33"/>
      <c r="AD17" s="33"/>
      <c r="AE17" s="33"/>
      <c r="AF17" s="33"/>
      <c r="AG17" s="33"/>
    </row>
    <row r="18" spans="1:33" s="64" customFormat="1" ht="31.5" customHeight="1" x14ac:dyDescent="0.3">
      <c r="A18" s="389"/>
      <c r="B18" s="391"/>
      <c r="C18" s="391"/>
      <c r="D18" s="391"/>
      <c r="E18" s="391"/>
      <c r="F18" s="391"/>
      <c r="G18" s="391"/>
      <c r="H18" s="391"/>
      <c r="I18" s="391"/>
      <c r="J18" s="391"/>
      <c r="K18" s="391"/>
      <c r="L18" s="391"/>
      <c r="M18" s="391"/>
      <c r="N18" s="391"/>
      <c r="O18" s="391"/>
      <c r="P18" s="33"/>
      <c r="Q18" s="33"/>
      <c r="R18" s="33"/>
      <c r="S18" s="33"/>
      <c r="T18" s="33"/>
      <c r="U18" s="33"/>
      <c r="V18" s="33"/>
      <c r="W18" s="33"/>
      <c r="X18" s="33"/>
      <c r="Y18" s="33"/>
      <c r="Z18" s="33"/>
      <c r="AA18" s="33"/>
      <c r="AB18" s="33"/>
      <c r="AC18" s="33"/>
      <c r="AD18" s="33"/>
      <c r="AE18" s="33"/>
      <c r="AF18" s="33"/>
      <c r="AG18" s="33"/>
    </row>
    <row r="19" spans="1:33" s="64" customFormat="1" ht="31.5" customHeight="1" x14ac:dyDescent="0.3">
      <c r="A19" s="389"/>
      <c r="B19" s="391"/>
      <c r="C19" s="391"/>
      <c r="D19" s="391"/>
      <c r="E19" s="391"/>
      <c r="F19" s="391"/>
      <c r="G19" s="391"/>
      <c r="H19" s="391"/>
      <c r="I19" s="391"/>
      <c r="J19" s="391"/>
      <c r="K19" s="391"/>
      <c r="L19" s="391"/>
      <c r="M19" s="391"/>
      <c r="N19" s="391"/>
      <c r="O19" s="391"/>
      <c r="P19" s="33"/>
      <c r="Q19" s="33"/>
      <c r="R19" s="33"/>
      <c r="S19" s="33"/>
      <c r="T19" s="33"/>
      <c r="U19" s="33"/>
      <c r="V19" s="33"/>
      <c r="W19" s="33"/>
      <c r="X19" s="33"/>
      <c r="Y19" s="33"/>
      <c r="Z19" s="33"/>
      <c r="AA19" s="33"/>
      <c r="AB19" s="33"/>
      <c r="AC19" s="33"/>
      <c r="AD19" s="33"/>
      <c r="AE19" s="33"/>
      <c r="AF19" s="33"/>
      <c r="AG19" s="33"/>
    </row>
    <row r="21" spans="1:33" x14ac:dyDescent="0.3">
      <c r="A21" s="186" t="s">
        <v>528</v>
      </c>
    </row>
    <row r="22" spans="1:33" x14ac:dyDescent="0.3">
      <c r="A22" s="267" t="s">
        <v>177</v>
      </c>
      <c r="B22" s="267" t="str">
        <f>аб!C23</f>
        <v>2019 год</v>
      </c>
      <c r="C22" s="267" t="str">
        <f>аб!D23</f>
        <v>2018 год</v>
      </c>
      <c r="D22" s="267" t="str">
        <f>аб!E23</f>
        <v>2017 год</v>
      </c>
      <c r="E22" s="267" t="str">
        <f>аб!F23</f>
        <v>2016 год</v>
      </c>
      <c r="F22" s="267" t="str">
        <f>аб!G23</f>
        <v>2015 год</v>
      </c>
      <c r="G22" s="267" t="str">
        <f>аб!H23</f>
        <v>2014 год</v>
      </c>
      <c r="H22" s="267" t="str">
        <f>аб!I23</f>
        <v>2013 год</v>
      </c>
    </row>
    <row r="23" spans="1:33" x14ac:dyDescent="0.3">
      <c r="A23" s="392" t="str">
        <f>'[2]2'!A7</f>
        <v xml:space="preserve">   Доходы и расходы по обычным видам деятельности</v>
      </c>
      <c r="B23" s="393"/>
      <c r="C23" s="393"/>
      <c r="D23" s="393"/>
      <c r="E23" s="393"/>
      <c r="F23" s="393"/>
      <c r="G23" s="393"/>
      <c r="H23" s="394"/>
    </row>
    <row r="24" spans="1:33" x14ac:dyDescent="0.3">
      <c r="A24" s="190" t="str">
        <f>'[2]2'!A8</f>
        <v xml:space="preserve">Выручка </v>
      </c>
      <c r="B24" s="268">
        <f>'2'!C7</f>
        <v>21650314</v>
      </c>
      <c r="C24" s="269">
        <f>'2'!D7</f>
        <v>27154819</v>
      </c>
      <c r="D24" s="268">
        <f>'2'!E7</f>
        <v>24000677</v>
      </c>
      <c r="E24" s="269">
        <f>'2'!F7</f>
        <v>23253619</v>
      </c>
      <c r="F24" s="268">
        <f>'2'!G7</f>
        <v>26654915</v>
      </c>
      <c r="G24" s="269">
        <f>'2'!H7</f>
        <v>16131092</v>
      </c>
      <c r="H24" s="268">
        <f>'2'!I7</f>
        <v>17359621</v>
      </c>
    </row>
    <row r="25" spans="1:33" x14ac:dyDescent="0.3">
      <c r="A25" s="190" t="str">
        <f>'[2]2'!A9</f>
        <v>Себестоимость продаж</v>
      </c>
      <c r="B25" s="268">
        <f>'2'!C8</f>
        <v>-13418367</v>
      </c>
      <c r="C25" s="268">
        <f>'2'!D8</f>
        <v>-14616025</v>
      </c>
      <c r="D25" s="269">
        <f>'2'!E8</f>
        <v>-12781114</v>
      </c>
      <c r="E25" s="268">
        <f>'2'!F8</f>
        <v>-12937806</v>
      </c>
      <c r="F25" s="269">
        <f>'2'!G8</f>
        <v>-11257301</v>
      </c>
      <c r="G25" s="268">
        <f>'2'!H8</f>
        <v>-8937073</v>
      </c>
      <c r="H25" s="268">
        <f>'2'!I8</f>
        <v>-9560909</v>
      </c>
      <c r="K25" s="187" t="s">
        <v>529</v>
      </c>
    </row>
    <row r="26" spans="1:33" s="186" customFormat="1" x14ac:dyDescent="0.3">
      <c r="A26" s="270" t="str">
        <f>'[2]2'!A10</f>
        <v>Валовая прибыль</v>
      </c>
      <c r="B26" s="271">
        <f>'2'!C9</f>
        <v>8231947</v>
      </c>
      <c r="C26" s="272">
        <f>'2'!D9</f>
        <v>12538794</v>
      </c>
      <c r="D26" s="271">
        <f>'2'!E9</f>
        <v>11219563</v>
      </c>
      <c r="E26" s="272">
        <f>'2'!F9</f>
        <v>10315813</v>
      </c>
      <c r="F26" s="271">
        <f>'2'!G9</f>
        <v>15397614</v>
      </c>
      <c r="G26" s="272">
        <f>'2'!H9</f>
        <v>7194019</v>
      </c>
      <c r="H26" s="271">
        <f>'2'!I9</f>
        <v>7798712</v>
      </c>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row>
    <row r="27" spans="1:33" x14ac:dyDescent="0.3">
      <c r="A27" s="190" t="str">
        <f>'[2]2'!A11</f>
        <v>Коммерческие расходы</v>
      </c>
      <c r="B27" s="268">
        <f>'2'!C10</f>
        <v>-2751252</v>
      </c>
      <c r="C27" s="268">
        <f>'2'!D10</f>
        <v>-3080637</v>
      </c>
      <c r="D27" s="269">
        <f>'2'!E10</f>
        <v>-2719112</v>
      </c>
      <c r="E27" s="268">
        <f>'2'!F10</f>
        <v>-2388888</v>
      </c>
      <c r="F27" s="269">
        <f>'2'!G10</f>
        <v>-2064941</v>
      </c>
      <c r="G27" s="268">
        <f>'2'!H10</f>
        <v>-1715664</v>
      </c>
      <c r="H27" s="268">
        <f>'2'!I10</f>
        <v>-2082936</v>
      </c>
      <c r="J27" s="390" t="s">
        <v>711</v>
      </c>
      <c r="K27" s="391"/>
      <c r="L27" s="391"/>
      <c r="M27" s="391"/>
      <c r="N27" s="391"/>
      <c r="O27" s="391"/>
      <c r="P27" s="391"/>
      <c r="Q27" s="391"/>
      <c r="R27" s="391"/>
      <c r="S27" s="391"/>
      <c r="T27" s="391"/>
      <c r="U27" s="391"/>
    </row>
    <row r="28" spans="1:33" x14ac:dyDescent="0.3">
      <c r="A28" s="190" t="str">
        <f>'[2]2'!A12</f>
        <v>Управленческие расходы</v>
      </c>
      <c r="B28" s="268">
        <f>'2'!C11</f>
        <v>-2173083</v>
      </c>
      <c r="C28" s="269">
        <f>'2'!D11</f>
        <v>-2047745</v>
      </c>
      <c r="D28" s="268">
        <f>'2'!E11</f>
        <v>-1814290</v>
      </c>
      <c r="E28" s="269">
        <f>'2'!F11</f>
        <v>-2227779</v>
      </c>
      <c r="F28" s="268">
        <f>'2'!G11</f>
        <v>-1712792</v>
      </c>
      <c r="G28" s="269">
        <f>'2'!H11</f>
        <v>-1391250</v>
      </c>
      <c r="H28" s="268">
        <f>'2'!I11</f>
        <v>-1250271</v>
      </c>
      <c r="J28" s="391"/>
      <c r="K28" s="391"/>
      <c r="L28" s="391"/>
      <c r="M28" s="391"/>
      <c r="N28" s="391"/>
      <c r="O28" s="391"/>
      <c r="P28" s="391"/>
      <c r="Q28" s="391"/>
      <c r="R28" s="391"/>
      <c r="S28" s="391"/>
      <c r="T28" s="391"/>
      <c r="U28" s="391"/>
    </row>
    <row r="29" spans="1:33" s="186" customFormat="1" x14ac:dyDescent="0.3">
      <c r="A29" s="270" t="str">
        <f>'[2]2'!A13</f>
        <v>Прибыль (убыток) от продаж</v>
      </c>
      <c r="B29" s="271">
        <f>'2'!C12</f>
        <v>3307612</v>
      </c>
      <c r="C29" s="271">
        <f>'2'!D12</f>
        <v>7410412</v>
      </c>
      <c r="D29" s="272">
        <f>'2'!E12</f>
        <v>6686161</v>
      </c>
      <c r="E29" s="271">
        <f>'2'!F12</f>
        <v>5699146</v>
      </c>
      <c r="F29" s="272">
        <f>'2'!G12</f>
        <v>11619881</v>
      </c>
      <c r="G29" s="271">
        <f>'2'!H12</f>
        <v>4087105</v>
      </c>
      <c r="H29" s="271">
        <f>'2'!I12</f>
        <v>4465505</v>
      </c>
      <c r="I29" s="273"/>
      <c r="J29" s="391"/>
      <c r="K29" s="391"/>
      <c r="L29" s="391"/>
      <c r="M29" s="391"/>
      <c r="N29" s="391"/>
      <c r="O29" s="391"/>
      <c r="P29" s="391"/>
      <c r="Q29" s="391"/>
      <c r="R29" s="391"/>
      <c r="S29" s="391"/>
      <c r="T29" s="391"/>
      <c r="U29" s="391"/>
      <c r="V29" s="273"/>
      <c r="W29" s="273"/>
      <c r="X29" s="273"/>
      <c r="Y29" s="273"/>
      <c r="Z29" s="273"/>
      <c r="AA29" s="273"/>
      <c r="AB29" s="273"/>
      <c r="AC29" s="273"/>
      <c r="AD29" s="273"/>
      <c r="AE29" s="273"/>
      <c r="AF29" s="273"/>
      <c r="AG29" s="273"/>
    </row>
    <row r="30" spans="1:33" x14ac:dyDescent="0.3">
      <c r="A30" s="392" t="str">
        <f>'[2]2'!A14</f>
        <v xml:space="preserve">    Прочие доходы и расходы</v>
      </c>
      <c r="B30" s="393"/>
      <c r="C30" s="393"/>
      <c r="D30" s="393"/>
      <c r="E30" s="393"/>
      <c r="F30" s="393"/>
      <c r="G30" s="393"/>
      <c r="H30" s="394"/>
      <c r="I30" s="389" t="s">
        <v>472</v>
      </c>
      <c r="J30" s="391"/>
      <c r="K30" s="391"/>
      <c r="L30" s="391"/>
      <c r="M30" s="391"/>
      <c r="N30" s="391"/>
      <c r="O30" s="391"/>
      <c r="P30" s="391"/>
      <c r="Q30" s="391"/>
      <c r="R30" s="391"/>
      <c r="S30" s="391"/>
      <c r="T30" s="391"/>
      <c r="U30" s="391"/>
    </row>
    <row r="31" spans="1:33" x14ac:dyDescent="0.3">
      <c r="A31" s="190" t="str">
        <f>'[2]2'!A16</f>
        <v>Проценты к получению</v>
      </c>
      <c r="B31" s="268">
        <f>'2'!C15</f>
        <v>1578176</v>
      </c>
      <c r="C31" s="269">
        <f>'2'!D15</f>
        <v>2026212</v>
      </c>
      <c r="D31" s="268">
        <f>'2'!E15</f>
        <v>3097686</v>
      </c>
      <c r="E31" s="269">
        <f>'2'!F15</f>
        <v>3730206</v>
      </c>
      <c r="F31" s="268">
        <f>'2'!G15</f>
        <v>3530157</v>
      </c>
      <c r="G31" s="269">
        <f>'2'!H15</f>
        <v>2116170</v>
      </c>
      <c r="H31" s="268">
        <f>'2'!I15</f>
        <v>1721971</v>
      </c>
      <c r="I31" s="389"/>
      <c r="J31" s="391"/>
      <c r="K31" s="391"/>
      <c r="L31" s="391"/>
      <c r="M31" s="391"/>
      <c r="N31" s="391"/>
      <c r="O31" s="391"/>
      <c r="P31" s="391"/>
      <c r="Q31" s="391"/>
      <c r="R31" s="391"/>
      <c r="S31" s="391"/>
      <c r="T31" s="391"/>
      <c r="U31" s="391"/>
    </row>
    <row r="32" spans="1:33" x14ac:dyDescent="0.3">
      <c r="A32" s="190" t="str">
        <f>'[2]2'!A17</f>
        <v>Проценты к уплате</v>
      </c>
      <c r="B32" s="268">
        <f>'2'!C16</f>
        <v>0</v>
      </c>
      <c r="C32" s="268">
        <f>'2'!D16</f>
        <v>-45991</v>
      </c>
      <c r="D32" s="269">
        <f>'2'!E16</f>
        <v>-329136</v>
      </c>
      <c r="E32" s="268">
        <f>'2'!F16</f>
        <v>-774458</v>
      </c>
      <c r="F32" s="269">
        <f>'2'!G16</f>
        <v>-877327</v>
      </c>
      <c r="G32" s="268">
        <f>'2'!H16</f>
        <v>-430471</v>
      </c>
      <c r="H32" s="268">
        <f>'2'!I16</f>
        <v>-419765</v>
      </c>
      <c r="I32" s="389"/>
      <c r="J32" s="391"/>
      <c r="K32" s="391"/>
      <c r="L32" s="391"/>
      <c r="M32" s="391"/>
      <c r="N32" s="391"/>
      <c r="O32" s="391"/>
      <c r="P32" s="391"/>
      <c r="Q32" s="391"/>
      <c r="R32" s="391"/>
      <c r="S32" s="391"/>
      <c r="T32" s="391"/>
      <c r="U32" s="391"/>
    </row>
    <row r="33" spans="1:33" ht="31.2" x14ac:dyDescent="0.3">
      <c r="A33" s="190" t="str">
        <f>'[2]2'!A15</f>
        <v>Доходы от участия в других организациях</v>
      </c>
      <c r="B33" s="268">
        <f>'2'!C14</f>
        <v>813755</v>
      </c>
      <c r="C33" s="269">
        <f>'2'!D14</f>
        <v>476987</v>
      </c>
      <c r="D33" s="268">
        <f>'2'!E14</f>
        <v>289688</v>
      </c>
      <c r="E33" s="269">
        <f>'2'!F14</f>
        <v>160729</v>
      </c>
      <c r="F33" s="268">
        <f>'2'!G14</f>
        <v>51224</v>
      </c>
      <c r="G33" s="269">
        <f>'2'!H14</f>
        <v>0</v>
      </c>
      <c r="H33" s="268">
        <f>'2'!I14</f>
        <v>1088</v>
      </c>
      <c r="J33" s="391"/>
      <c r="K33" s="391"/>
      <c r="L33" s="391"/>
      <c r="M33" s="391"/>
      <c r="N33" s="391"/>
      <c r="O33" s="391"/>
      <c r="P33" s="391"/>
      <c r="Q33" s="391"/>
      <c r="R33" s="391"/>
      <c r="S33" s="391"/>
      <c r="T33" s="391"/>
      <c r="U33" s="391"/>
    </row>
    <row r="34" spans="1:33" x14ac:dyDescent="0.3">
      <c r="A34" s="190" t="str">
        <f>'[2]2'!A18</f>
        <v>Прочие доходы</v>
      </c>
      <c r="B34" s="268">
        <f>'2'!C17</f>
        <v>898216</v>
      </c>
      <c r="C34" s="268">
        <f>'2'!D17</f>
        <v>14716570</v>
      </c>
      <c r="D34" s="269">
        <f>'2'!E17</f>
        <v>1089682</v>
      </c>
      <c r="E34" s="268">
        <f>'2'!F17</f>
        <v>1951065</v>
      </c>
      <c r="F34" s="269">
        <f>'2'!G17</f>
        <v>982583</v>
      </c>
      <c r="G34" s="268">
        <f>'2'!H17</f>
        <v>986800</v>
      </c>
      <c r="H34" s="268">
        <f>'2'!I17</f>
        <v>2657807</v>
      </c>
      <c r="J34" s="391"/>
      <c r="K34" s="391"/>
      <c r="L34" s="391"/>
      <c r="M34" s="391"/>
      <c r="N34" s="391"/>
      <c r="O34" s="391"/>
      <c r="P34" s="391"/>
      <c r="Q34" s="391"/>
      <c r="R34" s="391"/>
      <c r="S34" s="391"/>
      <c r="T34" s="391"/>
      <c r="U34" s="391"/>
    </row>
    <row r="35" spans="1:33" x14ac:dyDescent="0.3">
      <c r="A35" s="190" t="str">
        <f>'[2]2'!A19</f>
        <v>Прочие  расходы</v>
      </c>
      <c r="B35" s="268">
        <f>'2'!C18</f>
        <v>-2130237</v>
      </c>
      <c r="C35" s="269">
        <f>'2'!D18</f>
        <v>-17398570</v>
      </c>
      <c r="D35" s="268">
        <f>'2'!E18</f>
        <v>-792416</v>
      </c>
      <c r="E35" s="269">
        <f>'2'!F18</f>
        <v>-1377711</v>
      </c>
      <c r="F35" s="268">
        <f>'2'!G18</f>
        <v>-3912599</v>
      </c>
      <c r="G35" s="269">
        <f>'2'!H18</f>
        <v>-6194082</v>
      </c>
      <c r="H35" s="268">
        <f>'2'!I18</f>
        <v>-3331305</v>
      </c>
      <c r="J35" s="391"/>
      <c r="K35" s="391"/>
      <c r="L35" s="391"/>
      <c r="M35" s="391"/>
      <c r="N35" s="391"/>
      <c r="O35" s="391"/>
      <c r="P35" s="391"/>
      <c r="Q35" s="391"/>
      <c r="R35" s="391"/>
      <c r="S35" s="391"/>
      <c r="T35" s="391"/>
      <c r="U35" s="391"/>
    </row>
    <row r="36" spans="1:33" s="186" customFormat="1" ht="30.75" customHeight="1" x14ac:dyDescent="0.3">
      <c r="A36" s="270" t="str">
        <f>'[2]2'!A20</f>
        <v xml:space="preserve">     Прибыль (убыток) до налогообложения</v>
      </c>
      <c r="B36" s="271">
        <f>'2'!C19</f>
        <v>4467522</v>
      </c>
      <c r="C36" s="271">
        <f>'2'!D19</f>
        <v>7185620</v>
      </c>
      <c r="D36" s="272">
        <f>'2'!E19</f>
        <v>10041665</v>
      </c>
      <c r="E36" s="271">
        <f>'2'!F19</f>
        <v>9388977</v>
      </c>
      <c r="F36" s="272">
        <f>'2'!G19</f>
        <v>11393919</v>
      </c>
      <c r="G36" s="271">
        <f>'2'!H19</f>
        <v>565522</v>
      </c>
      <c r="H36" s="271">
        <f>'2'!I19</f>
        <v>5095301</v>
      </c>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3" x14ac:dyDescent="0.3">
      <c r="A37" s="190" t="str">
        <f>'[2]2'!A21</f>
        <v>Текущий налог на прибыль</v>
      </c>
      <c r="B37" s="268">
        <f>'2'!C20</f>
        <v>-655018</v>
      </c>
      <c r="C37" s="269">
        <f>'2'!D20</f>
        <v>-2302336</v>
      </c>
      <c r="D37" s="268">
        <f>'2'!E20</f>
        <v>-1823795</v>
      </c>
      <c r="E37" s="269">
        <f>'2'!F20</f>
        <v>-1959181</v>
      </c>
      <c r="F37" s="268">
        <f>'2'!G20</f>
        <v>-2218641</v>
      </c>
      <c r="G37" s="269">
        <f>'2'!H20</f>
        <v>-190864</v>
      </c>
      <c r="H37" s="268">
        <f>'2'!I20</f>
        <v>-1066641</v>
      </c>
    </row>
    <row r="38" spans="1:33" ht="27.75" customHeight="1" x14ac:dyDescent="0.3">
      <c r="A38" s="190" t="str">
        <f>'[2]2'!A22</f>
        <v xml:space="preserve">   в т.ч. постоянные налоговые обязательства (активы)</v>
      </c>
      <c r="B38" s="268">
        <f>'2'!C21</f>
        <v>-110315</v>
      </c>
      <c r="C38" s="268">
        <f>'2'!D21</f>
        <v>1005937</v>
      </c>
      <c r="D38" s="269">
        <f>'2'!E21</f>
        <v>-18381</v>
      </c>
      <c r="E38" s="268">
        <f>'2'!F21</f>
        <v>57475</v>
      </c>
      <c r="F38" s="269">
        <f>'2'!G21</f>
        <v>42824</v>
      </c>
      <c r="G38" s="268">
        <f>'2'!H21</f>
        <v>39720</v>
      </c>
      <c r="H38" s="268">
        <f>'2'!I21</f>
        <v>45380</v>
      </c>
    </row>
    <row r="39" spans="1:33" ht="31.2" x14ac:dyDescent="0.3">
      <c r="A39" s="190" t="str">
        <f>'[2]2'!A23</f>
        <v>Изменение отложенных налоговых обязательств</v>
      </c>
      <c r="B39" s="268">
        <f>'2'!C22</f>
        <v>-130663</v>
      </c>
      <c r="C39" s="269">
        <f>'2'!D22</f>
        <v>-132207</v>
      </c>
      <c r="D39" s="268">
        <f>'2'!E22</f>
        <v>-158331</v>
      </c>
      <c r="E39" s="269">
        <f>'2'!F22</f>
        <v>13955</v>
      </c>
      <c r="F39" s="268">
        <f>'2'!G22</f>
        <v>-113768</v>
      </c>
      <c r="G39" s="269">
        <f>'2'!H22</f>
        <v>-37221</v>
      </c>
      <c r="H39" s="268">
        <f>'2'!I22</f>
        <v>-11228</v>
      </c>
    </row>
    <row r="40" spans="1:33" ht="31.2" x14ac:dyDescent="0.3">
      <c r="A40" s="190" t="str">
        <f>'[2]2'!A24</f>
        <v>Изменение отложенных налоговых активов</v>
      </c>
      <c r="B40" s="268">
        <f>'2'!C23</f>
        <v>2492</v>
      </c>
      <c r="C40" s="268">
        <f>'2'!D23</f>
        <v>-8518</v>
      </c>
      <c r="D40" s="269">
        <f>'2'!E23</f>
        <v>-7826</v>
      </c>
      <c r="E40" s="268">
        <f>'2'!F23</f>
        <v>9955</v>
      </c>
      <c r="F40" s="269">
        <f>'2'!G23</f>
        <v>10801</v>
      </c>
      <c r="G40" s="268">
        <f>'2'!H23</f>
        <v>75260</v>
      </c>
      <c r="H40" s="268">
        <f>'2'!I23</f>
        <v>11107</v>
      </c>
    </row>
    <row r="41" spans="1:33" x14ac:dyDescent="0.3">
      <c r="A41" s="190" t="str">
        <f>'[2]2'!A25</f>
        <v>Прочее</v>
      </c>
      <c r="B41" s="268">
        <f>'2'!C24</f>
        <v>3650</v>
      </c>
      <c r="C41" s="269">
        <f>'2'!D24</f>
        <v>3421</v>
      </c>
      <c r="D41" s="268">
        <f>'2'!E24</f>
        <v>4594</v>
      </c>
      <c r="E41" s="269">
        <f>'2'!F24</f>
        <v>5292</v>
      </c>
      <c r="F41" s="268">
        <f>'2'!G24</f>
        <v>2083</v>
      </c>
      <c r="G41" s="269">
        <f>'2'!H24</f>
        <v>-209</v>
      </c>
      <c r="H41" s="268">
        <f>'2'!I24</f>
        <v>-99</v>
      </c>
    </row>
    <row r="42" spans="1:33" s="186" customFormat="1" x14ac:dyDescent="0.3">
      <c r="A42" s="270" t="str">
        <f>'[2]2'!A26</f>
        <v xml:space="preserve">    Чистая прибыль (убыток)</v>
      </c>
      <c r="B42" s="271">
        <f>'2'!C25</f>
        <v>3687983</v>
      </c>
      <c r="C42" s="271">
        <f>'2'!D25</f>
        <v>4745980</v>
      </c>
      <c r="D42" s="271">
        <f>'2'!E25</f>
        <v>8056307</v>
      </c>
      <c r="E42" s="271">
        <f>'2'!F25</f>
        <v>7458998</v>
      </c>
      <c r="F42" s="271">
        <f>'2'!G25</f>
        <v>9074394</v>
      </c>
      <c r="G42" s="271">
        <f>'2'!H25</f>
        <v>412488</v>
      </c>
      <c r="H42" s="271">
        <f>'2'!I25</f>
        <v>4028440</v>
      </c>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row>
    <row r="45" spans="1:33" x14ac:dyDescent="0.3">
      <c r="A45" s="66" t="s">
        <v>530</v>
      </c>
      <c r="B45" s="33"/>
      <c r="C45" s="33"/>
      <c r="D45" s="33"/>
      <c r="E45" s="33"/>
      <c r="F45" s="33"/>
    </row>
    <row r="46" spans="1:33" ht="15.75" customHeight="1" x14ac:dyDescent="0.3">
      <c r="A46" s="267" t="s">
        <v>177</v>
      </c>
      <c r="B46" s="267" t="str">
        <f t="shared" ref="B46:H46" si="55">B4</f>
        <v>2019 год</v>
      </c>
      <c r="C46" s="267" t="str">
        <f t="shared" si="55"/>
        <v>2018 год</v>
      </c>
      <c r="D46" s="267" t="str">
        <f t="shared" si="55"/>
        <v>2017 год</v>
      </c>
      <c r="E46" s="267" t="str">
        <f t="shared" si="55"/>
        <v>2016 год</v>
      </c>
      <c r="F46" s="267" t="str">
        <f t="shared" si="55"/>
        <v>2015 год</v>
      </c>
      <c r="G46" s="267" t="str">
        <f t="shared" si="55"/>
        <v>2014 год</v>
      </c>
      <c r="H46" s="267" t="str">
        <f t="shared" si="55"/>
        <v>2013 год</v>
      </c>
      <c r="I46" s="395" t="s">
        <v>472</v>
      </c>
      <c r="J46" s="390" t="s">
        <v>712</v>
      </c>
      <c r="K46" s="390"/>
      <c r="L46" s="390"/>
      <c r="M46" s="390"/>
      <c r="N46" s="390"/>
      <c r="O46" s="390"/>
      <c r="P46" s="390"/>
      <c r="Q46" s="390"/>
      <c r="R46" s="390"/>
    </row>
    <row r="47" spans="1:33" s="187" customFormat="1" ht="31.2" x14ac:dyDescent="0.25">
      <c r="A47" s="274" t="s">
        <v>531</v>
      </c>
      <c r="B47" s="275">
        <f t="shared" ref="B47:H47" si="56">(B26/B24)*100</f>
        <v>38.022298429482362</v>
      </c>
      <c r="C47" s="276">
        <f t="shared" si="56"/>
        <v>46.175207428191662</v>
      </c>
      <c r="D47" s="275">
        <f t="shared" si="56"/>
        <v>46.746860515642958</v>
      </c>
      <c r="E47" s="276">
        <f t="shared" si="56"/>
        <v>44.362182935912045</v>
      </c>
      <c r="F47" s="275">
        <f t="shared" si="56"/>
        <v>57.766509478645865</v>
      </c>
      <c r="G47" s="276">
        <f t="shared" si="56"/>
        <v>44.597222556290674</v>
      </c>
      <c r="H47" s="275">
        <f t="shared" si="56"/>
        <v>44.924437002397688</v>
      </c>
      <c r="I47" s="395"/>
      <c r="J47" s="390"/>
      <c r="K47" s="390"/>
      <c r="L47" s="390"/>
      <c r="M47" s="390"/>
      <c r="N47" s="390"/>
      <c r="O47" s="390"/>
      <c r="P47" s="390"/>
      <c r="Q47" s="390"/>
      <c r="R47" s="390"/>
    </row>
    <row r="48" spans="1:33" s="187" customFormat="1" ht="31.2" x14ac:dyDescent="0.25">
      <c r="A48" s="274" t="s">
        <v>532</v>
      </c>
      <c r="B48" s="275">
        <f t="shared" ref="B48:H48" si="57">(B29/B24)*100</f>
        <v>15.277432003988487</v>
      </c>
      <c r="C48" s="275">
        <f t="shared" si="57"/>
        <v>27.289491415869872</v>
      </c>
      <c r="D48" s="276">
        <f t="shared" si="57"/>
        <v>27.858218332757861</v>
      </c>
      <c r="E48" s="275">
        <f t="shared" si="57"/>
        <v>24.508640999063413</v>
      </c>
      <c r="F48" s="276">
        <f t="shared" si="57"/>
        <v>43.593764977303437</v>
      </c>
      <c r="G48" s="275">
        <f t="shared" si="57"/>
        <v>25.336815387327778</v>
      </c>
      <c r="H48" s="275">
        <f t="shared" si="57"/>
        <v>25.723516659724311</v>
      </c>
      <c r="J48" s="390"/>
      <c r="K48" s="390"/>
      <c r="L48" s="390"/>
      <c r="M48" s="390"/>
      <c r="N48" s="390"/>
      <c r="O48" s="390"/>
      <c r="P48" s="390"/>
      <c r="Q48" s="390"/>
      <c r="R48" s="390"/>
    </row>
    <row r="49" spans="1:18" s="187" customFormat="1" ht="31.5" customHeight="1" x14ac:dyDescent="0.25">
      <c r="A49" s="274" t="s">
        <v>533</v>
      </c>
      <c r="B49" s="275">
        <f t="shared" ref="B49:H49" si="58">(B42/B24)*100</f>
        <v>17.034316453793696</v>
      </c>
      <c r="C49" s="276">
        <f t="shared" si="58"/>
        <v>17.477487145099367</v>
      </c>
      <c r="D49" s="275">
        <f t="shared" si="58"/>
        <v>33.566998964237548</v>
      </c>
      <c r="E49" s="276">
        <f t="shared" si="58"/>
        <v>32.076718896959648</v>
      </c>
      <c r="F49" s="275">
        <f t="shared" si="58"/>
        <v>34.043980256549304</v>
      </c>
      <c r="G49" s="276">
        <f t="shared" si="58"/>
        <v>2.5570990482231459</v>
      </c>
      <c r="H49" s="275">
        <f t="shared" si="58"/>
        <v>23.205806163625347</v>
      </c>
      <c r="J49" s="390"/>
      <c r="K49" s="390"/>
      <c r="L49" s="390"/>
      <c r="M49" s="390"/>
      <c r="N49" s="390"/>
      <c r="O49" s="390"/>
      <c r="P49" s="390"/>
      <c r="Q49" s="390"/>
      <c r="R49" s="390"/>
    </row>
    <row r="50" spans="1:18" s="187" customFormat="1" ht="46.8" x14ac:dyDescent="0.25">
      <c r="A50" s="274" t="s">
        <v>534</v>
      </c>
      <c r="B50" s="275">
        <f t="shared" ref="B50:H50" si="59">(B8/B11)*100</f>
        <v>25.96316257647976</v>
      </c>
      <c r="C50" s="275">
        <f t="shared" si="59"/>
        <v>-3.1283591395036199</v>
      </c>
      <c r="D50" s="276">
        <f t="shared" si="59"/>
        <v>33.4158130150727</v>
      </c>
      <c r="E50" s="275">
        <f t="shared" si="59"/>
        <v>39.29960633623876</v>
      </c>
      <c r="F50" s="276">
        <f t="shared" si="59"/>
        <v>-1.9831806773420102</v>
      </c>
      <c r="G50" s="275">
        <f t="shared" si="59"/>
        <v>-622.71370521394397</v>
      </c>
      <c r="H50" s="275">
        <f t="shared" si="59"/>
        <v>12.360329644902235</v>
      </c>
      <c r="J50" s="277"/>
      <c r="K50" s="277"/>
      <c r="L50" s="277"/>
      <c r="M50" s="277"/>
      <c r="N50" s="277"/>
      <c r="O50" s="277"/>
      <c r="P50" s="277"/>
      <c r="Q50" s="277"/>
      <c r="R50" s="277"/>
    </row>
    <row r="51" spans="1:18" x14ac:dyDescent="0.3">
      <c r="A51" s="278" t="s">
        <v>535</v>
      </c>
      <c r="B51" s="268">
        <f>Q5</f>
        <v>-20.270821911941304</v>
      </c>
      <c r="C51" s="268">
        <f>T5</f>
        <v>13.141887622586646</v>
      </c>
      <c r="D51" s="279">
        <f>W5</f>
        <v>3.2126526197922138</v>
      </c>
      <c r="E51" s="279">
        <f>Z5</f>
        <v>-12.760483385521956</v>
      </c>
      <c r="F51" s="279">
        <f>AC5</f>
        <v>65.239371271331166</v>
      </c>
      <c r="G51" s="279">
        <f>AF5</f>
        <v>-7.0769344561151417</v>
      </c>
      <c r="H51" s="279"/>
    </row>
  </sheetData>
  <mergeCells count="18">
    <mergeCell ref="I46:I47"/>
    <mergeCell ref="J46:R49"/>
    <mergeCell ref="A17:A19"/>
    <mergeCell ref="B17:O19"/>
    <mergeCell ref="A23:H23"/>
    <mergeCell ref="J27:U35"/>
    <mergeCell ref="A30:H30"/>
    <mergeCell ref="I30:I32"/>
    <mergeCell ref="A2:A4"/>
    <mergeCell ref="B2:H3"/>
    <mergeCell ref="I2:O3"/>
    <mergeCell ref="P2:AG2"/>
    <mergeCell ref="P3:R3"/>
    <mergeCell ref="S3:U3"/>
    <mergeCell ref="V3:X3"/>
    <mergeCell ref="Y3:AA3"/>
    <mergeCell ref="AB3:AD3"/>
    <mergeCell ref="AE3:AG3"/>
  </mergeCells>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J90"/>
  <sheetViews>
    <sheetView topLeftCell="A82" zoomScale="75" workbookViewId="0">
      <selection activeCell="A96" sqref="A96"/>
    </sheetView>
  </sheetViews>
  <sheetFormatPr defaultColWidth="15.5546875" defaultRowHeight="15.6" x14ac:dyDescent="0.3"/>
  <cols>
    <col min="1" max="1" width="49.6640625" style="64" customWidth="1"/>
    <col min="2" max="8" width="22.5546875" style="64" customWidth="1"/>
    <col min="9" max="9" width="20.88671875" style="64" customWidth="1"/>
    <col min="10" max="10" width="19.6640625" style="64" customWidth="1"/>
    <col min="11" max="11" width="17.88671875" style="64" customWidth="1"/>
    <col min="12" max="16384" width="15.5546875" style="64"/>
  </cols>
  <sheetData>
    <row r="1" spans="1:9" x14ac:dyDescent="0.3">
      <c r="A1" s="66" t="s">
        <v>536</v>
      </c>
    </row>
    <row r="2" spans="1:9" x14ac:dyDescent="0.3">
      <c r="A2" s="280"/>
      <c r="B2" s="280"/>
      <c r="C2" s="280"/>
      <c r="D2" s="192"/>
    </row>
    <row r="3" spans="1:9" s="66" customFormat="1" x14ac:dyDescent="0.3">
      <c r="A3" s="281" t="s">
        <v>537</v>
      </c>
      <c r="B3" s="281"/>
      <c r="C3" s="281"/>
      <c r="D3" s="186"/>
    </row>
    <row r="4" spans="1:9" x14ac:dyDescent="0.3">
      <c r="A4" s="66" t="s">
        <v>538</v>
      </c>
    </row>
    <row r="5" spans="1:9" x14ac:dyDescent="0.3">
      <c r="A5" s="267" t="s">
        <v>177</v>
      </c>
      <c r="B5" s="282" t="str">
        <f>аб!C4</f>
        <v>31.12.2019</v>
      </c>
      <c r="C5" s="282" t="str">
        <f>аб!D4</f>
        <v>31.12.2018</v>
      </c>
      <c r="D5" s="282" t="str">
        <f>аб!E4</f>
        <v>31.12.2017</v>
      </c>
      <c r="E5" s="282" t="str">
        <f>аб!F4</f>
        <v>31.12.2016</v>
      </c>
      <c r="F5" s="282" t="str">
        <f>аб!G4</f>
        <v>31.12.2015</v>
      </c>
      <c r="G5" s="282" t="str">
        <f>аб!H4</f>
        <v>31.12.2014</v>
      </c>
      <c r="H5" s="282" t="str">
        <f>аб!I4</f>
        <v>31.12.2013</v>
      </c>
      <c r="I5" s="282" t="str">
        <f>аб!J4</f>
        <v>31.12.2012</v>
      </c>
    </row>
    <row r="6" spans="1:9" x14ac:dyDescent="0.3">
      <c r="A6" s="283" t="s">
        <v>539</v>
      </c>
      <c r="B6" s="284">
        <f>'1'!C37+'1'!C43-'1'!C15</f>
        <v>21440754</v>
      </c>
      <c r="C6" s="284">
        <f>'1'!D37+'1'!D43-'1'!D15</f>
        <v>31824926</v>
      </c>
      <c r="D6" s="284">
        <f>'1'!E37+'1'!E43-'1'!E15</f>
        <v>28234052</v>
      </c>
      <c r="E6" s="284">
        <f>'1'!F37+'1'!F43-'1'!F15</f>
        <v>35444543</v>
      </c>
      <c r="F6" s="284">
        <f>'1'!G37+'1'!G43-'1'!G15</f>
        <v>35585678</v>
      </c>
      <c r="G6" s="284">
        <f>'1'!H37+'1'!H43-'1'!H15</f>
        <v>23558971</v>
      </c>
      <c r="H6" s="284">
        <f>'1'!I37+'1'!I43-'1'!I15</f>
        <v>14819135</v>
      </c>
      <c r="I6" s="284">
        <f>'1'!J37+'1'!J43-'1'!J15</f>
        <v>8830326</v>
      </c>
    </row>
    <row r="7" spans="1:9" ht="31.2" x14ac:dyDescent="0.3">
      <c r="A7" s="283" t="s">
        <v>540</v>
      </c>
      <c r="B7" s="284">
        <f>0.1*'1'!C25</f>
        <v>2852850.7</v>
      </c>
      <c r="C7" s="284">
        <f>0.1*'1'!D25</f>
        <v>3410548.1</v>
      </c>
      <c r="D7" s="284">
        <f>0.1*'1'!E25</f>
        <v>3189282.5</v>
      </c>
      <c r="E7" s="284">
        <f>0.1*'1'!F25</f>
        <v>4940096.6000000006</v>
      </c>
      <c r="F7" s="284">
        <f>0.1*'1'!G25</f>
        <v>3971498.1</v>
      </c>
      <c r="G7" s="284">
        <f>0.1*'1'!H25</f>
        <v>3523729.6</v>
      </c>
      <c r="H7" s="284">
        <f>0.1*'1'!I25</f>
        <v>1724500.1</v>
      </c>
      <c r="I7" s="284">
        <f>0.1*'1'!J25</f>
        <v>1097197.1000000001</v>
      </c>
    </row>
    <row r="8" spans="1:9" x14ac:dyDescent="0.3">
      <c r="A8" s="285" t="s">
        <v>541</v>
      </c>
      <c r="B8" s="286">
        <f t="shared" ref="B8:I8" si="0">B6-B7</f>
        <v>18587903.300000001</v>
      </c>
      <c r="C8" s="286">
        <f t="shared" si="0"/>
        <v>28414377.899999999</v>
      </c>
      <c r="D8" s="286">
        <f t="shared" si="0"/>
        <v>25044769.5</v>
      </c>
      <c r="E8" s="286">
        <f t="shared" si="0"/>
        <v>30504446.399999999</v>
      </c>
      <c r="F8" s="286">
        <f t="shared" si="0"/>
        <v>31614179.899999999</v>
      </c>
      <c r="G8" s="286">
        <f t="shared" si="0"/>
        <v>20035241.399999999</v>
      </c>
      <c r="H8" s="286">
        <f t="shared" si="0"/>
        <v>13094634.9</v>
      </c>
      <c r="I8" s="286">
        <f t="shared" si="0"/>
        <v>7733128.9000000004</v>
      </c>
    </row>
    <row r="9" spans="1:9" x14ac:dyDescent="0.3">
      <c r="A9" s="287" t="s">
        <v>542</v>
      </c>
      <c r="B9" s="288">
        <f>'1'!C37-'1'!C15</f>
        <v>20765593</v>
      </c>
      <c r="C9" s="288">
        <f>'1'!D37-'1'!D15</f>
        <v>31272985</v>
      </c>
      <c r="D9" s="288">
        <f>'1'!E37-'1'!E15</f>
        <v>27814318</v>
      </c>
      <c r="E9" s="288">
        <f>'1'!F37-'1'!F15</f>
        <v>32183140</v>
      </c>
      <c r="F9" s="288">
        <f>'1'!G37-'1'!G15</f>
        <v>24377915</v>
      </c>
      <c r="G9" s="288">
        <f>'1'!H37-'1'!H15</f>
        <v>14928684</v>
      </c>
      <c r="H9" s="288">
        <f>'1'!I37-'1'!I15</f>
        <v>9785386</v>
      </c>
      <c r="I9" s="288">
        <f>'1'!J37-'1'!J15</f>
        <v>3262248</v>
      </c>
    </row>
    <row r="10" spans="1:9" x14ac:dyDescent="0.3">
      <c r="A10" s="283" t="s">
        <v>543</v>
      </c>
      <c r="B10" s="284">
        <f>'1'!C17+'1'!C18</f>
        <v>3392526</v>
      </c>
      <c r="C10" s="284">
        <f>'1'!D17+'1'!D18</f>
        <v>2470424</v>
      </c>
      <c r="D10" s="284">
        <f>'1'!E17+'1'!E18</f>
        <v>3143913</v>
      </c>
      <c r="E10" s="284">
        <f>'1'!F17+'1'!F18</f>
        <v>2369731</v>
      </c>
      <c r="F10" s="284">
        <f>'1'!G17+'1'!G18</f>
        <v>2404485</v>
      </c>
      <c r="G10" s="284">
        <f>'1'!H17+'1'!H18</f>
        <v>1880186</v>
      </c>
      <c r="H10" s="284">
        <f>'1'!I17+'1'!I18</f>
        <v>1702409</v>
      </c>
      <c r="I10" s="284">
        <f>'1'!J17+'1'!J18</f>
        <v>1854584</v>
      </c>
    </row>
    <row r="11" spans="1:9" ht="31.2" x14ac:dyDescent="0.3">
      <c r="A11" s="283" t="s">
        <v>544</v>
      </c>
      <c r="B11" s="284">
        <f t="shared" ref="B11:I11" si="1">B9-B10</f>
        <v>17373067</v>
      </c>
      <c r="C11" s="284">
        <f t="shared" si="1"/>
        <v>28802561</v>
      </c>
      <c r="D11" s="284">
        <f t="shared" si="1"/>
        <v>24670405</v>
      </c>
      <c r="E11" s="284">
        <f t="shared" si="1"/>
        <v>29813409</v>
      </c>
      <c r="F11" s="284">
        <f t="shared" si="1"/>
        <v>21973430</v>
      </c>
      <c r="G11" s="284">
        <f t="shared" si="1"/>
        <v>13048498</v>
      </c>
      <c r="H11" s="284">
        <f t="shared" si="1"/>
        <v>8082977</v>
      </c>
      <c r="I11" s="284">
        <f t="shared" si="1"/>
        <v>1407664</v>
      </c>
    </row>
    <row r="12" spans="1:9" ht="31.2" x14ac:dyDescent="0.3">
      <c r="A12" s="285" t="s">
        <v>545</v>
      </c>
      <c r="B12" s="289">
        <f t="shared" ref="B12:I12" si="2">(B9/B10)*100</f>
        <v>612.09827131759641</v>
      </c>
      <c r="C12" s="289">
        <f t="shared" si="2"/>
        <v>1265.8954495260734</v>
      </c>
      <c r="D12" s="289">
        <f t="shared" si="2"/>
        <v>884.70380700738224</v>
      </c>
      <c r="E12" s="289">
        <f t="shared" si="2"/>
        <v>1358.0925429932763</v>
      </c>
      <c r="F12" s="289">
        <f t="shared" si="2"/>
        <v>1013.8518227395887</v>
      </c>
      <c r="G12" s="289">
        <f t="shared" si="2"/>
        <v>794.00038081338766</v>
      </c>
      <c r="H12" s="289">
        <f t="shared" si="2"/>
        <v>574.79642083659098</v>
      </c>
      <c r="I12" s="289">
        <f t="shared" si="2"/>
        <v>175.90187341204282</v>
      </c>
    </row>
    <row r="13" spans="1:9" ht="31.2" x14ac:dyDescent="0.3">
      <c r="A13" s="287" t="s">
        <v>546</v>
      </c>
      <c r="B13" s="288">
        <f>B9+'1'!C43</f>
        <v>21440754</v>
      </c>
      <c r="C13" s="288">
        <f>C9+'1'!D43</f>
        <v>31824926</v>
      </c>
      <c r="D13" s="288">
        <f>D9+'1'!E43</f>
        <v>28234052</v>
      </c>
      <c r="E13" s="288">
        <f>E9+'1'!F43</f>
        <v>35444543</v>
      </c>
      <c r="F13" s="288">
        <f>F9+'1'!G43</f>
        <v>35585678</v>
      </c>
      <c r="G13" s="288">
        <f>G9+'1'!H43</f>
        <v>23558971</v>
      </c>
      <c r="H13" s="288">
        <f>H9+'1'!I43</f>
        <v>14819135</v>
      </c>
      <c r="I13" s="288">
        <f>I9+'1'!J43</f>
        <v>8830326</v>
      </c>
    </row>
    <row r="14" spans="1:9" x14ac:dyDescent="0.3">
      <c r="A14" s="283" t="s">
        <v>26</v>
      </c>
      <c r="B14" s="284">
        <f>'1'!C17</f>
        <v>3359236</v>
      </c>
      <c r="C14" s="284">
        <f>'1'!D17</f>
        <v>2454097</v>
      </c>
      <c r="D14" s="284">
        <f>'1'!E17</f>
        <v>2594147</v>
      </c>
      <c r="E14" s="284">
        <f>'1'!F17</f>
        <v>2183513</v>
      </c>
      <c r="F14" s="284">
        <f>'1'!G17</f>
        <v>1971564</v>
      </c>
      <c r="G14" s="284">
        <f>'1'!H17</f>
        <v>1667298</v>
      </c>
      <c r="H14" s="284">
        <f>'1'!I17</f>
        <v>1505696</v>
      </c>
      <c r="I14" s="284">
        <f>'1'!J17</f>
        <v>1811263</v>
      </c>
    </row>
    <row r="15" spans="1:9" ht="31.2" x14ac:dyDescent="0.3">
      <c r="A15" s="283" t="s">
        <v>544</v>
      </c>
      <c r="B15" s="284">
        <f t="shared" ref="B15:I15" si="3">B13-B10</f>
        <v>18048228</v>
      </c>
      <c r="C15" s="284">
        <f t="shared" si="3"/>
        <v>29354502</v>
      </c>
      <c r="D15" s="284">
        <f t="shared" si="3"/>
        <v>25090139</v>
      </c>
      <c r="E15" s="284">
        <f t="shared" si="3"/>
        <v>33074812</v>
      </c>
      <c r="F15" s="284">
        <f t="shared" si="3"/>
        <v>33181193</v>
      </c>
      <c r="G15" s="284">
        <f t="shared" si="3"/>
        <v>21678785</v>
      </c>
      <c r="H15" s="284">
        <f t="shared" si="3"/>
        <v>13116726</v>
      </c>
      <c r="I15" s="284">
        <f t="shared" si="3"/>
        <v>6975742</v>
      </c>
    </row>
    <row r="16" spans="1:9" ht="33.75" customHeight="1" x14ac:dyDescent="0.3">
      <c r="A16" s="285" t="s">
        <v>547</v>
      </c>
      <c r="B16" s="290">
        <f t="shared" ref="B16:I16" si="4">(B13/B14)*100</f>
        <v>638.26280737643913</v>
      </c>
      <c r="C16" s="290">
        <f t="shared" si="4"/>
        <v>1296.807990882186</v>
      </c>
      <c r="D16" s="290">
        <f t="shared" si="4"/>
        <v>1088.3751768885879</v>
      </c>
      <c r="E16" s="290">
        <f t="shared" si="4"/>
        <v>1623.2806033213451</v>
      </c>
      <c r="F16" s="290">
        <f t="shared" si="4"/>
        <v>1804.946631202436</v>
      </c>
      <c r="G16" s="290">
        <f t="shared" si="4"/>
        <v>1413.0030144581233</v>
      </c>
      <c r="H16" s="290">
        <f t="shared" si="4"/>
        <v>984.20497895989638</v>
      </c>
      <c r="I16" s="290">
        <f t="shared" si="4"/>
        <v>487.52312612801126</v>
      </c>
    </row>
    <row r="17" spans="1:10" ht="33" customHeight="1" x14ac:dyDescent="0.3">
      <c r="A17" s="287" t="s">
        <v>548</v>
      </c>
      <c r="B17" s="288">
        <f>'1'!C37+'1'!C43+'1'!C46</f>
        <v>47911206</v>
      </c>
      <c r="C17" s="288">
        <f>'1'!D37+'1'!D43+'1'!D46</f>
        <v>48323294</v>
      </c>
      <c r="D17" s="288">
        <f>'1'!E37+'1'!E43+'1'!E46</f>
        <v>50013616</v>
      </c>
      <c r="E17" s="288">
        <f>'1'!F37+'1'!F43+'1'!F46</f>
        <v>47528037</v>
      </c>
      <c r="F17" s="288">
        <f>'1'!G37+'1'!G43+'1'!G46</f>
        <v>50070293</v>
      </c>
      <c r="G17" s="288">
        <f>'1'!H37+'1'!H43+'1'!H46</f>
        <v>36767220</v>
      </c>
      <c r="H17" s="288">
        <f>'1'!I37+'1'!I43+'1'!I46</f>
        <v>32612383</v>
      </c>
      <c r="I17" s="288">
        <f>'1'!J37+'1'!J43+'1'!J46</f>
        <v>29067499</v>
      </c>
    </row>
    <row r="18" spans="1:10" x14ac:dyDescent="0.3">
      <c r="A18" s="283" t="s">
        <v>26</v>
      </c>
      <c r="B18" s="284">
        <f t="shared" ref="B18:I18" si="5">B14</f>
        <v>3359236</v>
      </c>
      <c r="C18" s="284">
        <f t="shared" si="5"/>
        <v>2454097</v>
      </c>
      <c r="D18" s="284">
        <f t="shared" si="5"/>
        <v>2594147</v>
      </c>
      <c r="E18" s="284">
        <f t="shared" si="5"/>
        <v>2183513</v>
      </c>
      <c r="F18" s="284">
        <f t="shared" si="5"/>
        <v>1971564</v>
      </c>
      <c r="G18" s="284">
        <f t="shared" si="5"/>
        <v>1667298</v>
      </c>
      <c r="H18" s="284">
        <f t="shared" si="5"/>
        <v>1505696</v>
      </c>
      <c r="I18" s="284">
        <f t="shared" si="5"/>
        <v>1811263</v>
      </c>
    </row>
    <row r="19" spans="1:10" ht="31.2" x14ac:dyDescent="0.3">
      <c r="A19" s="283" t="s">
        <v>544</v>
      </c>
      <c r="B19" s="284">
        <f t="shared" ref="B19:I19" si="6">B17-B18</f>
        <v>44551970</v>
      </c>
      <c r="C19" s="284">
        <f t="shared" si="6"/>
        <v>45869197</v>
      </c>
      <c r="D19" s="284">
        <f t="shared" si="6"/>
        <v>47419469</v>
      </c>
      <c r="E19" s="284">
        <f t="shared" si="6"/>
        <v>45344524</v>
      </c>
      <c r="F19" s="284">
        <f t="shared" si="6"/>
        <v>48098729</v>
      </c>
      <c r="G19" s="284">
        <f t="shared" si="6"/>
        <v>35099922</v>
      </c>
      <c r="H19" s="284">
        <f t="shared" si="6"/>
        <v>31106687</v>
      </c>
      <c r="I19" s="284">
        <f t="shared" si="6"/>
        <v>27256236</v>
      </c>
    </row>
    <row r="20" spans="1:10" ht="51" customHeight="1" x14ac:dyDescent="0.3">
      <c r="A20" s="285" t="s">
        <v>549</v>
      </c>
      <c r="B20" s="286">
        <f t="shared" ref="B20:I20" si="7">(B17/B18)*100</f>
        <v>1426.2530527774768</v>
      </c>
      <c r="C20" s="286">
        <f t="shared" si="7"/>
        <v>1969.0865519985557</v>
      </c>
      <c r="D20" s="286">
        <f t="shared" si="7"/>
        <v>1927.9407065212574</v>
      </c>
      <c r="E20" s="286">
        <f t="shared" si="7"/>
        <v>2176.677537527828</v>
      </c>
      <c r="F20" s="286">
        <f t="shared" si="7"/>
        <v>2539.6230099555482</v>
      </c>
      <c r="G20" s="286">
        <f t="shared" si="7"/>
        <v>2205.1978710464473</v>
      </c>
      <c r="H20" s="286">
        <f t="shared" si="7"/>
        <v>2165.9340929377508</v>
      </c>
      <c r="I20" s="286">
        <f t="shared" si="7"/>
        <v>1604.8193442918009</v>
      </c>
    </row>
    <row r="22" spans="1:10" x14ac:dyDescent="0.3">
      <c r="A22" s="66" t="s">
        <v>550</v>
      </c>
    </row>
    <row r="23" spans="1:10" x14ac:dyDescent="0.3">
      <c r="A23" s="66" t="s">
        <v>551</v>
      </c>
      <c r="G23" s="66"/>
    </row>
    <row r="24" spans="1:10" s="33" customFormat="1" x14ac:dyDescent="0.25">
      <c r="A24" s="241" t="s">
        <v>6</v>
      </c>
      <c r="B24" s="241" t="s">
        <v>552</v>
      </c>
      <c r="C24" s="291" t="str">
        <f>B5</f>
        <v>31.12.2019</v>
      </c>
      <c r="D24" s="291" t="str">
        <f t="shared" ref="D24:I24" si="8">C5</f>
        <v>31.12.2018</v>
      </c>
      <c r="E24" s="291" t="str">
        <f t="shared" si="8"/>
        <v>31.12.2017</v>
      </c>
      <c r="F24" s="291" t="str">
        <f t="shared" si="8"/>
        <v>31.12.2016</v>
      </c>
      <c r="G24" s="291" t="str">
        <f t="shared" si="8"/>
        <v>31.12.2015</v>
      </c>
      <c r="H24" s="291" t="str">
        <f t="shared" si="8"/>
        <v>31.12.2014</v>
      </c>
      <c r="I24" s="291" t="str">
        <f t="shared" si="8"/>
        <v>31.12.2013</v>
      </c>
      <c r="J24" s="291" t="str">
        <f>I5</f>
        <v>31.12.2012</v>
      </c>
    </row>
    <row r="25" spans="1:10" x14ac:dyDescent="0.3">
      <c r="A25" s="167" t="s">
        <v>553</v>
      </c>
      <c r="B25" s="259" t="s">
        <v>436</v>
      </c>
      <c r="C25" s="169">
        <f>'1'!C15</f>
        <v>19653099</v>
      </c>
      <c r="D25" s="169">
        <f>'1'!D15</f>
        <v>14471049</v>
      </c>
      <c r="E25" s="169">
        <f>'1'!E15</f>
        <v>19214316</v>
      </c>
      <c r="F25" s="169">
        <f>'1'!F15</f>
        <v>9072614</v>
      </c>
      <c r="G25" s="169">
        <f>'1'!G15</f>
        <v>10532937</v>
      </c>
      <c r="H25" s="169">
        <f>'1'!H15</f>
        <v>11206796</v>
      </c>
      <c r="I25" s="169">
        <f>'1'!I15</f>
        <v>16120696</v>
      </c>
      <c r="J25" s="169">
        <f>'1'!J15</f>
        <v>18800083</v>
      </c>
    </row>
    <row r="26" spans="1:10" ht="31.2" x14ac:dyDescent="0.3">
      <c r="A26" s="167" t="s">
        <v>554</v>
      </c>
      <c r="B26" s="259" t="s">
        <v>438</v>
      </c>
      <c r="C26" s="169">
        <f>'1'!C17+'1'!C18+'1'!C24</f>
        <v>4118884</v>
      </c>
      <c r="D26" s="169">
        <f>'1'!D17+'1'!D18+'1'!D24</f>
        <v>2687141</v>
      </c>
      <c r="E26" s="169">
        <f>'1'!E17+'1'!E18+'1'!E24</f>
        <v>3296273</v>
      </c>
      <c r="F26" s="169">
        <f>'1'!F17+'1'!F18+'1'!F24</f>
        <v>2555886</v>
      </c>
      <c r="G26" s="169">
        <f>'1'!G17+'1'!G18+'1'!G24</f>
        <v>2750212</v>
      </c>
      <c r="H26" s="169">
        <f>'1'!H17+'1'!H18+'1'!H24</f>
        <v>2004347</v>
      </c>
      <c r="I26" s="169">
        <f>'1'!I17+'1'!I18+'1'!I24</f>
        <v>1799232</v>
      </c>
      <c r="J26" s="169">
        <f>'1'!J17+'1'!J18+'1'!J24</f>
        <v>1939593</v>
      </c>
    </row>
    <row r="27" spans="1:10" ht="31.2" x14ac:dyDescent="0.3">
      <c r="A27" s="167" t="s">
        <v>555</v>
      </c>
      <c r="B27" s="259" t="s">
        <v>556</v>
      </c>
      <c r="C27" s="169">
        <f>'1'!C19+'1'!C23+'1'!C22</f>
        <v>24409623</v>
      </c>
      <c r="D27" s="169">
        <f>'1'!D19+'1'!D23+'1'!D22</f>
        <v>31418340</v>
      </c>
      <c r="E27" s="169">
        <f>'1'!E19+'1'!E23+'1'!E22</f>
        <v>28596552</v>
      </c>
      <c r="F27" s="169">
        <f>'1'!F19+'1'!F23+'1'!F22</f>
        <v>46845080</v>
      </c>
      <c r="G27" s="169">
        <f>'1'!G19+'1'!G23+'1'!G22</f>
        <v>36964769</v>
      </c>
      <c r="H27" s="169">
        <f>'1'!H19+'1'!H23+'1'!H22</f>
        <v>33232949</v>
      </c>
      <c r="I27" s="169">
        <f>'1'!I19+'1'!I23+'1'!I22</f>
        <v>15445769</v>
      </c>
      <c r="J27" s="169">
        <f>'1'!J19+'1'!J23+'1'!J22</f>
        <v>9032378</v>
      </c>
    </row>
    <row r="28" spans="1:10" x14ac:dyDescent="0.3">
      <c r="A28" s="292" t="s">
        <v>443</v>
      </c>
      <c r="B28" s="169"/>
      <c r="C28" s="169">
        <f t="shared" ref="C28:J28" si="9">SUM(C25:C27)</f>
        <v>48181606</v>
      </c>
      <c r="D28" s="169">
        <f t="shared" si="9"/>
        <v>48576530</v>
      </c>
      <c r="E28" s="169">
        <f t="shared" si="9"/>
        <v>51107141</v>
      </c>
      <c r="F28" s="169">
        <f t="shared" si="9"/>
        <v>58473580</v>
      </c>
      <c r="G28" s="169">
        <f t="shared" si="9"/>
        <v>50247918</v>
      </c>
      <c r="H28" s="169">
        <f t="shared" si="9"/>
        <v>46444092</v>
      </c>
      <c r="I28" s="169">
        <f t="shared" si="9"/>
        <v>33365697</v>
      </c>
      <c r="J28" s="169">
        <f t="shared" si="9"/>
        <v>29772054</v>
      </c>
    </row>
    <row r="29" spans="1:10" x14ac:dyDescent="0.3">
      <c r="A29" s="77"/>
    </row>
    <row r="30" spans="1:10" x14ac:dyDescent="0.3">
      <c r="A30" s="77"/>
    </row>
    <row r="31" spans="1:10" s="33" customFormat="1" x14ac:dyDescent="0.25">
      <c r="A31" s="164" t="s">
        <v>36</v>
      </c>
      <c r="B31" s="241" t="s">
        <v>552</v>
      </c>
      <c r="C31" s="291" t="str">
        <f>C24</f>
        <v>31.12.2019</v>
      </c>
      <c r="D31" s="291" t="str">
        <f t="shared" ref="D31:I31" si="10">D24</f>
        <v>31.12.2018</v>
      </c>
      <c r="E31" s="291" t="str">
        <f t="shared" si="10"/>
        <v>31.12.2017</v>
      </c>
      <c r="F31" s="291" t="str">
        <f t="shared" si="10"/>
        <v>31.12.2016</v>
      </c>
      <c r="G31" s="291" t="str">
        <f t="shared" si="10"/>
        <v>31.12.2015</v>
      </c>
      <c r="H31" s="291" t="str">
        <f t="shared" si="10"/>
        <v>31.12.2014</v>
      </c>
      <c r="I31" s="291" t="str">
        <f t="shared" si="10"/>
        <v>31.12.2013</v>
      </c>
      <c r="J31" s="291" t="str">
        <f>J24</f>
        <v>31.12.2012</v>
      </c>
    </row>
    <row r="32" spans="1:10" ht="31.2" x14ac:dyDescent="0.3">
      <c r="A32" s="167" t="s">
        <v>557</v>
      </c>
      <c r="B32" s="259" t="s">
        <v>558</v>
      </c>
      <c r="C32" s="169">
        <f>'1'!C37+'1'!C43+'1'!C47</f>
        <v>41101514</v>
      </c>
      <c r="D32" s="169">
        <f>'1'!D37+'1'!D43+'1'!D47</f>
        <v>46296901</v>
      </c>
      <c r="E32" s="169">
        <f>'1'!E37+'1'!E43+'1'!E47</f>
        <v>47449453</v>
      </c>
      <c r="F32" s="169">
        <f>'1'!F37+'1'!F43+'1'!F47</f>
        <v>44518401</v>
      </c>
      <c r="G32" s="169">
        <f>'1'!G37+'1'!G43+'1'!G47</f>
        <v>46120018</v>
      </c>
      <c r="H32" s="169">
        <f>'1'!H37+'1'!H43+'1'!H47</f>
        <v>34767329</v>
      </c>
      <c r="I32" s="169">
        <f>'1'!I37+'1'!I43+'1'!I47</f>
        <v>30941553</v>
      </c>
      <c r="J32" s="169">
        <f>'1'!J37+'1'!J43+'1'!J47</f>
        <v>27632577</v>
      </c>
    </row>
    <row r="33" spans="1:10" x14ac:dyDescent="0.3">
      <c r="A33" s="167" t="s">
        <v>559</v>
      </c>
      <c r="B33" s="259" t="s">
        <v>449</v>
      </c>
      <c r="C33" s="169">
        <f>'1'!C45+'1'!C48+'1'!C49</f>
        <v>262739</v>
      </c>
      <c r="D33" s="169">
        <f>'1'!D45+'1'!D48+'1'!D49</f>
        <v>252310</v>
      </c>
      <c r="E33" s="169">
        <f>'1'!E45+'1'!E48+'1'!E49</f>
        <v>1092440</v>
      </c>
      <c r="F33" s="169">
        <f>'1'!F45+'1'!F48+'1'!F49</f>
        <v>10944299</v>
      </c>
      <c r="G33" s="169">
        <f>'1'!G45+'1'!G48+'1'!G49</f>
        <v>176222</v>
      </c>
      <c r="H33" s="169">
        <f>'1'!H45+'1'!H48+'1'!H49</f>
        <v>9675310</v>
      </c>
      <c r="I33" s="169">
        <f>'1'!I45+'1'!I48+'1'!I49</f>
        <v>751592</v>
      </c>
      <c r="J33" s="169">
        <f>'1'!J45+'1'!J48+'1'!J49</f>
        <v>702387</v>
      </c>
    </row>
    <row r="34" spans="1:10" ht="31.2" x14ac:dyDescent="0.3">
      <c r="A34" s="167" t="s">
        <v>560</v>
      </c>
      <c r="B34" s="259" t="s">
        <v>451</v>
      </c>
      <c r="C34" s="169">
        <f>'1'!C46</f>
        <v>6817353</v>
      </c>
      <c r="D34" s="169">
        <f>'1'!D46</f>
        <v>2027319</v>
      </c>
      <c r="E34" s="169">
        <f>'1'!E46</f>
        <v>2565248</v>
      </c>
      <c r="F34" s="169">
        <f>'1'!F46</f>
        <v>3010880</v>
      </c>
      <c r="G34" s="169">
        <f>'1'!G46</f>
        <v>3951678</v>
      </c>
      <c r="H34" s="169">
        <f>'1'!H46</f>
        <v>2001453</v>
      </c>
      <c r="I34" s="169">
        <f>'1'!I46</f>
        <v>1672552</v>
      </c>
      <c r="J34" s="169">
        <f>'1'!J46</f>
        <v>1437090</v>
      </c>
    </row>
    <row r="35" spans="1:10" x14ac:dyDescent="0.3">
      <c r="A35" s="292" t="s">
        <v>443</v>
      </c>
      <c r="B35" s="169"/>
      <c r="C35" s="169">
        <f t="shared" ref="C35:J35" si="11">SUM(C32:C34)</f>
        <v>48181606</v>
      </c>
      <c r="D35" s="169">
        <f t="shared" si="11"/>
        <v>48576530</v>
      </c>
      <c r="E35" s="169">
        <f t="shared" si="11"/>
        <v>51107141</v>
      </c>
      <c r="F35" s="169">
        <f t="shared" si="11"/>
        <v>58473580</v>
      </c>
      <c r="G35" s="169">
        <f t="shared" si="11"/>
        <v>50247918</v>
      </c>
      <c r="H35" s="169">
        <f t="shared" si="11"/>
        <v>46444092</v>
      </c>
      <c r="I35" s="169">
        <f t="shared" si="11"/>
        <v>33365697</v>
      </c>
      <c r="J35" s="169">
        <f t="shared" si="11"/>
        <v>29772054</v>
      </c>
    </row>
    <row r="36" spans="1:10" x14ac:dyDescent="0.3">
      <c r="A36" s="78"/>
    </row>
    <row r="37" spans="1:10" x14ac:dyDescent="0.3">
      <c r="A37" s="66" t="s">
        <v>561</v>
      </c>
      <c r="I37" s="66"/>
      <c r="J37" s="66"/>
    </row>
    <row r="38" spans="1:10" ht="16.2" x14ac:dyDescent="0.3">
      <c r="A38" s="293" t="s">
        <v>562</v>
      </c>
      <c r="B38" s="241" t="str">
        <f>B31</f>
        <v>Обозначения</v>
      </c>
      <c r="C38" s="241" t="str">
        <f t="shared" ref="C38:I38" si="12">C31</f>
        <v>31.12.2019</v>
      </c>
      <c r="D38" s="241" t="str">
        <f t="shared" si="12"/>
        <v>31.12.2018</v>
      </c>
      <c r="E38" s="241" t="str">
        <f t="shared" si="12"/>
        <v>31.12.2017</v>
      </c>
      <c r="F38" s="241" t="str">
        <f t="shared" si="12"/>
        <v>31.12.2016</v>
      </c>
      <c r="G38" s="241" t="str">
        <f t="shared" si="12"/>
        <v>31.12.2015</v>
      </c>
      <c r="H38" s="241" t="str">
        <f t="shared" si="12"/>
        <v>31.12.2014</v>
      </c>
      <c r="I38" s="241" t="str">
        <f t="shared" si="12"/>
        <v>31.12.2013</v>
      </c>
      <c r="J38" s="241" t="str">
        <f>J31</f>
        <v>31.12.2012</v>
      </c>
    </row>
    <row r="39" spans="1:10" ht="31.2" x14ac:dyDescent="0.3">
      <c r="A39" s="167" t="s">
        <v>563</v>
      </c>
      <c r="B39" s="294" t="s">
        <v>564</v>
      </c>
      <c r="C39" s="169">
        <f t="shared" ref="C39:J39" si="13">C32-C25</f>
        <v>21448415</v>
      </c>
      <c r="D39" s="169">
        <f t="shared" si="13"/>
        <v>31825852</v>
      </c>
      <c r="E39" s="169">
        <f t="shared" si="13"/>
        <v>28235137</v>
      </c>
      <c r="F39" s="169">
        <f t="shared" si="13"/>
        <v>35445787</v>
      </c>
      <c r="G39" s="169">
        <f t="shared" si="13"/>
        <v>35587081</v>
      </c>
      <c r="H39" s="169">
        <f t="shared" si="13"/>
        <v>23560533</v>
      </c>
      <c r="I39" s="169">
        <f t="shared" si="13"/>
        <v>14820857</v>
      </c>
      <c r="J39" s="169">
        <f t="shared" si="13"/>
        <v>8832494</v>
      </c>
    </row>
    <row r="40" spans="1:10" ht="62.4" x14ac:dyDescent="0.3">
      <c r="A40" s="167" t="s">
        <v>565</v>
      </c>
      <c r="B40" s="294" t="s">
        <v>566</v>
      </c>
      <c r="C40" s="169">
        <f t="shared" ref="C40:J40" si="14">C26-C34</f>
        <v>-2698469</v>
      </c>
      <c r="D40" s="169">
        <f t="shared" si="14"/>
        <v>659822</v>
      </c>
      <c r="E40" s="169">
        <f t="shared" si="14"/>
        <v>731025</v>
      </c>
      <c r="F40" s="169">
        <f t="shared" si="14"/>
        <v>-454994</v>
      </c>
      <c r="G40" s="169">
        <f t="shared" si="14"/>
        <v>-1201466</v>
      </c>
      <c r="H40" s="169">
        <f t="shared" si="14"/>
        <v>2894</v>
      </c>
      <c r="I40" s="169">
        <f t="shared" si="14"/>
        <v>126680</v>
      </c>
      <c r="J40" s="169">
        <f t="shared" si="14"/>
        <v>502503</v>
      </c>
    </row>
    <row r="41" spans="1:10" ht="46.8" x14ac:dyDescent="0.3">
      <c r="A41" s="167" t="s">
        <v>567</v>
      </c>
      <c r="B41" s="294" t="s">
        <v>568</v>
      </c>
      <c r="C41" s="169">
        <f t="shared" ref="C41:J41" si="15">C27-C33</f>
        <v>24146884</v>
      </c>
      <c r="D41" s="169">
        <f t="shared" si="15"/>
        <v>31166030</v>
      </c>
      <c r="E41" s="169">
        <f t="shared" si="15"/>
        <v>27504112</v>
      </c>
      <c r="F41" s="169">
        <f t="shared" si="15"/>
        <v>35900781</v>
      </c>
      <c r="G41" s="169">
        <f t="shared" si="15"/>
        <v>36788547</v>
      </c>
      <c r="H41" s="169">
        <f t="shared" si="15"/>
        <v>23557639</v>
      </c>
      <c r="I41" s="169">
        <f t="shared" si="15"/>
        <v>14694177</v>
      </c>
      <c r="J41" s="169">
        <f t="shared" si="15"/>
        <v>8329991</v>
      </c>
    </row>
    <row r="43" spans="1:10" x14ac:dyDescent="0.3">
      <c r="A43" s="66" t="s">
        <v>569</v>
      </c>
    </row>
    <row r="44" spans="1:10" ht="16.2" x14ac:dyDescent="0.35">
      <c r="A44" s="295"/>
    </row>
    <row r="45" spans="1:10" x14ac:dyDescent="0.3">
      <c r="A45" s="66" t="s">
        <v>551</v>
      </c>
      <c r="G45" s="66"/>
    </row>
    <row r="46" spans="1:10" s="33" customFormat="1" x14ac:dyDescent="0.25">
      <c r="A46" s="241" t="s">
        <v>6</v>
      </c>
      <c r="B46" s="241" t="str">
        <f>B38</f>
        <v>Обозначения</v>
      </c>
      <c r="C46" s="241" t="str">
        <f t="shared" ref="C46:I70" si="16">C38</f>
        <v>31.12.2019</v>
      </c>
      <c r="D46" s="241" t="str">
        <f t="shared" si="16"/>
        <v>31.12.2018</v>
      </c>
      <c r="E46" s="241" t="str">
        <f t="shared" si="16"/>
        <v>31.12.2017</v>
      </c>
      <c r="F46" s="241" t="str">
        <f t="shared" si="16"/>
        <v>31.12.2016</v>
      </c>
      <c r="G46" s="241" t="str">
        <f t="shared" si="16"/>
        <v>31.12.2015</v>
      </c>
      <c r="H46" s="241" t="str">
        <f t="shared" si="16"/>
        <v>31.12.2014</v>
      </c>
      <c r="I46" s="241" t="str">
        <f t="shared" si="16"/>
        <v>31.12.2013</v>
      </c>
      <c r="J46" s="241" t="str">
        <f>J38</f>
        <v>31.12.2012</v>
      </c>
    </row>
    <row r="47" spans="1:10" x14ac:dyDescent="0.3">
      <c r="A47" s="167" t="s">
        <v>553</v>
      </c>
      <c r="B47" s="259" t="s">
        <v>436</v>
      </c>
      <c r="C47" s="169">
        <f>'1'!C15</f>
        <v>19653099</v>
      </c>
      <c r="D47" s="169">
        <f>'1'!D15</f>
        <v>14471049</v>
      </c>
      <c r="E47" s="169">
        <f>'1'!E15</f>
        <v>19214316</v>
      </c>
      <c r="F47" s="169">
        <f>'1'!F15</f>
        <v>9072614</v>
      </c>
      <c r="G47" s="169">
        <f>'1'!G15</f>
        <v>10532937</v>
      </c>
      <c r="H47" s="169">
        <f>'1'!H15</f>
        <v>11206796</v>
      </c>
      <c r="I47" s="169">
        <f>'1'!I15</f>
        <v>16120696</v>
      </c>
      <c r="J47" s="169">
        <f>'1'!J15</f>
        <v>18800083</v>
      </c>
    </row>
    <row r="48" spans="1:10" ht="31.2" x14ac:dyDescent="0.3">
      <c r="A48" s="167" t="s">
        <v>554</v>
      </c>
      <c r="B48" s="259" t="s">
        <v>438</v>
      </c>
      <c r="C48" s="169">
        <f>'1'!C17+'1'!C18+'1'!C20+'1'!C22+'1'!C24</f>
        <v>22427144</v>
      </c>
      <c r="D48" s="169">
        <f>'1'!D17+'1'!D18+'1'!D20+'1'!D22+'1'!D24</f>
        <v>30000493</v>
      </c>
      <c r="E48" s="169">
        <f>'1'!E17+'1'!E18+'1'!E20+'1'!E22+'1'!E24</f>
        <v>25631779</v>
      </c>
      <c r="F48" s="169">
        <f>'1'!F17+'1'!F18+'1'!F20+'1'!F22+'1'!F24</f>
        <v>41147030</v>
      </c>
      <c r="G48" s="169">
        <f>'1'!G17+'1'!G18+'1'!G20+'1'!G22+'1'!G24</f>
        <v>27886115</v>
      </c>
      <c r="H48" s="169">
        <f>'1'!H17+'1'!H18+'1'!H20+'1'!H22+'1'!H24</f>
        <v>26256330</v>
      </c>
      <c r="I48" s="169">
        <f>'1'!I17+'1'!I18+'1'!I20+'1'!I22+'1'!I24</f>
        <v>14117010</v>
      </c>
      <c r="J48" s="169">
        <f>'1'!J17+'1'!J18+'1'!J20+'1'!J22+'1'!J24</f>
        <v>8262603</v>
      </c>
    </row>
    <row r="49" spans="1:10" x14ac:dyDescent="0.3">
      <c r="A49" s="167" t="s">
        <v>570</v>
      </c>
      <c r="B49" s="259" t="s">
        <v>440</v>
      </c>
      <c r="C49" s="169">
        <f>'1'!C21</f>
        <v>2703825</v>
      </c>
      <c r="D49" s="169">
        <f>'1'!D21</f>
        <v>3097566</v>
      </c>
      <c r="E49" s="169">
        <f>'1'!E21</f>
        <v>3139713</v>
      </c>
      <c r="F49" s="169">
        <f>'1'!F21</f>
        <v>3705802</v>
      </c>
      <c r="G49" s="169">
        <f>'1'!G21</f>
        <v>5173686</v>
      </c>
      <c r="H49" s="169">
        <f>'1'!H21</f>
        <v>5252945</v>
      </c>
      <c r="I49" s="169">
        <f>'1'!I21</f>
        <v>2618044</v>
      </c>
      <c r="J49" s="169">
        <f>'1'!J21</f>
        <v>1878256</v>
      </c>
    </row>
    <row r="50" spans="1:10" ht="31.2" x14ac:dyDescent="0.3">
      <c r="A50" s="167" t="s">
        <v>571</v>
      </c>
      <c r="B50" s="259" t="s">
        <v>442</v>
      </c>
      <c r="C50" s="169">
        <f>'1'!C23</f>
        <v>3397538</v>
      </c>
      <c r="D50" s="169">
        <f>'1'!D23</f>
        <v>1007422</v>
      </c>
      <c r="E50" s="169">
        <f>'1'!E23</f>
        <v>3121333</v>
      </c>
      <c r="F50" s="169">
        <f>'1'!F23</f>
        <v>4548134</v>
      </c>
      <c r="G50" s="169">
        <f>'1'!G23</f>
        <v>6655180</v>
      </c>
      <c r="H50" s="169">
        <f>'1'!H23</f>
        <v>3728021</v>
      </c>
      <c r="I50" s="169">
        <f>'1'!I23</f>
        <v>509947</v>
      </c>
      <c r="J50" s="169">
        <f>'1'!J23</f>
        <v>831112</v>
      </c>
    </row>
    <row r="51" spans="1:10" x14ac:dyDescent="0.3">
      <c r="A51" s="292" t="s">
        <v>443</v>
      </c>
      <c r="B51" s="259"/>
      <c r="C51" s="169">
        <f t="shared" ref="C51:J51" si="17">SUM(C47:C50)</f>
        <v>48181606</v>
      </c>
      <c r="D51" s="169">
        <f t="shared" si="17"/>
        <v>48576530</v>
      </c>
      <c r="E51" s="169">
        <f t="shared" si="17"/>
        <v>51107141</v>
      </c>
      <c r="F51" s="169">
        <f t="shared" si="17"/>
        <v>58473580</v>
      </c>
      <c r="G51" s="169">
        <f t="shared" si="17"/>
        <v>50247918</v>
      </c>
      <c r="H51" s="169">
        <f t="shared" si="17"/>
        <v>46444092</v>
      </c>
      <c r="I51" s="169">
        <f t="shared" si="17"/>
        <v>33365697</v>
      </c>
      <c r="J51" s="169">
        <f t="shared" si="17"/>
        <v>29772054</v>
      </c>
    </row>
    <row r="52" spans="1:10" x14ac:dyDescent="0.3">
      <c r="A52" s="77"/>
    </row>
    <row r="53" spans="1:10" x14ac:dyDescent="0.3">
      <c r="A53" s="77"/>
    </row>
    <row r="54" spans="1:10" s="33" customFormat="1" x14ac:dyDescent="0.25">
      <c r="A54" s="164" t="s">
        <v>36</v>
      </c>
      <c r="B54" s="241" t="str">
        <f>B46</f>
        <v>Обозначения</v>
      </c>
      <c r="C54" s="241" t="str">
        <f t="shared" si="16"/>
        <v>31.12.2019</v>
      </c>
      <c r="D54" s="241" t="str">
        <f t="shared" si="16"/>
        <v>31.12.2018</v>
      </c>
      <c r="E54" s="241" t="str">
        <f t="shared" si="16"/>
        <v>31.12.2017</v>
      </c>
      <c r="F54" s="241" t="str">
        <f t="shared" si="16"/>
        <v>31.12.2016</v>
      </c>
      <c r="G54" s="241" t="str">
        <f t="shared" si="16"/>
        <v>31.12.2015</v>
      </c>
      <c r="H54" s="241" t="str">
        <f t="shared" si="16"/>
        <v>31.12.2014</v>
      </c>
      <c r="I54" s="241" t="str">
        <f t="shared" si="16"/>
        <v>31.12.2013</v>
      </c>
      <c r="J54" s="241" t="str">
        <f>J46</f>
        <v>31.12.2012</v>
      </c>
    </row>
    <row r="55" spans="1:10" x14ac:dyDescent="0.3">
      <c r="A55" s="167" t="s">
        <v>572</v>
      </c>
      <c r="B55" s="259" t="s">
        <v>445</v>
      </c>
      <c r="C55" s="169">
        <f>'1'!C37+'1'!C47</f>
        <v>40426353</v>
      </c>
      <c r="D55" s="169">
        <f>'1'!D37+'1'!D47</f>
        <v>45744960</v>
      </c>
      <c r="E55" s="169">
        <f>'1'!E37+'1'!E47</f>
        <v>47029719</v>
      </c>
      <c r="F55" s="169">
        <f>'1'!F37+'1'!F47</f>
        <v>41256998</v>
      </c>
      <c r="G55" s="169">
        <f>'1'!G37+'1'!G47</f>
        <v>34912255</v>
      </c>
      <c r="H55" s="169">
        <f>'1'!H37+'1'!H47</f>
        <v>26137042</v>
      </c>
      <c r="I55" s="169">
        <f>'1'!I37+'1'!I47</f>
        <v>25907804</v>
      </c>
      <c r="J55" s="169">
        <f>'1'!J37+'1'!J47</f>
        <v>22064499</v>
      </c>
    </row>
    <row r="56" spans="1:10" x14ac:dyDescent="0.3">
      <c r="A56" s="167" t="s">
        <v>573</v>
      </c>
      <c r="B56" s="259" t="s">
        <v>447</v>
      </c>
      <c r="C56" s="169">
        <f>'1'!C43</f>
        <v>675161</v>
      </c>
      <c r="D56" s="169">
        <f>'1'!D43</f>
        <v>551941</v>
      </c>
      <c r="E56" s="169">
        <f>'1'!E43</f>
        <v>419734</v>
      </c>
      <c r="F56" s="169">
        <f>'1'!F43</f>
        <v>3261403</v>
      </c>
      <c r="G56" s="169">
        <f>'1'!G43</f>
        <v>11207763</v>
      </c>
      <c r="H56" s="169">
        <f>'1'!H43</f>
        <v>8630287</v>
      </c>
      <c r="I56" s="169">
        <f>'1'!I43</f>
        <v>5033749</v>
      </c>
      <c r="J56" s="169">
        <f>'1'!J43</f>
        <v>5568078</v>
      </c>
    </row>
    <row r="57" spans="1:10" x14ac:dyDescent="0.3">
      <c r="A57" s="167" t="s">
        <v>559</v>
      </c>
      <c r="B57" s="259" t="s">
        <v>449</v>
      </c>
      <c r="C57" s="169">
        <f>'1'!C45+'1'!C48+'1'!C49</f>
        <v>262739</v>
      </c>
      <c r="D57" s="169">
        <f>'1'!D45+'1'!D48+'1'!D49</f>
        <v>252310</v>
      </c>
      <c r="E57" s="169">
        <f>'1'!E45+'1'!E48+'1'!E49</f>
        <v>1092440</v>
      </c>
      <c r="F57" s="169">
        <f>'1'!F45+'1'!F48+'1'!F49</f>
        <v>10944299</v>
      </c>
      <c r="G57" s="169">
        <f>'1'!G45+'1'!G48+'1'!G49</f>
        <v>176222</v>
      </c>
      <c r="H57" s="169">
        <f>'1'!H45+'1'!H48+'1'!H49</f>
        <v>9675310</v>
      </c>
      <c r="I57" s="169">
        <f>'1'!I45+'1'!I48+'1'!I49</f>
        <v>751592</v>
      </c>
      <c r="J57" s="169">
        <f>'1'!J45+'1'!J48+'1'!J49</f>
        <v>702387</v>
      </c>
    </row>
    <row r="58" spans="1:10" ht="31.2" x14ac:dyDescent="0.3">
      <c r="A58" s="167" t="s">
        <v>560</v>
      </c>
      <c r="B58" s="259" t="s">
        <v>451</v>
      </c>
      <c r="C58" s="169">
        <f>'1'!C46</f>
        <v>6817353</v>
      </c>
      <c r="D58" s="169">
        <f>'1'!D46</f>
        <v>2027319</v>
      </c>
      <c r="E58" s="169">
        <f>'1'!E46</f>
        <v>2565248</v>
      </c>
      <c r="F58" s="169">
        <f>'1'!F46</f>
        <v>3010880</v>
      </c>
      <c r="G58" s="169">
        <f>'1'!G46</f>
        <v>3951678</v>
      </c>
      <c r="H58" s="169">
        <f>'1'!H46</f>
        <v>2001453</v>
      </c>
      <c r="I58" s="169">
        <f>'1'!I46</f>
        <v>1672552</v>
      </c>
      <c r="J58" s="169">
        <f>'1'!J46</f>
        <v>1437090</v>
      </c>
    </row>
    <row r="59" spans="1:10" x14ac:dyDescent="0.3">
      <c r="A59" s="292" t="s">
        <v>443</v>
      </c>
      <c r="B59" s="259"/>
      <c r="C59" s="169">
        <f t="shared" ref="C59:J59" si="18">SUM(C55:C58)</f>
        <v>48181606</v>
      </c>
      <c r="D59" s="169">
        <f t="shared" si="18"/>
        <v>48576530</v>
      </c>
      <c r="E59" s="169">
        <f t="shared" si="18"/>
        <v>51107141</v>
      </c>
      <c r="F59" s="169">
        <f t="shared" si="18"/>
        <v>58473580</v>
      </c>
      <c r="G59" s="169">
        <f t="shared" si="18"/>
        <v>50247918</v>
      </c>
      <c r="H59" s="169">
        <f t="shared" si="18"/>
        <v>46444092</v>
      </c>
      <c r="I59" s="169">
        <f t="shared" si="18"/>
        <v>33365697</v>
      </c>
      <c r="J59" s="169">
        <f t="shared" si="18"/>
        <v>29772054</v>
      </c>
    </row>
    <row r="60" spans="1:10" x14ac:dyDescent="0.3">
      <c r="I60" s="66"/>
    </row>
    <row r="61" spans="1:10" x14ac:dyDescent="0.3">
      <c r="A61" s="66" t="s">
        <v>574</v>
      </c>
      <c r="I61" s="66"/>
    </row>
    <row r="62" spans="1:10" s="33" customFormat="1" ht="16.2" x14ac:dyDescent="0.25">
      <c r="A62" s="293" t="s">
        <v>562</v>
      </c>
      <c r="B62" s="241" t="str">
        <f>B54</f>
        <v>Обозначения</v>
      </c>
      <c r="C62" s="241" t="str">
        <f t="shared" si="16"/>
        <v>31.12.2019</v>
      </c>
      <c r="D62" s="241" t="str">
        <f t="shared" si="16"/>
        <v>31.12.2018</v>
      </c>
      <c r="E62" s="241" t="str">
        <f t="shared" si="16"/>
        <v>31.12.2017</v>
      </c>
      <c r="F62" s="241" t="str">
        <f t="shared" si="16"/>
        <v>31.12.2016</v>
      </c>
      <c r="G62" s="241" t="str">
        <f t="shared" si="16"/>
        <v>31.12.2015</v>
      </c>
      <c r="H62" s="241" t="str">
        <f t="shared" si="16"/>
        <v>31.12.2014</v>
      </c>
      <c r="I62" s="241" t="str">
        <f t="shared" si="16"/>
        <v>31.12.2013</v>
      </c>
      <c r="J62" s="241" t="str">
        <f>J54</f>
        <v>31.12.2012</v>
      </c>
    </row>
    <row r="63" spans="1:10" x14ac:dyDescent="0.3">
      <c r="A63" s="167" t="s">
        <v>575</v>
      </c>
      <c r="B63" s="259" t="s">
        <v>576</v>
      </c>
      <c r="C63" s="169">
        <f t="shared" ref="C63:J63" si="19">C55-C47</f>
        <v>20773254</v>
      </c>
      <c r="D63" s="169">
        <f t="shared" si="19"/>
        <v>31273911</v>
      </c>
      <c r="E63" s="169">
        <f t="shared" si="19"/>
        <v>27815403</v>
      </c>
      <c r="F63" s="169">
        <f t="shared" si="19"/>
        <v>32184384</v>
      </c>
      <c r="G63" s="169">
        <f t="shared" si="19"/>
        <v>24379318</v>
      </c>
      <c r="H63" s="169">
        <f t="shared" si="19"/>
        <v>14930246</v>
      </c>
      <c r="I63" s="169">
        <f t="shared" si="19"/>
        <v>9787108</v>
      </c>
      <c r="J63" s="169">
        <f t="shared" si="19"/>
        <v>3264416</v>
      </c>
    </row>
    <row r="64" spans="1:10" ht="46.8" x14ac:dyDescent="0.3">
      <c r="A64" s="167" t="s">
        <v>577</v>
      </c>
      <c r="B64" s="259" t="s">
        <v>578</v>
      </c>
      <c r="C64" s="169">
        <f t="shared" ref="C64:C66" si="20">C48-C56</f>
        <v>21751983</v>
      </c>
      <c r="D64" s="169">
        <f t="shared" ref="D64:D66" si="21">D48-D56</f>
        <v>29448552</v>
      </c>
      <c r="E64" s="169">
        <f t="shared" ref="E64:E66" si="22">E48-E56</f>
        <v>25212045</v>
      </c>
      <c r="F64" s="169">
        <f t="shared" ref="F64:F66" si="23">F48-F56</f>
        <v>37885627</v>
      </c>
      <c r="G64" s="169">
        <f t="shared" ref="G64:G66" si="24">G48-G56</f>
        <v>16678352</v>
      </c>
      <c r="H64" s="169">
        <f t="shared" ref="H64:H66" si="25">H48-H56</f>
        <v>17626043</v>
      </c>
      <c r="I64" s="169">
        <f t="shared" ref="I64:I66" si="26">I48-I56</f>
        <v>9083261</v>
      </c>
      <c r="J64" s="169">
        <f t="shared" ref="J64:J66" si="27">J48-J56</f>
        <v>2694525</v>
      </c>
    </row>
    <row r="65" spans="1:10" ht="31.2" x14ac:dyDescent="0.3">
      <c r="A65" s="167" t="s">
        <v>579</v>
      </c>
      <c r="B65" s="259" t="s">
        <v>580</v>
      </c>
      <c r="C65" s="169">
        <f t="shared" si="20"/>
        <v>2441086</v>
      </c>
      <c r="D65" s="169">
        <f t="shared" si="21"/>
        <v>2845256</v>
      </c>
      <c r="E65" s="169">
        <f t="shared" si="22"/>
        <v>2047273</v>
      </c>
      <c r="F65" s="169">
        <f t="shared" si="23"/>
        <v>-7238497</v>
      </c>
      <c r="G65" s="169">
        <f t="shared" si="24"/>
        <v>4997464</v>
      </c>
      <c r="H65" s="169">
        <f t="shared" si="25"/>
        <v>-4422365</v>
      </c>
      <c r="I65" s="169">
        <f t="shared" si="26"/>
        <v>1866452</v>
      </c>
      <c r="J65" s="169">
        <f t="shared" si="27"/>
        <v>1175869</v>
      </c>
    </row>
    <row r="66" spans="1:10" ht="48" customHeight="1" x14ac:dyDescent="0.3">
      <c r="A66" s="167" t="s">
        <v>581</v>
      </c>
      <c r="B66" s="259" t="s">
        <v>582</v>
      </c>
      <c r="C66" s="169">
        <f t="shared" si="20"/>
        <v>-3419815</v>
      </c>
      <c r="D66" s="169">
        <f t="shared" si="21"/>
        <v>-1019897</v>
      </c>
      <c r="E66" s="169">
        <f t="shared" si="22"/>
        <v>556085</v>
      </c>
      <c r="F66" s="169">
        <f t="shared" si="23"/>
        <v>1537254</v>
      </c>
      <c r="G66" s="169">
        <f t="shared" si="24"/>
        <v>2703502</v>
      </c>
      <c r="H66" s="169">
        <f t="shared" si="25"/>
        <v>1726568</v>
      </c>
      <c r="I66" s="169">
        <f t="shared" si="26"/>
        <v>-1162605</v>
      </c>
      <c r="J66" s="169">
        <f t="shared" si="27"/>
        <v>-605978</v>
      </c>
    </row>
    <row r="68" spans="1:10" x14ac:dyDescent="0.3">
      <c r="A68" s="281" t="s">
        <v>583</v>
      </c>
    </row>
    <row r="69" spans="1:10" s="177" customFormat="1" x14ac:dyDescent="0.3">
      <c r="A69" s="186" t="s">
        <v>584</v>
      </c>
      <c r="D69" s="195"/>
    </row>
    <row r="70" spans="1:10" s="273" customFormat="1" x14ac:dyDescent="0.25">
      <c r="A70" s="296" t="s">
        <v>177</v>
      </c>
      <c r="B70" s="188" t="s">
        <v>585</v>
      </c>
      <c r="C70" s="297" t="str">
        <f t="shared" si="16"/>
        <v>31.12.2019</v>
      </c>
      <c r="D70" s="297" t="str">
        <f t="shared" ref="D70:I70" si="28">D62</f>
        <v>31.12.2018</v>
      </c>
      <c r="E70" s="297" t="str">
        <f t="shared" si="28"/>
        <v>31.12.2017</v>
      </c>
      <c r="F70" s="297" t="str">
        <f t="shared" si="28"/>
        <v>31.12.2016</v>
      </c>
      <c r="G70" s="297" t="str">
        <f t="shared" si="28"/>
        <v>31.12.2015</v>
      </c>
      <c r="H70" s="297" t="str">
        <f t="shared" si="28"/>
        <v>31.12.2014</v>
      </c>
      <c r="I70" s="297" t="str">
        <f t="shared" si="28"/>
        <v>31.12.2013</v>
      </c>
      <c r="J70" s="297" t="str">
        <f>J62</f>
        <v>31.12.2012</v>
      </c>
    </row>
    <row r="71" spans="1:10" s="177" customFormat="1" x14ac:dyDescent="0.3">
      <c r="A71" s="190" t="s">
        <v>586</v>
      </c>
      <c r="B71" s="298">
        <v>1</v>
      </c>
      <c r="C71" s="299">
        <f t="shared" ref="C71:J71" si="29">(C50+0.5*C49+0.3*C48)/(C56+0.5*C57+0.3*C58)</f>
        <v>4.0247737133067414</v>
      </c>
      <c r="D71" s="300">
        <f t="shared" si="29"/>
        <v>8.9842396557483823</v>
      </c>
      <c r="E71" s="299">
        <f t="shared" si="29"/>
        <v>7.1336909266365218</v>
      </c>
      <c r="F71" s="300">
        <f t="shared" si="29"/>
        <v>1.9451593791372908</v>
      </c>
      <c r="G71" s="299">
        <f t="shared" si="29"/>
        <v>1.4107303173125747</v>
      </c>
      <c r="H71" s="300">
        <f t="shared" si="29"/>
        <v>1.0115873060248117</v>
      </c>
      <c r="I71" s="299">
        <f t="shared" si="29"/>
        <v>1.0241505496260002</v>
      </c>
      <c r="J71" s="300">
        <f t="shared" si="29"/>
        <v>0.66909515993366409</v>
      </c>
    </row>
    <row r="72" spans="1:10" s="177" customFormat="1" x14ac:dyDescent="0.3">
      <c r="A72" s="278" t="s">
        <v>587</v>
      </c>
      <c r="B72" s="298">
        <v>0.05</v>
      </c>
      <c r="C72" s="300">
        <f t="shared" ref="C72:J72" si="30">C50/C58</f>
        <v>0.49836615472310147</v>
      </c>
      <c r="D72" s="299">
        <f t="shared" si="30"/>
        <v>0.49692327650458562</v>
      </c>
      <c r="E72" s="300">
        <f t="shared" si="30"/>
        <v>1.2167763116860437</v>
      </c>
      <c r="F72" s="299">
        <f t="shared" si="30"/>
        <v>1.5105663460516527</v>
      </c>
      <c r="G72" s="300">
        <f t="shared" si="30"/>
        <v>1.684140256367042</v>
      </c>
      <c r="H72" s="299">
        <f t="shared" si="30"/>
        <v>1.8626572794864531</v>
      </c>
      <c r="I72" s="300">
        <f t="shared" si="30"/>
        <v>0.30489156689896635</v>
      </c>
      <c r="J72" s="300">
        <f t="shared" si="30"/>
        <v>0.57832981928758809</v>
      </c>
    </row>
    <row r="73" spans="1:10" s="177" customFormat="1" x14ac:dyDescent="0.3">
      <c r="A73" s="278" t="s">
        <v>588</v>
      </c>
      <c r="B73" s="298">
        <v>0.7</v>
      </c>
      <c r="C73" s="299">
        <f t="shared" ref="C73:J73" si="31">(C50+C49)/C58</f>
        <v>0.89497536653888976</v>
      </c>
      <c r="D73" s="300">
        <f t="shared" si="31"/>
        <v>2.0248357559910404</v>
      </c>
      <c r="E73" s="299">
        <f t="shared" si="31"/>
        <v>2.4407176226236218</v>
      </c>
      <c r="F73" s="300">
        <f t="shared" si="31"/>
        <v>2.7413699649271974</v>
      </c>
      <c r="G73" s="299">
        <f t="shared" si="31"/>
        <v>2.9933780029648163</v>
      </c>
      <c r="H73" s="300">
        <f t="shared" si="31"/>
        <v>4.4872230324669129</v>
      </c>
      <c r="I73" s="299">
        <f t="shared" si="31"/>
        <v>1.8701905830132635</v>
      </c>
      <c r="J73" s="300">
        <f t="shared" si="31"/>
        <v>1.885315463888831</v>
      </c>
    </row>
    <row r="74" spans="1:10" s="177" customFormat="1" x14ac:dyDescent="0.3">
      <c r="A74" s="278" t="s">
        <v>589</v>
      </c>
      <c r="B74" s="298">
        <v>1.5</v>
      </c>
      <c r="C74" s="300">
        <f>'1'!C25/'1'!C50</f>
        <v>4.0250424923103276</v>
      </c>
      <c r="D74" s="300">
        <f>'1'!D25/'1'!D50</f>
        <v>14.954903959781721</v>
      </c>
      <c r="E74" s="300">
        <f>'1'!E25/'1'!E50</f>
        <v>8.7168088864764233</v>
      </c>
      <c r="F74" s="300">
        <f>'1'!F25/'1'!F50</f>
        <v>3.5396581201357971</v>
      </c>
      <c r="G74" s="300">
        <f>'1'!G25/'1'!G50</f>
        <v>9.617841316076829</v>
      </c>
      <c r="H74" s="300">
        <f>'1'!H25/'1'!H50</f>
        <v>3.0173244878867473</v>
      </c>
      <c r="I74" s="300">
        <f>'1'!I25/'1'!I50</f>
        <v>7.1088019701005747</v>
      </c>
      <c r="J74" s="300">
        <f>'1'!J25/'1'!J50</f>
        <v>5.1231511291553922</v>
      </c>
    </row>
    <row r="75" spans="1:10" s="177" customFormat="1" x14ac:dyDescent="0.3">
      <c r="B75" s="301"/>
      <c r="C75" s="302"/>
      <c r="D75" s="302"/>
    </row>
    <row r="76" spans="1:10" s="177" customFormat="1" x14ac:dyDescent="0.3">
      <c r="A76" s="186" t="s">
        <v>590</v>
      </c>
      <c r="B76" s="301"/>
      <c r="C76" s="302"/>
      <c r="D76" s="302"/>
    </row>
    <row r="77" spans="1:10" s="186" customFormat="1" x14ac:dyDescent="0.3">
      <c r="A77" s="296" t="s">
        <v>177</v>
      </c>
      <c r="B77" s="303" t="str">
        <f>B70</f>
        <v>норматив</v>
      </c>
      <c r="C77" s="303" t="str">
        <f t="shared" ref="C77:I77" si="32">C70</f>
        <v>31.12.2019</v>
      </c>
      <c r="D77" s="303" t="str">
        <f t="shared" si="32"/>
        <v>31.12.2018</v>
      </c>
      <c r="E77" s="303" t="str">
        <f t="shared" si="32"/>
        <v>31.12.2017</v>
      </c>
      <c r="F77" s="303" t="str">
        <f t="shared" si="32"/>
        <v>31.12.2016</v>
      </c>
      <c r="G77" s="303" t="str">
        <f t="shared" si="32"/>
        <v>31.12.2015</v>
      </c>
      <c r="H77" s="303" t="str">
        <f t="shared" si="32"/>
        <v>31.12.2014</v>
      </c>
      <c r="I77" s="303" t="str">
        <f t="shared" si="32"/>
        <v>31.12.2013</v>
      </c>
      <c r="J77" s="303" t="str">
        <f>J70</f>
        <v>31.12.2012</v>
      </c>
    </row>
    <row r="78" spans="1:10" s="177" customFormat="1" x14ac:dyDescent="0.3">
      <c r="A78" s="304" t="s">
        <v>513</v>
      </c>
      <c r="B78" s="305">
        <v>0.5</v>
      </c>
      <c r="C78" s="306">
        <f>'1'!C37/'1'!C26</f>
        <v>0.8388822074548532</v>
      </c>
      <c r="D78" s="306">
        <f>'1'!D37/'1'!D26</f>
        <v>0.94169003014418695</v>
      </c>
      <c r="E78" s="306">
        <f>'1'!E37/'1'!E26</f>
        <v>0.92019692512245987</v>
      </c>
      <c r="F78" s="306">
        <f>'1'!F37/'1'!F26</f>
        <v>0.70554520520207586</v>
      </c>
      <c r="G78" s="306">
        <f>'1'!G37/'1'!G26</f>
        <v>0.69477210976184123</v>
      </c>
      <c r="H78" s="306">
        <f>'1'!H37/'1'!H26</f>
        <v>0.56272991621840729</v>
      </c>
      <c r="I78" s="306">
        <f>'1'!I37/'1'!I26</f>
        <v>0.77642861769079785</v>
      </c>
      <c r="J78" s="306">
        <f>'1'!J37/'1'!J26</f>
        <v>0.74104161573803407</v>
      </c>
    </row>
    <row r="79" spans="1:10" s="177" customFormat="1" x14ac:dyDescent="0.3">
      <c r="A79" s="304" t="s">
        <v>591</v>
      </c>
      <c r="B79" s="305">
        <v>0.7</v>
      </c>
      <c r="C79" s="306">
        <f>('1'!C37+'1'!C43)/'1'!C26</f>
        <v>0.85289504463591359</v>
      </c>
      <c r="D79" s="306">
        <f>('1'!D37+'1'!D43)/'1'!D26</f>
        <v>0.95305232794520311</v>
      </c>
      <c r="E79" s="306">
        <f>('1'!E37+'1'!E43)/'1'!E26</f>
        <v>0.92840975001908244</v>
      </c>
      <c r="F79" s="306">
        <f>('1'!F37+'1'!F43)/'1'!F26</f>
        <v>0.76132087346114263</v>
      </c>
      <c r="G79" s="306">
        <f>('1'!G37+'1'!G43)/'1'!G26</f>
        <v>0.91782141102841319</v>
      </c>
      <c r="H79" s="306">
        <f>('1'!H37+'1'!H43)/'1'!H26</f>
        <v>0.74855090287910031</v>
      </c>
      <c r="I79" s="306">
        <f>('1'!I37+'1'!I43)/'1'!I26</f>
        <v>0.92729461038982641</v>
      </c>
      <c r="J79" s="306">
        <f>('1'!J37+'1'!J43)/'1'!J26</f>
        <v>0.92806525878261537</v>
      </c>
    </row>
    <row r="80" spans="1:10" s="177" customFormat="1" ht="31.2" x14ac:dyDescent="0.3">
      <c r="A80" s="304" t="s">
        <v>592</v>
      </c>
      <c r="B80" s="305">
        <f>2/3</f>
        <v>0.66666666666666663</v>
      </c>
      <c r="C80" s="306">
        <f>('1'!C39+'1'!C45)/'1'!C37</f>
        <v>0</v>
      </c>
      <c r="D80" s="306">
        <f>('1'!D39+'1'!D45)/'1'!D37</f>
        <v>0</v>
      </c>
      <c r="E80" s="306">
        <f>('1'!E39+'1'!E45)/'1'!E37</f>
        <v>1.8425816918263033E-2</v>
      </c>
      <c r="F80" s="306">
        <f>('1'!F39+'1'!F45)/'1'!F37</f>
        <v>0.33271984315206066</v>
      </c>
      <c r="G80" s="306">
        <f>('1'!G39+'1'!G45)/'1'!G37</f>
        <v>0.31359160183200341</v>
      </c>
      <c r="H80" s="306">
        <f>('1'!H39+'1'!H45)/'1'!H37</f>
        <v>0.68943711766533466</v>
      </c>
      <c r="I80" s="306">
        <f>('1'!I39+'1'!I45)/'1'!I37</f>
        <v>0.21489679527764946</v>
      </c>
      <c r="J80" s="306">
        <f>('1'!J39+'1'!J45)/'1'!J37</f>
        <v>0.27431339870660087</v>
      </c>
    </row>
    <row r="81" spans="1:10" s="177" customFormat="1" ht="31.2" x14ac:dyDescent="0.3">
      <c r="A81" s="304" t="s">
        <v>593</v>
      </c>
      <c r="B81" s="305">
        <v>0.1</v>
      </c>
      <c r="C81" s="306">
        <f>('1'!C37-'1'!C15)/'1'!C25</f>
        <v>0.72788923023556751</v>
      </c>
      <c r="D81" s="306">
        <f>('1'!D37-'1'!D15)/'1'!D25</f>
        <v>0.91694895022885037</v>
      </c>
      <c r="E81" s="306">
        <f>('1'!E37-'1'!E15)/'1'!E25</f>
        <v>0.87211835263887727</v>
      </c>
      <c r="F81" s="306">
        <f>('1'!F37-'1'!F15)/'1'!F25</f>
        <v>0.65146782757244059</v>
      </c>
      <c r="G81" s="306">
        <f>('1'!G37-'1'!G15)/'1'!G25</f>
        <v>0.61382164579154652</v>
      </c>
      <c r="H81" s="306">
        <f>('1'!H37-'1'!H15)/'1'!H25</f>
        <v>0.42366145234299474</v>
      </c>
      <c r="I81" s="306">
        <f>('1'!I37-'1'!I15)/'1'!I25</f>
        <v>0.56743319411810988</v>
      </c>
      <c r="J81" s="306">
        <f>('1'!J37-'1'!J15)/'1'!J25</f>
        <v>0.29732561269073715</v>
      </c>
    </row>
    <row r="82" spans="1:10" s="177" customFormat="1" ht="31.2" x14ac:dyDescent="0.3">
      <c r="A82" s="304" t="s">
        <v>594</v>
      </c>
      <c r="B82" s="305">
        <v>1</v>
      </c>
      <c r="C82" s="306">
        <f>('1'!C37+'1'!C43-'1'!C15)/'1'!C17</f>
        <v>6.3826280737643915</v>
      </c>
      <c r="D82" s="306">
        <f>('1'!D37+'1'!D43-'1'!D15)/'1'!D17</f>
        <v>12.96807990882186</v>
      </c>
      <c r="E82" s="306">
        <f>('1'!E37+'1'!E43-'1'!E15)/'1'!E17</f>
        <v>10.88375176888588</v>
      </c>
      <c r="F82" s="306">
        <f>('1'!F37+'1'!F43-'1'!F15)/'1'!F17</f>
        <v>16.23280603321345</v>
      </c>
      <c r="G82" s="306">
        <f>('1'!G37+'1'!G43-'1'!G15)/'1'!G17</f>
        <v>18.049466312024361</v>
      </c>
      <c r="H82" s="306">
        <f>('1'!H37+'1'!H43-'1'!H15)/'1'!H17</f>
        <v>14.130030144581232</v>
      </c>
      <c r="I82" s="306">
        <f>('1'!I37+'1'!I43-'1'!I15)/'1'!I17</f>
        <v>9.8420497895989634</v>
      </c>
      <c r="J82" s="306">
        <f>('1'!J37+'1'!J43-'1'!J15)/'1'!J17</f>
        <v>4.8752312612801125</v>
      </c>
    </row>
    <row r="83" spans="1:10" s="177" customFormat="1" ht="46.8" x14ac:dyDescent="0.3">
      <c r="A83" s="304" t="s">
        <v>595</v>
      </c>
      <c r="B83" s="305">
        <v>0.1</v>
      </c>
      <c r="C83" s="306">
        <f>('1'!C37-'1'!C15)/'1'!C37</f>
        <v>0.51376212273271982</v>
      </c>
      <c r="D83" s="306">
        <f>('1'!D37-'1'!D15)/'1'!D37</f>
        <v>0.68365166482693673</v>
      </c>
      <c r="E83" s="306">
        <f>('1'!E37-'1'!E15)/'1'!E37</f>
        <v>0.59143367846916417</v>
      </c>
      <c r="F83" s="306">
        <f>('1'!F37-'1'!F15)/'1'!F37</f>
        <v>0.78008851807677537</v>
      </c>
      <c r="G83" s="306">
        <f>('1'!G37-'1'!G15)/'1'!G37</f>
        <v>0.69829046280509</v>
      </c>
      <c r="H83" s="306">
        <f>('1'!H37-'1'!H15)/'1'!H37</f>
        <v>0.57120374295784893</v>
      </c>
      <c r="I83" s="306">
        <f>('1'!I37-'1'!I15)/'1'!I37</f>
        <v>0.37772543142571696</v>
      </c>
      <c r="J83" s="306">
        <f>('1'!J37-'1'!J15)/'1'!J37</f>
        <v>0.14786506466610441</v>
      </c>
    </row>
    <row r="84" spans="1:10" s="177" customFormat="1" x14ac:dyDescent="0.3">
      <c r="A84" s="307"/>
      <c r="B84" s="308"/>
      <c r="C84" s="185"/>
      <c r="D84" s="185"/>
    </row>
    <row r="86" spans="1:10" s="177" customFormat="1" x14ac:dyDescent="0.3">
      <c r="A86" s="186" t="s">
        <v>596</v>
      </c>
      <c r="B86" s="308"/>
      <c r="C86" s="185"/>
      <c r="D86" s="185"/>
    </row>
    <row r="87" spans="1:10" s="186" customFormat="1" x14ac:dyDescent="0.3">
      <c r="A87" s="296" t="s">
        <v>177</v>
      </c>
      <c r="B87" s="267" t="str">
        <f>C77</f>
        <v>31.12.2019</v>
      </c>
      <c r="C87" s="267" t="str">
        <f t="shared" ref="C87:H87" si="33">D77</f>
        <v>31.12.2018</v>
      </c>
      <c r="D87" s="267" t="str">
        <f t="shared" si="33"/>
        <v>31.12.2017</v>
      </c>
      <c r="E87" s="267" t="str">
        <f t="shared" si="33"/>
        <v>31.12.2016</v>
      </c>
      <c r="F87" s="267" t="str">
        <f t="shared" si="33"/>
        <v>31.12.2015</v>
      </c>
      <c r="G87" s="267" t="str">
        <f t="shared" si="33"/>
        <v>31.12.2014</v>
      </c>
      <c r="H87" s="267" t="str">
        <f t="shared" si="33"/>
        <v>31.12.2013</v>
      </c>
      <c r="I87" s="267" t="str">
        <f>J77</f>
        <v>31.12.2012</v>
      </c>
    </row>
    <row r="88" spans="1:10" s="177" customFormat="1" x14ac:dyDescent="0.3">
      <c r="A88" s="304" t="s">
        <v>597</v>
      </c>
      <c r="B88" s="309"/>
      <c r="C88" s="309"/>
      <c r="D88" s="309"/>
      <c r="E88" s="309"/>
      <c r="F88" s="309"/>
      <c r="G88" s="309"/>
      <c r="H88" s="309"/>
      <c r="I88" s="309"/>
    </row>
    <row r="89" spans="1:10" s="177" customFormat="1" ht="31.2" x14ac:dyDescent="0.3">
      <c r="A89" s="304" t="s">
        <v>598</v>
      </c>
      <c r="B89" s="309"/>
      <c r="C89" s="309"/>
      <c r="D89" s="309"/>
      <c r="E89" s="309"/>
      <c r="F89" s="309"/>
      <c r="G89" s="309"/>
      <c r="H89" s="309"/>
      <c r="I89" s="309"/>
    </row>
    <row r="90" spans="1:10" s="177" customFormat="1" ht="31.2" x14ac:dyDescent="0.3">
      <c r="A90" s="304" t="s">
        <v>599</v>
      </c>
      <c r="B90" s="309"/>
      <c r="C90" s="309"/>
      <c r="D90" s="309"/>
      <c r="E90" s="309"/>
      <c r="F90" s="309"/>
      <c r="G90" s="309"/>
      <c r="H90" s="309"/>
      <c r="I90" s="309"/>
    </row>
  </sheetData>
  <pageMargins left="0.75" right="0.75" top="1" bottom="1" header="0.5" footer="0.5"/>
  <pageSetup paperSize="9" scale="10" orientation="portrait" horizontalDpi="429496729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AL78"/>
  <sheetViews>
    <sheetView zoomScale="75" workbookViewId="0">
      <selection activeCell="O19" sqref="O19"/>
    </sheetView>
  </sheetViews>
  <sheetFormatPr defaultColWidth="9.109375" defaultRowHeight="15.6" x14ac:dyDescent="0.3"/>
  <cols>
    <col min="1" max="1" width="30.5546875" style="64" customWidth="1"/>
    <col min="2" max="32" width="16.6640625" style="64" customWidth="1"/>
    <col min="33" max="38" width="17" style="64" customWidth="1"/>
    <col min="39" max="16384" width="9.109375" style="64"/>
  </cols>
  <sheetData>
    <row r="1" spans="1:38" x14ac:dyDescent="0.3">
      <c r="A1" s="66" t="s">
        <v>600</v>
      </c>
    </row>
    <row r="2" spans="1:38" x14ac:dyDescent="0.3">
      <c r="A2" s="66"/>
    </row>
    <row r="3" spans="1:38" x14ac:dyDescent="0.3">
      <c r="A3" s="66" t="s">
        <v>601</v>
      </c>
    </row>
    <row r="4" spans="1:38" s="177" customFormat="1" ht="15.75" customHeight="1" x14ac:dyDescent="0.3">
      <c r="A4" s="386" t="s">
        <v>177</v>
      </c>
      <c r="B4" s="386" t="s">
        <v>421</v>
      </c>
      <c r="C4" s="386"/>
      <c r="D4" s="386"/>
      <c r="E4" s="386"/>
      <c r="F4" s="386"/>
      <c r="G4" s="386"/>
      <c r="H4" s="386"/>
      <c r="I4" s="386"/>
      <c r="J4" s="387" t="s">
        <v>422</v>
      </c>
      <c r="K4" s="387"/>
      <c r="L4" s="387"/>
      <c r="M4" s="387"/>
      <c r="N4" s="387"/>
      <c r="O4" s="387"/>
      <c r="P4" s="387"/>
      <c r="Q4" s="387"/>
      <c r="R4" s="460" t="s">
        <v>516</v>
      </c>
      <c r="S4" s="461"/>
      <c r="T4" s="461"/>
      <c r="U4" s="461"/>
      <c r="V4" s="461"/>
      <c r="W4" s="461"/>
      <c r="X4" s="461"/>
      <c r="Y4" s="461"/>
      <c r="Z4" s="461"/>
      <c r="AA4" s="461"/>
      <c r="AB4" s="461"/>
      <c r="AC4" s="461"/>
      <c r="AD4" s="461"/>
      <c r="AE4" s="461"/>
      <c r="AF4" s="461"/>
      <c r="AG4" s="461"/>
      <c r="AH4" s="461"/>
      <c r="AI4" s="461"/>
      <c r="AJ4" s="461"/>
      <c r="AK4" s="461"/>
      <c r="AL4" s="462"/>
    </row>
    <row r="5" spans="1:38" s="192" customFormat="1" x14ac:dyDescent="0.3">
      <c r="A5" s="386"/>
      <c r="B5" s="386"/>
      <c r="C5" s="386"/>
      <c r="D5" s="386"/>
      <c r="E5" s="386"/>
      <c r="F5" s="386"/>
      <c r="G5" s="386"/>
      <c r="H5" s="386"/>
      <c r="I5" s="386"/>
      <c r="J5" s="387"/>
      <c r="K5" s="387"/>
      <c r="L5" s="387"/>
      <c r="M5" s="387"/>
      <c r="N5" s="387"/>
      <c r="O5" s="387"/>
      <c r="P5" s="387"/>
      <c r="Q5" s="387"/>
      <c r="R5" s="388" t="e">
        <f>аб!#REF!</f>
        <v>#REF!</v>
      </c>
      <c r="S5" s="388"/>
      <c r="T5" s="388"/>
      <c r="U5" s="388" t="e">
        <f>аб!#REF!</f>
        <v>#REF!</v>
      </c>
      <c r="V5" s="388"/>
      <c r="W5" s="388"/>
      <c r="X5" s="388" t="e">
        <f>аб!#REF!</f>
        <v>#REF!</v>
      </c>
      <c r="Y5" s="388"/>
      <c r="Z5" s="388"/>
      <c r="AA5" s="388" t="e">
        <f>аб!#REF!</f>
        <v>#REF!</v>
      </c>
      <c r="AB5" s="388"/>
      <c r="AC5" s="388"/>
      <c r="AD5" s="388" t="e">
        <f>аб!#REF!</f>
        <v>#REF!</v>
      </c>
      <c r="AE5" s="388"/>
      <c r="AF5" s="388"/>
      <c r="AG5" s="388" t="e">
        <f>аб!#REF!</f>
        <v>#REF!</v>
      </c>
      <c r="AH5" s="388"/>
      <c r="AI5" s="388"/>
      <c r="AJ5" s="388" t="e">
        <f>аб!#REF!</f>
        <v>#REF!</v>
      </c>
      <c r="AK5" s="388"/>
      <c r="AL5" s="388"/>
    </row>
    <row r="6" spans="1:38" s="192" customFormat="1" ht="31.2" x14ac:dyDescent="0.3">
      <c r="A6" s="386"/>
      <c r="B6" s="257" t="str">
        <f>B29</f>
        <v>31.12.2019</v>
      </c>
      <c r="C6" s="257" t="str">
        <f t="shared" ref="C6:AL6" si="0">C29</f>
        <v>31.12.2018</v>
      </c>
      <c r="D6" s="257" t="str">
        <f t="shared" si="0"/>
        <v>31.12.2017</v>
      </c>
      <c r="E6" s="257" t="str">
        <f t="shared" si="0"/>
        <v>31.12.2016</v>
      </c>
      <c r="F6" s="257" t="str">
        <f t="shared" si="0"/>
        <v>31.12.2015</v>
      </c>
      <c r="G6" s="257" t="str">
        <f t="shared" si="0"/>
        <v>31.12.2014</v>
      </c>
      <c r="H6" s="257" t="str">
        <f t="shared" si="0"/>
        <v>31.12.2013</v>
      </c>
      <c r="I6" s="257" t="str">
        <f t="shared" si="0"/>
        <v>31.12.2012</v>
      </c>
      <c r="J6" s="257" t="str">
        <f t="shared" si="0"/>
        <v>31.12.2019</v>
      </c>
      <c r="K6" s="257" t="str">
        <f t="shared" si="0"/>
        <v>31.12.2018</v>
      </c>
      <c r="L6" s="257" t="str">
        <f t="shared" si="0"/>
        <v>31.12.2017</v>
      </c>
      <c r="M6" s="257" t="str">
        <f t="shared" si="0"/>
        <v>31.12.2016</v>
      </c>
      <c r="N6" s="257" t="str">
        <f t="shared" si="0"/>
        <v>31.12.2015</v>
      </c>
      <c r="O6" s="257" t="str">
        <f t="shared" si="0"/>
        <v>31.12.2014</v>
      </c>
      <c r="P6" s="257" t="str">
        <f t="shared" si="0"/>
        <v>31.12.2013</v>
      </c>
      <c r="Q6" s="257" t="str">
        <f t="shared" si="0"/>
        <v>31.12.2012</v>
      </c>
      <c r="R6" s="257" t="str">
        <f t="shared" si="0"/>
        <v>в тыс. руб.</v>
      </c>
      <c r="S6" s="257" t="str">
        <f t="shared" si="0"/>
        <v>темп прироста, %</v>
      </c>
      <c r="T6" s="257" t="str">
        <f t="shared" si="0"/>
        <v>в структуре, %</v>
      </c>
      <c r="U6" s="257" t="str">
        <f t="shared" si="0"/>
        <v>в тыс. руб.</v>
      </c>
      <c r="V6" s="257" t="str">
        <f t="shared" si="0"/>
        <v>темп прироста, %</v>
      </c>
      <c r="W6" s="257" t="str">
        <f t="shared" si="0"/>
        <v>в структуре, %</v>
      </c>
      <c r="X6" s="257" t="str">
        <f t="shared" si="0"/>
        <v>в тыс. руб.</v>
      </c>
      <c r="Y6" s="257" t="str">
        <f t="shared" si="0"/>
        <v>темп прироста, %</v>
      </c>
      <c r="Z6" s="257" t="str">
        <f t="shared" si="0"/>
        <v>в структуре, %</v>
      </c>
      <c r="AA6" s="257" t="str">
        <f t="shared" si="0"/>
        <v>в тыс. руб.</v>
      </c>
      <c r="AB6" s="257" t="str">
        <f t="shared" si="0"/>
        <v>темп прироста, %</v>
      </c>
      <c r="AC6" s="257" t="str">
        <f t="shared" si="0"/>
        <v>в структуре, %</v>
      </c>
      <c r="AD6" s="257" t="str">
        <f t="shared" si="0"/>
        <v>в тыс. руб.</v>
      </c>
      <c r="AE6" s="257" t="str">
        <f t="shared" si="0"/>
        <v>темп прироста, %</v>
      </c>
      <c r="AF6" s="257" t="str">
        <f t="shared" si="0"/>
        <v>в структуре, %</v>
      </c>
      <c r="AG6" s="257" t="str">
        <f t="shared" si="0"/>
        <v>в тыс. руб.</v>
      </c>
      <c r="AH6" s="257" t="str">
        <f t="shared" si="0"/>
        <v>темп прироста, %</v>
      </c>
      <c r="AI6" s="257" t="str">
        <f t="shared" si="0"/>
        <v>в структуре, %</v>
      </c>
      <c r="AJ6" s="257" t="str">
        <f t="shared" si="0"/>
        <v>в тыс. руб.</v>
      </c>
      <c r="AK6" s="257" t="str">
        <f t="shared" si="0"/>
        <v>темп прироста, %</v>
      </c>
      <c r="AL6" s="257" t="str">
        <f t="shared" si="0"/>
        <v>в структуре, %</v>
      </c>
    </row>
    <row r="7" spans="1:38" ht="31.2" x14ac:dyDescent="0.3">
      <c r="A7" s="310" t="s">
        <v>244</v>
      </c>
      <c r="B7" s="169"/>
      <c r="C7" s="169"/>
      <c r="D7" s="311"/>
      <c r="E7" s="311"/>
      <c r="F7" s="284"/>
      <c r="G7" s="312"/>
      <c r="H7" s="312"/>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row>
    <row r="8" spans="1:38" ht="33" customHeight="1" x14ac:dyDescent="0.3">
      <c r="A8" s="310" t="s">
        <v>245</v>
      </c>
      <c r="B8" s="169"/>
      <c r="C8" s="169"/>
      <c r="D8" s="311"/>
      <c r="E8" s="311"/>
      <c r="F8" s="284"/>
      <c r="G8" s="312"/>
      <c r="H8" s="312"/>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row>
    <row r="9" spans="1:38" x14ac:dyDescent="0.3">
      <c r="A9" s="310" t="s">
        <v>246</v>
      </c>
      <c r="B9" s="169"/>
      <c r="C9" s="169"/>
      <c r="D9" s="311"/>
      <c r="E9" s="311"/>
      <c r="F9" s="284"/>
      <c r="G9" s="312"/>
      <c r="H9" s="312"/>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row>
    <row r="10" spans="1:38" x14ac:dyDescent="0.3">
      <c r="A10" s="310" t="s">
        <v>247</v>
      </c>
      <c r="B10" s="169"/>
      <c r="C10" s="169"/>
      <c r="D10" s="311"/>
      <c r="E10" s="311"/>
      <c r="F10" s="284"/>
      <c r="G10" s="312"/>
      <c r="H10" s="312"/>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row>
    <row r="11" spans="1:38" x14ac:dyDescent="0.3">
      <c r="A11" s="310" t="s">
        <v>248</v>
      </c>
      <c r="B11" s="169"/>
      <c r="C11" s="169"/>
      <c r="D11" s="311"/>
      <c r="E11" s="311"/>
      <c r="F11" s="284"/>
      <c r="G11" s="312"/>
      <c r="H11" s="312"/>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row>
    <row r="12" spans="1:38" x14ac:dyDescent="0.3">
      <c r="A12" s="310" t="s">
        <v>249</v>
      </c>
      <c r="B12" s="169"/>
      <c r="C12" s="169"/>
      <c r="D12" s="311"/>
      <c r="E12" s="311"/>
      <c r="F12" s="284"/>
      <c r="G12" s="312"/>
      <c r="H12" s="312"/>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row>
    <row r="13" spans="1:38" x14ac:dyDescent="0.3">
      <c r="A13" s="167" t="s">
        <v>602</v>
      </c>
      <c r="B13" s="169"/>
      <c r="C13" s="169"/>
      <c r="D13" s="311"/>
      <c r="E13" s="311"/>
      <c r="F13" s="284"/>
      <c r="G13" s="312"/>
      <c r="H13" s="312"/>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row>
    <row r="14" spans="1:38" x14ac:dyDescent="0.3">
      <c r="A14" s="77" t="s">
        <v>452</v>
      </c>
    </row>
    <row r="17" spans="1:38" x14ac:dyDescent="0.3">
      <c r="A17" s="66" t="s">
        <v>603</v>
      </c>
    </row>
    <row r="18" spans="1:38" s="313" customFormat="1" ht="31.2" x14ac:dyDescent="0.25">
      <c r="A18" s="314" t="s">
        <v>177</v>
      </c>
      <c r="B18" s="314" t="s">
        <v>424</v>
      </c>
      <c r="C18" s="314" t="s">
        <v>425</v>
      </c>
      <c r="D18" s="314" t="s">
        <v>433</v>
      </c>
      <c r="E18" s="314" t="s">
        <v>426</v>
      </c>
      <c r="F18" s="314" t="s">
        <v>433</v>
      </c>
      <c r="G18" s="314" t="s">
        <v>427</v>
      </c>
      <c r="H18" s="314" t="s">
        <v>433</v>
      </c>
      <c r="I18" s="314" t="s">
        <v>428</v>
      </c>
      <c r="J18" s="314" t="s">
        <v>433</v>
      </c>
      <c r="K18" s="314" t="s">
        <v>429</v>
      </c>
      <c r="L18" s="314" t="s">
        <v>433</v>
      </c>
      <c r="M18" s="314" t="s">
        <v>430</v>
      </c>
      <c r="N18" s="314" t="s">
        <v>433</v>
      </c>
      <c r="O18" s="314" t="s">
        <v>431</v>
      </c>
      <c r="P18" s="314" t="s">
        <v>433</v>
      </c>
    </row>
    <row r="19" spans="1:38" x14ac:dyDescent="0.3">
      <c r="A19" s="167" t="s">
        <v>604</v>
      </c>
      <c r="B19" s="169"/>
      <c r="C19" s="169"/>
      <c r="D19" s="169"/>
      <c r="E19" s="311"/>
      <c r="F19" s="311"/>
      <c r="G19" s="311"/>
      <c r="H19" s="311"/>
      <c r="I19" s="311"/>
      <c r="J19" s="311"/>
      <c r="K19" s="311"/>
      <c r="L19" s="311"/>
      <c r="M19" s="311"/>
      <c r="N19" s="311"/>
      <c r="O19" s="311"/>
      <c r="P19" s="311"/>
    </row>
    <row r="20" spans="1:38" ht="31.2" x14ac:dyDescent="0.3">
      <c r="A20" s="167" t="s">
        <v>605</v>
      </c>
      <c r="B20" s="169"/>
      <c r="C20" s="169"/>
      <c r="D20" s="169"/>
      <c r="E20" s="311"/>
      <c r="F20" s="311"/>
      <c r="G20" s="311"/>
      <c r="H20" s="311"/>
      <c r="I20" s="311"/>
      <c r="J20" s="311"/>
      <c r="K20" s="311"/>
      <c r="L20" s="311"/>
      <c r="M20" s="311"/>
      <c r="N20" s="311"/>
      <c r="O20" s="311"/>
      <c r="P20" s="311"/>
    </row>
    <row r="21" spans="1:38" ht="46.8" x14ac:dyDescent="0.3">
      <c r="A21" s="167" t="s">
        <v>606</v>
      </c>
      <c r="B21" s="169"/>
      <c r="C21" s="169"/>
      <c r="D21" s="169"/>
      <c r="E21" s="311"/>
      <c r="F21" s="311"/>
      <c r="G21" s="311"/>
      <c r="H21" s="311"/>
      <c r="I21" s="311"/>
      <c r="J21" s="311"/>
      <c r="K21" s="311"/>
      <c r="L21" s="311"/>
      <c r="M21" s="311"/>
      <c r="N21" s="311"/>
      <c r="O21" s="311"/>
      <c r="P21" s="311"/>
    </row>
    <row r="22" spans="1:38" x14ac:dyDescent="0.3">
      <c r="A22" s="167" t="s">
        <v>607</v>
      </c>
      <c r="B22" s="169"/>
      <c r="C22" s="169"/>
      <c r="D22" s="169"/>
      <c r="E22" s="311"/>
      <c r="F22" s="311"/>
      <c r="G22" s="311"/>
      <c r="H22" s="311"/>
      <c r="I22" s="311"/>
      <c r="J22" s="311"/>
      <c r="K22" s="311"/>
      <c r="L22" s="311"/>
      <c r="M22" s="311"/>
      <c r="N22" s="311"/>
      <c r="O22" s="311"/>
      <c r="P22" s="311"/>
    </row>
    <row r="23" spans="1:38" ht="46.8" x14ac:dyDescent="0.3">
      <c r="A23" s="167" t="s">
        <v>608</v>
      </c>
      <c r="B23" s="169"/>
      <c r="C23" s="169"/>
      <c r="D23" s="169"/>
      <c r="E23" s="311"/>
      <c r="F23" s="311"/>
      <c r="G23" s="311"/>
      <c r="H23" s="311"/>
      <c r="I23" s="311"/>
      <c r="J23" s="311"/>
      <c r="K23" s="311"/>
      <c r="L23" s="311"/>
      <c r="M23" s="311"/>
      <c r="N23" s="311"/>
      <c r="O23" s="311"/>
      <c r="P23" s="311"/>
    </row>
    <row r="24" spans="1:38" ht="78" x14ac:dyDescent="0.3">
      <c r="A24" s="167" t="s">
        <v>609</v>
      </c>
      <c r="B24" s="311"/>
      <c r="C24" s="311"/>
      <c r="D24" s="169"/>
      <c r="E24" s="311"/>
      <c r="F24" s="311"/>
      <c r="G24" s="311"/>
      <c r="H24" s="311"/>
      <c r="I24" s="311"/>
      <c r="J24" s="311"/>
      <c r="K24" s="311"/>
      <c r="L24" s="311"/>
      <c r="M24" s="311"/>
      <c r="N24" s="311"/>
      <c r="O24" s="311"/>
      <c r="P24" s="311"/>
    </row>
    <row r="25" spans="1:38" x14ac:dyDescent="0.3">
      <c r="A25" s="66"/>
    </row>
    <row r="26" spans="1:38" x14ac:dyDescent="0.3">
      <c r="A26" s="66" t="s">
        <v>610</v>
      </c>
    </row>
    <row r="27" spans="1:38" s="177" customFormat="1" ht="15.75" customHeight="1" x14ac:dyDescent="0.3">
      <c r="A27" s="386" t="s">
        <v>177</v>
      </c>
      <c r="B27" s="386" t="s">
        <v>421</v>
      </c>
      <c r="C27" s="386"/>
      <c r="D27" s="386"/>
      <c r="E27" s="386"/>
      <c r="F27" s="386"/>
      <c r="G27" s="386"/>
      <c r="H27" s="386"/>
      <c r="I27" s="386"/>
      <c r="J27" s="387" t="s">
        <v>422</v>
      </c>
      <c r="K27" s="387"/>
      <c r="L27" s="387"/>
      <c r="M27" s="387"/>
      <c r="N27" s="387"/>
      <c r="O27" s="387"/>
      <c r="P27" s="387"/>
      <c r="Q27" s="387"/>
      <c r="R27" s="460" t="s">
        <v>516</v>
      </c>
      <c r="S27" s="461"/>
      <c r="T27" s="461"/>
      <c r="U27" s="461"/>
      <c r="V27" s="461"/>
      <c r="W27" s="461"/>
      <c r="X27" s="461"/>
      <c r="Y27" s="461"/>
      <c r="Z27" s="461"/>
      <c r="AA27" s="461"/>
      <c r="AB27" s="461"/>
      <c r="AC27" s="461"/>
      <c r="AD27" s="461"/>
      <c r="AE27" s="461"/>
      <c r="AF27" s="461"/>
      <c r="AG27" s="461"/>
      <c r="AH27" s="461"/>
      <c r="AI27" s="461"/>
      <c r="AJ27" s="461"/>
      <c r="AK27" s="461"/>
      <c r="AL27" s="462"/>
    </row>
    <row r="28" spans="1:38" s="192" customFormat="1" x14ac:dyDescent="0.3">
      <c r="A28" s="386"/>
      <c r="B28" s="386"/>
      <c r="C28" s="386"/>
      <c r="D28" s="386"/>
      <c r="E28" s="386"/>
      <c r="F28" s="386"/>
      <c r="G28" s="386"/>
      <c r="H28" s="386"/>
      <c r="I28" s="386"/>
      <c r="J28" s="387"/>
      <c r="K28" s="387"/>
      <c r="L28" s="387"/>
      <c r="M28" s="387"/>
      <c r="N28" s="387"/>
      <c r="O28" s="387"/>
      <c r="P28" s="387"/>
      <c r="Q28" s="387"/>
      <c r="R28" s="388" t="str">
        <f>аб!S3</f>
        <v>2019 год</v>
      </c>
      <c r="S28" s="388"/>
      <c r="T28" s="388"/>
      <c r="U28" s="388" t="str">
        <f>аб!V3</f>
        <v>2018 год</v>
      </c>
      <c r="V28" s="388"/>
      <c r="W28" s="388"/>
      <c r="X28" s="388" t="str">
        <f>аб!Y3</f>
        <v>2017 год</v>
      </c>
      <c r="Y28" s="388"/>
      <c r="Z28" s="388"/>
      <c r="AA28" s="388" t="str">
        <f>аб!AB3</f>
        <v>2016 год</v>
      </c>
      <c r="AB28" s="388"/>
      <c r="AC28" s="388"/>
      <c r="AD28" s="388" t="str">
        <f>аб!AE3</f>
        <v>2015 год</v>
      </c>
      <c r="AE28" s="388"/>
      <c r="AF28" s="388"/>
      <c r="AG28" s="388" t="str">
        <f>аб!AH3</f>
        <v>2014 год</v>
      </c>
      <c r="AH28" s="388"/>
      <c r="AI28" s="388"/>
      <c r="AJ28" s="388" t="str">
        <f>аб!AK3</f>
        <v>2013 год</v>
      </c>
      <c r="AK28" s="388"/>
      <c r="AL28" s="388"/>
    </row>
    <row r="29" spans="1:38" s="192" customFormat="1" ht="31.2" x14ac:dyDescent="0.3">
      <c r="A29" s="386"/>
      <c r="B29" s="257" t="str">
        <f>аб!C4</f>
        <v>31.12.2019</v>
      </c>
      <c r="C29" s="257" t="str">
        <f>аб!D4</f>
        <v>31.12.2018</v>
      </c>
      <c r="D29" s="257" t="str">
        <f>аб!E4</f>
        <v>31.12.2017</v>
      </c>
      <c r="E29" s="257" t="str">
        <f>аб!F4</f>
        <v>31.12.2016</v>
      </c>
      <c r="F29" s="257" t="str">
        <f>аб!G4</f>
        <v>31.12.2015</v>
      </c>
      <c r="G29" s="257" t="str">
        <f>аб!H4</f>
        <v>31.12.2014</v>
      </c>
      <c r="H29" s="257" t="str">
        <f>аб!I4</f>
        <v>31.12.2013</v>
      </c>
      <c r="I29" s="257" t="str">
        <f>аб!J4</f>
        <v>31.12.2012</v>
      </c>
      <c r="J29" s="257" t="str">
        <f>аб!K4</f>
        <v>31.12.2019</v>
      </c>
      <c r="K29" s="257" t="str">
        <f>аб!L4</f>
        <v>31.12.2018</v>
      </c>
      <c r="L29" s="257" t="str">
        <f>аб!M4</f>
        <v>31.12.2017</v>
      </c>
      <c r="M29" s="257" t="str">
        <f>аб!N4</f>
        <v>31.12.2016</v>
      </c>
      <c r="N29" s="257" t="str">
        <f>аб!O4</f>
        <v>31.12.2015</v>
      </c>
      <c r="O29" s="257" t="str">
        <f>аб!P4</f>
        <v>31.12.2014</v>
      </c>
      <c r="P29" s="257" t="str">
        <f>аб!Q4</f>
        <v>31.12.2013</v>
      </c>
      <c r="Q29" s="257" t="str">
        <f>аб!R4</f>
        <v>31.12.2012</v>
      </c>
      <c r="R29" s="257" t="str">
        <f>аб!S4</f>
        <v>в тыс. руб.</v>
      </c>
      <c r="S29" s="257" t="str">
        <f>аб!T4</f>
        <v>темп прироста, %</v>
      </c>
      <c r="T29" s="257" t="str">
        <f>аб!U4</f>
        <v>в структуре, %</v>
      </c>
      <c r="U29" s="257" t="str">
        <f>аб!V4</f>
        <v>в тыс. руб.</v>
      </c>
      <c r="V29" s="257" t="str">
        <f>аб!W4</f>
        <v>темп прироста, %</v>
      </c>
      <c r="W29" s="257" t="str">
        <f>аб!X4</f>
        <v>в структуре, %</v>
      </c>
      <c r="X29" s="257" t="str">
        <f>аб!Y4</f>
        <v>в тыс. руб.</v>
      </c>
      <c r="Y29" s="257" t="str">
        <f>аб!Z4</f>
        <v>темп прироста, %</v>
      </c>
      <c r="Z29" s="257" t="str">
        <f>аб!AA4</f>
        <v>в структуре, %</v>
      </c>
      <c r="AA29" s="257" t="str">
        <f>аб!AB4</f>
        <v>в тыс. руб.</v>
      </c>
      <c r="AB29" s="257" t="str">
        <f>аб!AC4</f>
        <v>темп прироста, %</v>
      </c>
      <c r="AC29" s="257" t="str">
        <f>аб!AD4</f>
        <v>в структуре, %</v>
      </c>
      <c r="AD29" s="257" t="str">
        <f>аб!AE4</f>
        <v>в тыс. руб.</v>
      </c>
      <c r="AE29" s="257" t="str">
        <f>аб!AF4</f>
        <v>темп прироста, %</v>
      </c>
      <c r="AF29" s="257" t="str">
        <f>аб!AG4</f>
        <v>в структуре, %</v>
      </c>
      <c r="AG29" s="257" t="str">
        <f>аб!AH4</f>
        <v>в тыс. руб.</v>
      </c>
      <c r="AH29" s="257" t="str">
        <f>аб!AI4</f>
        <v>темп прироста, %</v>
      </c>
      <c r="AI29" s="257" t="str">
        <f>аб!AJ4</f>
        <v>в структуре, %</v>
      </c>
      <c r="AJ29" s="257" t="str">
        <f>аб!AK4</f>
        <v>в тыс. руб.</v>
      </c>
      <c r="AK29" s="257" t="str">
        <f>аб!AL4</f>
        <v>темп прироста, %</v>
      </c>
      <c r="AL29" s="257" t="str">
        <f>аб!AM4</f>
        <v>в структуре, %</v>
      </c>
    </row>
    <row r="30" spans="1:38" ht="31.2" x14ac:dyDescent="0.3">
      <c r="A30" s="167" t="s">
        <v>611</v>
      </c>
      <c r="B30" s="284"/>
      <c r="C30" s="284"/>
      <c r="D30" s="315"/>
      <c r="E30" s="315"/>
      <c r="F30" s="284"/>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row>
    <row r="31" spans="1:38" ht="31.2" x14ac:dyDescent="0.3">
      <c r="A31" s="167" t="s">
        <v>612</v>
      </c>
      <c r="B31" s="284"/>
      <c r="C31" s="284"/>
      <c r="D31" s="315"/>
      <c r="E31" s="315"/>
      <c r="F31" s="284"/>
      <c r="G31" s="315"/>
      <c r="H31" s="315"/>
      <c r="I31" s="315"/>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c r="AK31" s="315"/>
      <c r="AL31" s="315"/>
    </row>
    <row r="32" spans="1:38" ht="31.2" x14ac:dyDescent="0.3">
      <c r="A32" s="167" t="s">
        <v>613</v>
      </c>
      <c r="B32" s="284"/>
      <c r="C32" s="284"/>
      <c r="D32" s="315"/>
      <c r="E32" s="315"/>
      <c r="F32" s="284"/>
      <c r="G32" s="315"/>
      <c r="H32" s="315"/>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c r="AI32" s="315"/>
      <c r="AJ32" s="315"/>
      <c r="AK32" s="315"/>
      <c r="AL32" s="315"/>
    </row>
    <row r="33" spans="1:38" x14ac:dyDescent="0.3">
      <c r="A33" s="242"/>
      <c r="B33" s="242"/>
      <c r="C33" s="242"/>
      <c r="D33" s="249"/>
      <c r="E33" s="249"/>
      <c r="F33" s="242"/>
      <c r="G33" s="249"/>
      <c r="H33" s="249"/>
      <c r="I33" s="249"/>
      <c r="J33" s="249"/>
    </row>
    <row r="34" spans="1:38" x14ac:dyDescent="0.3">
      <c r="A34" s="66" t="s">
        <v>610</v>
      </c>
    </row>
    <row r="35" spans="1:38" s="177" customFormat="1" ht="15.75" customHeight="1" x14ac:dyDescent="0.3">
      <c r="A35" s="386" t="s">
        <v>177</v>
      </c>
      <c r="B35" s="386" t="s">
        <v>421</v>
      </c>
      <c r="C35" s="386"/>
      <c r="D35" s="386"/>
      <c r="E35" s="386"/>
      <c r="F35" s="386"/>
      <c r="G35" s="386"/>
      <c r="H35" s="386"/>
      <c r="I35" s="386"/>
      <c r="J35" s="387" t="s">
        <v>422</v>
      </c>
      <c r="K35" s="387"/>
      <c r="L35" s="387"/>
      <c r="M35" s="387"/>
      <c r="N35" s="387"/>
      <c r="O35" s="387"/>
      <c r="P35" s="387"/>
      <c r="Q35" s="387"/>
      <c r="R35" s="387" t="s">
        <v>516</v>
      </c>
      <c r="S35" s="387"/>
      <c r="T35" s="387"/>
      <c r="U35" s="387"/>
      <c r="V35" s="387"/>
      <c r="W35" s="387"/>
      <c r="X35" s="387"/>
      <c r="Y35" s="387"/>
      <c r="Z35" s="387"/>
      <c r="AA35" s="387"/>
      <c r="AB35" s="387"/>
      <c r="AC35" s="387"/>
      <c r="AD35" s="387"/>
      <c r="AE35" s="387"/>
      <c r="AF35" s="387"/>
      <c r="AG35" s="387"/>
      <c r="AH35" s="387"/>
      <c r="AI35" s="387"/>
      <c r="AJ35" s="387"/>
      <c r="AK35" s="387"/>
      <c r="AL35" s="387"/>
    </row>
    <row r="36" spans="1:38" s="192" customFormat="1" x14ac:dyDescent="0.3">
      <c r="A36" s="386"/>
      <c r="B36" s="386"/>
      <c r="C36" s="386"/>
      <c r="D36" s="386"/>
      <c r="E36" s="386"/>
      <c r="F36" s="386"/>
      <c r="G36" s="386"/>
      <c r="H36" s="386"/>
      <c r="I36" s="386"/>
      <c r="J36" s="387"/>
      <c r="K36" s="387"/>
      <c r="L36" s="387"/>
      <c r="M36" s="387"/>
      <c r="N36" s="387"/>
      <c r="O36" s="387"/>
      <c r="P36" s="387"/>
      <c r="Q36" s="387"/>
      <c r="R36" s="388" t="str">
        <f>R28</f>
        <v>2019 год</v>
      </c>
      <c r="S36" s="388"/>
      <c r="T36" s="388"/>
      <c r="U36" s="388" t="str">
        <f>U28</f>
        <v>2018 год</v>
      </c>
      <c r="V36" s="388"/>
      <c r="W36" s="388"/>
      <c r="X36" s="388" t="str">
        <f>X28</f>
        <v>2017 год</v>
      </c>
      <c r="Y36" s="388"/>
      <c r="Z36" s="388"/>
      <c r="AA36" s="388" t="str">
        <f>AA28</f>
        <v>2016 год</v>
      </c>
      <c r="AB36" s="388"/>
      <c r="AC36" s="388"/>
      <c r="AD36" s="388" t="str">
        <f>AD28</f>
        <v>2015 год</v>
      </c>
      <c r="AE36" s="388"/>
      <c r="AF36" s="388"/>
      <c r="AG36" s="388" t="str">
        <f>AG28</f>
        <v>2014 год</v>
      </c>
      <c r="AH36" s="388"/>
      <c r="AI36" s="388"/>
      <c r="AJ36" s="388" t="str">
        <f t="shared" ref="AJ36:AL37" si="1">AJ28</f>
        <v>2013 год</v>
      </c>
      <c r="AK36" s="388"/>
      <c r="AL36" s="388"/>
    </row>
    <row r="37" spans="1:38" s="192" customFormat="1" ht="31.2" x14ac:dyDescent="0.3">
      <c r="A37" s="386"/>
      <c r="B37" s="257" t="str">
        <f>B29</f>
        <v>31.12.2019</v>
      </c>
      <c r="C37" s="257" t="str">
        <f t="shared" ref="C37:AI37" si="2">C29</f>
        <v>31.12.2018</v>
      </c>
      <c r="D37" s="257" t="str">
        <f t="shared" si="2"/>
        <v>31.12.2017</v>
      </c>
      <c r="E37" s="257" t="str">
        <f t="shared" si="2"/>
        <v>31.12.2016</v>
      </c>
      <c r="F37" s="257" t="str">
        <f t="shared" si="2"/>
        <v>31.12.2015</v>
      </c>
      <c r="G37" s="257" t="str">
        <f t="shared" si="2"/>
        <v>31.12.2014</v>
      </c>
      <c r="H37" s="257" t="str">
        <f t="shared" si="2"/>
        <v>31.12.2013</v>
      </c>
      <c r="I37" s="257" t="str">
        <f t="shared" si="2"/>
        <v>31.12.2012</v>
      </c>
      <c r="J37" s="257" t="str">
        <f t="shared" si="2"/>
        <v>31.12.2019</v>
      </c>
      <c r="K37" s="257" t="str">
        <f t="shared" si="2"/>
        <v>31.12.2018</v>
      </c>
      <c r="L37" s="257" t="str">
        <f t="shared" si="2"/>
        <v>31.12.2017</v>
      </c>
      <c r="M37" s="257" t="str">
        <f t="shared" si="2"/>
        <v>31.12.2016</v>
      </c>
      <c r="N37" s="257" t="str">
        <f t="shared" si="2"/>
        <v>31.12.2015</v>
      </c>
      <c r="O37" s="257" t="str">
        <f t="shared" si="2"/>
        <v>31.12.2014</v>
      </c>
      <c r="P37" s="257" t="str">
        <f t="shared" si="2"/>
        <v>31.12.2013</v>
      </c>
      <c r="Q37" s="257" t="str">
        <f t="shared" si="2"/>
        <v>31.12.2012</v>
      </c>
      <c r="R37" s="257" t="str">
        <f t="shared" si="2"/>
        <v>в тыс. руб.</v>
      </c>
      <c r="S37" s="257" t="str">
        <f t="shared" si="2"/>
        <v>темп прироста, %</v>
      </c>
      <c r="T37" s="257" t="str">
        <f t="shared" si="2"/>
        <v>в структуре, %</v>
      </c>
      <c r="U37" s="257" t="str">
        <f t="shared" si="2"/>
        <v>в тыс. руб.</v>
      </c>
      <c r="V37" s="257" t="str">
        <f t="shared" si="2"/>
        <v>темп прироста, %</v>
      </c>
      <c r="W37" s="257" t="str">
        <f t="shared" si="2"/>
        <v>в структуре, %</v>
      </c>
      <c r="X37" s="257" t="str">
        <f t="shared" si="2"/>
        <v>в тыс. руб.</v>
      </c>
      <c r="Y37" s="257" t="str">
        <f t="shared" si="2"/>
        <v>темп прироста, %</v>
      </c>
      <c r="Z37" s="257" t="str">
        <f t="shared" si="2"/>
        <v>в структуре, %</v>
      </c>
      <c r="AA37" s="257" t="str">
        <f t="shared" si="2"/>
        <v>в тыс. руб.</v>
      </c>
      <c r="AB37" s="257" t="str">
        <f t="shared" si="2"/>
        <v>темп прироста, %</v>
      </c>
      <c r="AC37" s="257" t="str">
        <f t="shared" si="2"/>
        <v>в структуре, %</v>
      </c>
      <c r="AD37" s="257" t="str">
        <f t="shared" si="2"/>
        <v>в тыс. руб.</v>
      </c>
      <c r="AE37" s="257" t="str">
        <f t="shared" si="2"/>
        <v>темп прироста, %</v>
      </c>
      <c r="AF37" s="257" t="str">
        <f t="shared" si="2"/>
        <v>в структуре, %</v>
      </c>
      <c r="AG37" s="257" t="str">
        <f t="shared" si="2"/>
        <v>в тыс. руб.</v>
      </c>
      <c r="AH37" s="257" t="str">
        <f t="shared" si="2"/>
        <v>темп прироста, %</v>
      </c>
      <c r="AI37" s="257" t="str">
        <f t="shared" si="2"/>
        <v>в структуре, %</v>
      </c>
      <c r="AJ37" s="257" t="str">
        <f t="shared" si="1"/>
        <v>в тыс. руб.</v>
      </c>
      <c r="AK37" s="257" t="str">
        <f t="shared" si="1"/>
        <v>темп прироста, %</v>
      </c>
      <c r="AL37" s="257" t="str">
        <f t="shared" si="1"/>
        <v>в структуре, %</v>
      </c>
    </row>
    <row r="38" spans="1:38" x14ac:dyDescent="0.3">
      <c r="A38" s="167" t="s">
        <v>614</v>
      </c>
      <c r="B38" s="284"/>
      <c r="C38" s="284"/>
      <c r="D38" s="316"/>
      <c r="E38" s="316"/>
      <c r="F38" s="284"/>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c r="AH38" s="316"/>
      <c r="AI38" s="316"/>
      <c r="AJ38" s="316"/>
      <c r="AK38" s="316"/>
      <c r="AL38" s="316"/>
    </row>
    <row r="39" spans="1:38" x14ac:dyDescent="0.3">
      <c r="A39" s="167" t="s">
        <v>607</v>
      </c>
      <c r="B39" s="284"/>
      <c r="C39" s="284"/>
      <c r="D39" s="316"/>
      <c r="E39" s="316"/>
      <c r="F39" s="284"/>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row>
    <row r="40" spans="1:38" x14ac:dyDescent="0.3">
      <c r="A40" s="167" t="s">
        <v>615</v>
      </c>
      <c r="B40" s="284"/>
      <c r="C40" s="284"/>
      <c r="D40" s="316"/>
      <c r="E40" s="316"/>
      <c r="F40" s="284"/>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16"/>
    </row>
    <row r="41" spans="1:38" ht="31.2" x14ac:dyDescent="0.3">
      <c r="A41" s="167" t="s">
        <v>613</v>
      </c>
      <c r="B41" s="284"/>
      <c r="C41" s="284"/>
      <c r="D41" s="316"/>
      <c r="E41" s="316"/>
      <c r="F41" s="284"/>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16"/>
    </row>
    <row r="42" spans="1:38" x14ac:dyDescent="0.3">
      <c r="A42" s="77" t="s">
        <v>452</v>
      </c>
      <c r="B42" s="172"/>
      <c r="C42" s="172"/>
      <c r="D42" s="172"/>
      <c r="E42" s="317"/>
      <c r="F42" s="172"/>
      <c r="G42" s="249"/>
      <c r="H42" s="249"/>
      <c r="I42" s="317"/>
      <c r="J42" s="317"/>
    </row>
    <row r="43" spans="1:38" x14ac:dyDescent="0.3">
      <c r="B43" s="172"/>
      <c r="C43" s="172"/>
      <c r="D43" s="172"/>
      <c r="E43" s="317"/>
      <c r="F43" s="172"/>
      <c r="G43" s="249"/>
      <c r="H43" s="249"/>
      <c r="I43" s="317"/>
      <c r="J43" s="317"/>
    </row>
    <row r="45" spans="1:38" x14ac:dyDescent="0.3">
      <c r="A45" s="66" t="s">
        <v>616</v>
      </c>
    </row>
    <row r="46" spans="1:38" s="177" customFormat="1" ht="15.75" customHeight="1" x14ac:dyDescent="0.3">
      <c r="A46" s="386" t="s">
        <v>177</v>
      </c>
      <c r="B46" s="386" t="s">
        <v>421</v>
      </c>
      <c r="C46" s="386"/>
      <c r="D46" s="386"/>
      <c r="E46" s="386"/>
      <c r="F46" s="386"/>
      <c r="G46" s="386"/>
      <c r="H46" s="386"/>
      <c r="I46" s="386"/>
      <c r="J46" s="387" t="s">
        <v>422</v>
      </c>
      <c r="K46" s="387"/>
      <c r="L46" s="387"/>
      <c r="M46" s="387"/>
      <c r="N46" s="387"/>
      <c r="O46" s="387"/>
      <c r="P46" s="387"/>
      <c r="Q46" s="387"/>
      <c r="R46" s="387" t="s">
        <v>516</v>
      </c>
      <c r="S46" s="387"/>
      <c r="T46" s="387"/>
      <c r="U46" s="387"/>
      <c r="V46" s="387"/>
      <c r="W46" s="387"/>
      <c r="X46" s="387"/>
      <c r="Y46" s="387"/>
      <c r="Z46" s="387"/>
      <c r="AA46" s="387"/>
      <c r="AB46" s="387"/>
      <c r="AC46" s="387"/>
      <c r="AD46" s="387"/>
      <c r="AE46" s="387"/>
      <c r="AF46" s="387"/>
      <c r="AG46" s="387"/>
      <c r="AH46" s="387"/>
      <c r="AI46" s="387"/>
      <c r="AJ46" s="387"/>
      <c r="AK46" s="387"/>
      <c r="AL46" s="387"/>
    </row>
    <row r="47" spans="1:38" s="192" customFormat="1" x14ac:dyDescent="0.3">
      <c r="A47" s="386"/>
      <c r="B47" s="386"/>
      <c r="C47" s="386"/>
      <c r="D47" s="386"/>
      <c r="E47" s="386"/>
      <c r="F47" s="386"/>
      <c r="G47" s="386"/>
      <c r="H47" s="386"/>
      <c r="I47" s="386"/>
      <c r="J47" s="387"/>
      <c r="K47" s="387"/>
      <c r="L47" s="387"/>
      <c r="M47" s="387"/>
      <c r="N47" s="387"/>
      <c r="O47" s="387"/>
      <c r="P47" s="387"/>
      <c r="Q47" s="387"/>
      <c r="R47" s="388" t="str">
        <f>R36</f>
        <v>2019 год</v>
      </c>
      <c r="S47" s="388"/>
      <c r="T47" s="388"/>
      <c r="U47" s="388" t="str">
        <f>U36</f>
        <v>2018 год</v>
      </c>
      <c r="V47" s="388"/>
      <c r="W47" s="388"/>
      <c r="X47" s="388" t="str">
        <f>X36</f>
        <v>2017 год</v>
      </c>
      <c r="Y47" s="388"/>
      <c r="Z47" s="388"/>
      <c r="AA47" s="388" t="str">
        <f>AA36</f>
        <v>2016 год</v>
      </c>
      <c r="AB47" s="388"/>
      <c r="AC47" s="388"/>
      <c r="AD47" s="388" t="str">
        <f>AD36</f>
        <v>2015 год</v>
      </c>
      <c r="AE47" s="388"/>
      <c r="AF47" s="388"/>
      <c r="AG47" s="388" t="str">
        <f>AG36</f>
        <v>2014 год</v>
      </c>
      <c r="AH47" s="388"/>
      <c r="AI47" s="388"/>
      <c r="AJ47" s="388" t="str">
        <f t="shared" ref="AJ47:AL48" si="3">AJ36</f>
        <v>2013 год</v>
      </c>
      <c r="AK47" s="388"/>
      <c r="AL47" s="388"/>
    </row>
    <row r="48" spans="1:38" s="192" customFormat="1" ht="31.2" x14ac:dyDescent="0.3">
      <c r="A48" s="386"/>
      <c r="B48" s="257" t="str">
        <f>B37</f>
        <v>31.12.2019</v>
      </c>
      <c r="C48" s="257" t="str">
        <f t="shared" ref="C48:AI48" si="4">C37</f>
        <v>31.12.2018</v>
      </c>
      <c r="D48" s="257" t="str">
        <f t="shared" si="4"/>
        <v>31.12.2017</v>
      </c>
      <c r="E48" s="257" t="str">
        <f t="shared" si="4"/>
        <v>31.12.2016</v>
      </c>
      <c r="F48" s="257" t="str">
        <f t="shared" si="4"/>
        <v>31.12.2015</v>
      </c>
      <c r="G48" s="257" t="str">
        <f t="shared" si="4"/>
        <v>31.12.2014</v>
      </c>
      <c r="H48" s="257" t="str">
        <f t="shared" si="4"/>
        <v>31.12.2013</v>
      </c>
      <c r="I48" s="257" t="str">
        <f t="shared" si="4"/>
        <v>31.12.2012</v>
      </c>
      <c r="J48" s="257" t="str">
        <f t="shared" si="4"/>
        <v>31.12.2019</v>
      </c>
      <c r="K48" s="257" t="str">
        <f t="shared" si="4"/>
        <v>31.12.2018</v>
      </c>
      <c r="L48" s="257" t="str">
        <f t="shared" si="4"/>
        <v>31.12.2017</v>
      </c>
      <c r="M48" s="257" t="str">
        <f t="shared" si="4"/>
        <v>31.12.2016</v>
      </c>
      <c r="N48" s="257" t="str">
        <f t="shared" si="4"/>
        <v>31.12.2015</v>
      </c>
      <c r="O48" s="257" t="str">
        <f t="shared" si="4"/>
        <v>31.12.2014</v>
      </c>
      <c r="P48" s="257" t="str">
        <f t="shared" si="4"/>
        <v>31.12.2013</v>
      </c>
      <c r="Q48" s="257" t="str">
        <f t="shared" si="4"/>
        <v>31.12.2012</v>
      </c>
      <c r="R48" s="257" t="str">
        <f t="shared" si="4"/>
        <v>в тыс. руб.</v>
      </c>
      <c r="S48" s="257" t="str">
        <f t="shared" si="4"/>
        <v>темп прироста, %</v>
      </c>
      <c r="T48" s="257" t="str">
        <f t="shared" si="4"/>
        <v>в структуре, %</v>
      </c>
      <c r="U48" s="257" t="str">
        <f t="shared" si="4"/>
        <v>в тыс. руб.</v>
      </c>
      <c r="V48" s="257" t="str">
        <f t="shared" si="4"/>
        <v>темп прироста, %</v>
      </c>
      <c r="W48" s="257" t="str">
        <f t="shared" si="4"/>
        <v>в структуре, %</v>
      </c>
      <c r="X48" s="257" t="str">
        <f t="shared" si="4"/>
        <v>в тыс. руб.</v>
      </c>
      <c r="Y48" s="257" t="str">
        <f t="shared" si="4"/>
        <v>темп прироста, %</v>
      </c>
      <c r="Z48" s="257" t="str">
        <f t="shared" si="4"/>
        <v>в структуре, %</v>
      </c>
      <c r="AA48" s="257" t="str">
        <f t="shared" si="4"/>
        <v>в тыс. руб.</v>
      </c>
      <c r="AB48" s="257" t="str">
        <f t="shared" si="4"/>
        <v>темп прироста, %</v>
      </c>
      <c r="AC48" s="257" t="str">
        <f t="shared" si="4"/>
        <v>в структуре, %</v>
      </c>
      <c r="AD48" s="257" t="str">
        <f t="shared" si="4"/>
        <v>в тыс. руб.</v>
      </c>
      <c r="AE48" s="257" t="str">
        <f t="shared" si="4"/>
        <v>темп прироста, %</v>
      </c>
      <c r="AF48" s="257" t="str">
        <f t="shared" si="4"/>
        <v>в структуре, %</v>
      </c>
      <c r="AG48" s="257" t="str">
        <f t="shared" si="4"/>
        <v>в тыс. руб.</v>
      </c>
      <c r="AH48" s="257" t="str">
        <f t="shared" si="4"/>
        <v>темп прироста, %</v>
      </c>
      <c r="AI48" s="257" t="str">
        <f t="shared" si="4"/>
        <v>в структуре, %</v>
      </c>
      <c r="AJ48" s="257" t="str">
        <f t="shared" si="3"/>
        <v>в тыс. руб.</v>
      </c>
      <c r="AK48" s="257" t="str">
        <f t="shared" si="3"/>
        <v>темп прироста, %</v>
      </c>
      <c r="AL48" s="257" t="str">
        <f t="shared" si="3"/>
        <v>в структуре, %</v>
      </c>
    </row>
    <row r="49" spans="1:38" x14ac:dyDescent="0.3">
      <c r="A49" s="310" t="s">
        <v>276</v>
      </c>
      <c r="B49" s="284"/>
      <c r="C49" s="284"/>
      <c r="D49" s="316"/>
      <c r="E49" s="316"/>
      <c r="F49" s="284"/>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row>
    <row r="50" spans="1:38" x14ac:dyDescent="0.3">
      <c r="A50" s="310" t="s">
        <v>277</v>
      </c>
      <c r="B50" s="284"/>
      <c r="C50" s="284"/>
      <c r="D50" s="316"/>
      <c r="E50" s="316"/>
      <c r="F50" s="284"/>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row>
    <row r="51" spans="1:38" ht="31.2" x14ac:dyDescent="0.3">
      <c r="A51" s="310" t="s">
        <v>278</v>
      </c>
      <c r="B51" s="284"/>
      <c r="C51" s="284"/>
      <c r="D51" s="316"/>
      <c r="E51" s="316"/>
      <c r="F51" s="284"/>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16"/>
    </row>
    <row r="52" spans="1:38" ht="46.8" x14ac:dyDescent="0.3">
      <c r="A52" s="310" t="s">
        <v>279</v>
      </c>
      <c r="B52" s="284"/>
      <c r="C52" s="284"/>
      <c r="D52" s="316"/>
      <c r="E52" s="316"/>
      <c r="F52" s="284"/>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row>
    <row r="53" spans="1:38" ht="31.2" x14ac:dyDescent="0.3">
      <c r="A53" s="310" t="s">
        <v>280</v>
      </c>
      <c r="B53" s="284"/>
      <c r="C53" s="284"/>
      <c r="D53" s="316"/>
      <c r="E53" s="316"/>
      <c r="F53" s="284"/>
      <c r="G53" s="316"/>
      <c r="H53" s="316"/>
      <c r="I53" s="316"/>
      <c r="J53" s="316"/>
      <c r="K53" s="316"/>
      <c r="L53" s="316"/>
      <c r="M53" s="316"/>
      <c r="N53" s="316"/>
      <c r="O53" s="316"/>
      <c r="P53" s="316"/>
      <c r="Q53" s="316"/>
      <c r="R53" s="316"/>
      <c r="S53" s="316"/>
      <c r="T53" s="316"/>
      <c r="U53" s="316"/>
      <c r="V53" s="316"/>
      <c r="W53" s="316"/>
      <c r="X53" s="316"/>
      <c r="Y53" s="316"/>
      <c r="Z53" s="316"/>
      <c r="AA53" s="316"/>
      <c r="AB53" s="316"/>
      <c r="AC53" s="316"/>
      <c r="AD53" s="316"/>
      <c r="AE53" s="316"/>
      <c r="AF53" s="316"/>
      <c r="AG53" s="316"/>
      <c r="AH53" s="316"/>
      <c r="AI53" s="316"/>
      <c r="AJ53" s="316"/>
      <c r="AK53" s="316"/>
      <c r="AL53" s="316"/>
    </row>
    <row r="54" spans="1:38" x14ac:dyDescent="0.3">
      <c r="A54" s="310" t="s">
        <v>281</v>
      </c>
      <c r="B54" s="284"/>
      <c r="C54" s="284"/>
      <c r="D54" s="316"/>
      <c r="E54" s="316"/>
      <c r="F54" s="284"/>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c r="AF54" s="316"/>
      <c r="AG54" s="316"/>
      <c r="AH54" s="316"/>
      <c r="AI54" s="316"/>
      <c r="AJ54" s="316"/>
      <c r="AK54" s="316"/>
      <c r="AL54" s="316"/>
    </row>
    <row r="55" spans="1:38" ht="31.2" x14ac:dyDescent="0.3">
      <c r="A55" s="310" t="s">
        <v>617</v>
      </c>
      <c r="B55" s="284"/>
      <c r="C55" s="284"/>
      <c r="D55" s="316"/>
      <c r="E55" s="316"/>
      <c r="F55" s="284"/>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16"/>
    </row>
    <row r="58" spans="1:38" x14ac:dyDescent="0.3">
      <c r="A58" s="37" t="s">
        <v>618</v>
      </c>
      <c r="B58" s="31"/>
      <c r="C58" s="31"/>
      <c r="D58" s="31"/>
      <c r="E58" s="31"/>
      <c r="P58" s="72"/>
    </row>
    <row r="59" spans="1:38" s="313" customFormat="1" ht="31.2" x14ac:dyDescent="0.25">
      <c r="A59" s="314" t="s">
        <v>177</v>
      </c>
      <c r="B59" s="314" t="s">
        <v>320</v>
      </c>
      <c r="C59" s="314" t="s">
        <v>321</v>
      </c>
      <c r="D59" s="314" t="s">
        <v>433</v>
      </c>
      <c r="E59" s="314" t="s">
        <v>322</v>
      </c>
      <c r="F59" s="314" t="s">
        <v>433</v>
      </c>
      <c r="G59" s="314" t="s">
        <v>323</v>
      </c>
      <c r="H59" s="314" t="s">
        <v>322</v>
      </c>
      <c r="I59" s="314" t="s">
        <v>433</v>
      </c>
      <c r="J59" s="314" t="s">
        <v>324</v>
      </c>
      <c r="K59" s="314" t="s">
        <v>433</v>
      </c>
      <c r="L59" s="314" t="s">
        <v>325</v>
      </c>
      <c r="M59" s="314" t="s">
        <v>433</v>
      </c>
      <c r="N59" s="314" t="s">
        <v>326</v>
      </c>
      <c r="O59" s="314" t="s">
        <v>433</v>
      </c>
      <c r="P59" s="70"/>
    </row>
    <row r="60" spans="1:38" ht="62.4" x14ac:dyDescent="0.3">
      <c r="A60" s="318" t="s">
        <v>619</v>
      </c>
      <c r="B60" s="45"/>
      <c r="C60" s="45"/>
      <c r="D60" s="319"/>
      <c r="E60" s="319"/>
      <c r="F60" s="45"/>
      <c r="G60" s="45"/>
      <c r="H60" s="45"/>
      <c r="I60" s="319"/>
      <c r="J60" s="319"/>
      <c r="K60" s="45"/>
      <c r="L60" s="45"/>
      <c r="M60" s="319"/>
      <c r="N60" s="319"/>
      <c r="O60" s="45"/>
      <c r="P60" s="72"/>
    </row>
    <row r="61" spans="1:38" ht="46.8" x14ac:dyDescent="0.3">
      <c r="A61" s="318" t="s">
        <v>620</v>
      </c>
      <c r="B61" s="45"/>
      <c r="C61" s="45"/>
      <c r="D61" s="319"/>
      <c r="E61" s="319"/>
      <c r="F61" s="45"/>
      <c r="G61" s="45"/>
      <c r="H61" s="45"/>
      <c r="I61" s="319"/>
      <c r="J61" s="319"/>
      <c r="K61" s="45"/>
      <c r="L61" s="45"/>
      <c r="M61" s="319"/>
      <c r="N61" s="319"/>
      <c r="O61" s="45"/>
      <c r="P61" s="72"/>
    </row>
    <row r="62" spans="1:38" x14ac:dyDescent="0.3">
      <c r="A62" s="320" t="s">
        <v>466</v>
      </c>
      <c r="B62" s="46"/>
      <c r="C62" s="46"/>
      <c r="D62" s="321"/>
      <c r="E62" s="321"/>
      <c r="F62" s="46"/>
      <c r="G62" s="46"/>
      <c r="H62" s="46"/>
      <c r="I62" s="321"/>
      <c r="J62" s="321"/>
      <c r="K62" s="46"/>
      <c r="L62" s="46"/>
      <c r="M62" s="321"/>
      <c r="N62" s="321"/>
      <c r="O62" s="46"/>
      <c r="P62" s="322"/>
    </row>
    <row r="63" spans="1:38" ht="31.2" x14ac:dyDescent="0.3">
      <c r="A63" s="323" t="s">
        <v>621</v>
      </c>
      <c r="B63" s="45"/>
      <c r="C63" s="45"/>
      <c r="D63" s="45"/>
      <c r="E63" s="319"/>
      <c r="F63" s="45"/>
      <c r="G63" s="45"/>
      <c r="H63" s="45"/>
      <c r="I63" s="45"/>
      <c r="J63" s="319"/>
      <c r="K63" s="45"/>
      <c r="L63" s="45"/>
      <c r="M63" s="45"/>
      <c r="N63" s="319"/>
      <c r="O63" s="45"/>
      <c r="P63" s="70"/>
    </row>
    <row r="64" spans="1:38" x14ac:dyDescent="0.3">
      <c r="A64" s="324" t="s">
        <v>622</v>
      </c>
      <c r="B64" s="45"/>
      <c r="C64" s="45"/>
      <c r="D64" s="45"/>
      <c r="E64" s="319"/>
      <c r="F64" s="45"/>
      <c r="G64" s="45"/>
      <c r="H64" s="45"/>
      <c r="I64" s="45"/>
      <c r="J64" s="319"/>
      <c r="K64" s="45"/>
      <c r="L64" s="45"/>
      <c r="M64" s="45"/>
      <c r="N64" s="319"/>
      <c r="O64" s="45"/>
      <c r="P64" s="72"/>
    </row>
    <row r="65" spans="1:16" ht="31.2" x14ac:dyDescent="0.3">
      <c r="A65" s="325" t="s">
        <v>623</v>
      </c>
      <c r="B65" s="326"/>
      <c r="C65" s="326"/>
      <c r="D65" s="319"/>
      <c r="E65" s="319"/>
      <c r="F65" s="326"/>
      <c r="G65" s="326"/>
      <c r="H65" s="326"/>
      <c r="I65" s="319"/>
      <c r="J65" s="319"/>
      <c r="K65" s="326"/>
      <c r="L65" s="326"/>
      <c r="M65" s="319"/>
      <c r="N65" s="319"/>
      <c r="O65" s="326"/>
      <c r="P65" s="322"/>
    </row>
    <row r="66" spans="1:16" x14ac:dyDescent="0.3">
      <c r="A66" s="320" t="s">
        <v>466</v>
      </c>
      <c r="B66" s="46"/>
      <c r="C66" s="46"/>
      <c r="D66" s="321"/>
      <c r="E66" s="321"/>
      <c r="F66" s="46"/>
      <c r="G66" s="46"/>
      <c r="H66" s="46"/>
      <c r="I66" s="321"/>
      <c r="J66" s="321"/>
      <c r="K66" s="46"/>
      <c r="L66" s="46"/>
      <c r="M66" s="321"/>
      <c r="N66" s="321"/>
      <c r="O66" s="46"/>
      <c r="P66" s="70"/>
    </row>
    <row r="67" spans="1:16" ht="31.2" x14ac:dyDescent="0.3">
      <c r="A67" s="327" t="s">
        <v>624</v>
      </c>
      <c r="B67" s="45"/>
      <c r="C67" s="45"/>
      <c r="D67" s="45"/>
      <c r="E67" s="319"/>
      <c r="F67" s="45"/>
      <c r="G67" s="45"/>
      <c r="H67" s="45"/>
      <c r="I67" s="45"/>
      <c r="J67" s="319"/>
      <c r="K67" s="45"/>
      <c r="L67" s="45"/>
      <c r="M67" s="45"/>
      <c r="N67" s="319"/>
      <c r="O67" s="45"/>
      <c r="P67" s="328"/>
    </row>
    <row r="68" spans="1:16" ht="62.4" x14ac:dyDescent="0.3">
      <c r="A68" s="327" t="s">
        <v>625</v>
      </c>
      <c r="B68" s="326"/>
      <c r="C68" s="326"/>
      <c r="D68" s="45"/>
      <c r="E68" s="319"/>
      <c r="F68" s="326"/>
      <c r="G68" s="326"/>
      <c r="H68" s="326"/>
      <c r="I68" s="45"/>
      <c r="J68" s="319"/>
      <c r="K68" s="326"/>
      <c r="L68" s="326"/>
      <c r="M68" s="45"/>
      <c r="N68" s="319"/>
      <c r="O68" s="326"/>
      <c r="P68" s="328"/>
    </row>
    <row r="69" spans="1:16" x14ac:dyDescent="0.3">
      <c r="A69" s="320" t="s">
        <v>466</v>
      </c>
      <c r="B69" s="46"/>
      <c r="C69" s="46"/>
      <c r="D69" s="319"/>
      <c r="E69" s="319"/>
      <c r="F69" s="46"/>
      <c r="G69" s="46"/>
      <c r="H69" s="46"/>
      <c r="I69" s="319"/>
      <c r="J69" s="319"/>
      <c r="K69" s="46"/>
      <c r="L69" s="46"/>
      <c r="M69" s="319"/>
      <c r="N69" s="319"/>
      <c r="O69" s="46"/>
      <c r="P69" s="328"/>
    </row>
    <row r="70" spans="1:16" x14ac:dyDescent="0.3">
      <c r="A70" s="327" t="s">
        <v>413</v>
      </c>
      <c r="B70" s="74"/>
      <c r="C70" s="319"/>
      <c r="D70" s="319"/>
      <c r="E70" s="319"/>
      <c r="F70" s="74"/>
      <c r="G70" s="319"/>
      <c r="H70" s="319"/>
      <c r="I70" s="319"/>
      <c r="J70" s="319"/>
      <c r="K70" s="74"/>
      <c r="L70" s="319"/>
      <c r="M70" s="319"/>
      <c r="N70" s="319"/>
      <c r="O70" s="74"/>
      <c r="P70" s="72"/>
    </row>
    <row r="71" spans="1:16" ht="46.8" x14ac:dyDescent="0.3">
      <c r="A71" s="327" t="s">
        <v>626</v>
      </c>
      <c r="B71" s="74"/>
      <c r="C71" s="319"/>
      <c r="D71" s="319"/>
      <c r="E71" s="319"/>
      <c r="F71" s="74"/>
      <c r="G71" s="319"/>
      <c r="H71" s="319"/>
      <c r="I71" s="319"/>
      <c r="J71" s="319"/>
      <c r="K71" s="74"/>
      <c r="L71" s="319"/>
      <c r="M71" s="319"/>
      <c r="N71" s="319"/>
      <c r="O71" s="74"/>
      <c r="P71" s="329"/>
    </row>
    <row r="72" spans="1:16" x14ac:dyDescent="0.3">
      <c r="A72" s="320" t="s">
        <v>466</v>
      </c>
      <c r="B72" s="74"/>
      <c r="C72" s="46"/>
      <c r="D72" s="321"/>
      <c r="E72" s="321"/>
      <c r="F72" s="74"/>
      <c r="G72" s="46"/>
      <c r="H72" s="46"/>
      <c r="I72" s="321"/>
      <c r="J72" s="321"/>
      <c r="K72" s="74"/>
      <c r="L72" s="46"/>
      <c r="M72" s="321"/>
      <c r="N72" s="321"/>
      <c r="O72" s="74"/>
      <c r="P72" s="70"/>
    </row>
    <row r="73" spans="1:16" ht="78" x14ac:dyDescent="0.3">
      <c r="A73" s="324" t="s">
        <v>627</v>
      </c>
      <c r="B73" s="45"/>
      <c r="C73" s="45"/>
      <c r="D73" s="45"/>
      <c r="E73" s="319"/>
      <c r="F73" s="45"/>
      <c r="G73" s="45"/>
      <c r="H73" s="45"/>
      <c r="I73" s="45"/>
      <c r="J73" s="319"/>
      <c r="K73" s="45"/>
      <c r="L73" s="45"/>
      <c r="M73" s="45"/>
      <c r="N73" s="319"/>
      <c r="O73" s="45"/>
      <c r="P73" s="72"/>
    </row>
    <row r="74" spans="1:16" ht="93.6" x14ac:dyDescent="0.3">
      <c r="A74" s="323" t="s">
        <v>628</v>
      </c>
      <c r="B74" s="319"/>
      <c r="C74" s="319"/>
      <c r="D74" s="319"/>
      <c r="E74" s="319"/>
      <c r="F74" s="319"/>
      <c r="G74" s="319"/>
      <c r="H74" s="319"/>
      <c r="I74" s="319"/>
      <c r="J74" s="319"/>
      <c r="K74" s="319"/>
      <c r="L74" s="319"/>
      <c r="M74" s="319"/>
      <c r="N74" s="319"/>
      <c r="O74" s="319"/>
      <c r="P74" s="330"/>
    </row>
    <row r="75" spans="1:16" x14ac:dyDescent="0.3">
      <c r="A75" s="331" t="s">
        <v>466</v>
      </c>
      <c r="B75" s="46"/>
      <c r="C75" s="46"/>
      <c r="D75" s="332"/>
      <c r="E75" s="321"/>
      <c r="F75" s="46"/>
      <c r="G75" s="46"/>
      <c r="H75" s="46"/>
      <c r="I75" s="332"/>
      <c r="J75" s="321"/>
      <c r="K75" s="46"/>
      <c r="L75" s="46"/>
      <c r="M75" s="332"/>
      <c r="N75" s="321"/>
      <c r="O75" s="46"/>
      <c r="P75" s="70"/>
    </row>
    <row r="76" spans="1:16" ht="31.2" x14ac:dyDescent="0.3">
      <c r="A76" s="333" t="s">
        <v>629</v>
      </c>
      <c r="B76" s="45"/>
      <c r="C76" s="45"/>
      <c r="D76" s="334"/>
      <c r="E76" s="319"/>
      <c r="F76" s="45"/>
      <c r="G76" s="45"/>
      <c r="H76" s="45"/>
      <c r="I76" s="334"/>
      <c r="J76" s="319"/>
      <c r="K76" s="45"/>
      <c r="L76" s="45"/>
      <c r="M76" s="334"/>
      <c r="N76" s="319"/>
      <c r="O76" s="45"/>
    </row>
    <row r="77" spans="1:16" ht="62.4" x14ac:dyDescent="0.3">
      <c r="A77" s="333" t="s">
        <v>630</v>
      </c>
      <c r="B77" s="279"/>
      <c r="C77" s="279"/>
      <c r="D77" s="335"/>
      <c r="E77" s="319"/>
      <c r="F77" s="279"/>
      <c r="G77" s="279"/>
      <c r="H77" s="279"/>
      <c r="I77" s="335"/>
      <c r="J77" s="319"/>
      <c r="K77" s="279"/>
      <c r="L77" s="279"/>
      <c r="M77" s="335"/>
      <c r="N77" s="319"/>
      <c r="O77" s="279"/>
    </row>
    <row r="78" spans="1:16" x14ac:dyDescent="0.3">
      <c r="A78" s="331" t="s">
        <v>466</v>
      </c>
      <c r="B78" s="46"/>
      <c r="C78" s="46"/>
      <c r="D78" s="332"/>
      <c r="E78" s="321"/>
      <c r="F78" s="46"/>
      <c r="G78" s="46"/>
      <c r="H78" s="46"/>
      <c r="I78" s="332"/>
      <c r="J78" s="321"/>
      <c r="K78" s="46"/>
      <c r="L78" s="46"/>
      <c r="M78" s="332"/>
      <c r="N78" s="321"/>
      <c r="O78" s="46"/>
    </row>
  </sheetData>
  <mergeCells count="44">
    <mergeCell ref="AJ5:AL5"/>
    <mergeCell ref="U5:W5"/>
    <mergeCell ref="X5:Z5"/>
    <mergeCell ref="AA5:AC5"/>
    <mergeCell ref="AD5:AF5"/>
    <mergeCell ref="AG5:AI5"/>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G47:AI47"/>
    <mergeCell ref="R47:T47"/>
    <mergeCell ref="U47:W47"/>
    <mergeCell ref="X47:Z47"/>
    <mergeCell ref="AA47:AC47"/>
    <mergeCell ref="AD47:AF47"/>
  </mergeCells>
  <pageMargins left="0.75" right="0.75" top="1" bottom="1" header="0.5" footer="0.5"/>
  <pageSetup paperSize="9" scale="2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IU125"/>
  <sheetViews>
    <sheetView zoomScale="70" workbookViewId="0">
      <pane xSplit="1" topLeftCell="B1" activePane="topRight" state="frozen"/>
      <selection pane="topRight"/>
    </sheetView>
  </sheetViews>
  <sheetFormatPr defaultColWidth="9.109375" defaultRowHeight="15.6" x14ac:dyDescent="0.3"/>
  <cols>
    <col min="1" max="1" width="56.6640625" style="64" customWidth="1"/>
    <col min="2" max="2" width="18.5546875" style="64" customWidth="1"/>
    <col min="3" max="42" width="18.33203125" style="64" customWidth="1"/>
    <col min="43" max="16384" width="9.109375" style="64"/>
  </cols>
  <sheetData>
    <row r="1" spans="1:255" x14ac:dyDescent="0.3">
      <c r="A1" s="66" t="s">
        <v>631</v>
      </c>
    </row>
    <row r="2" spans="1:255" x14ac:dyDescent="0.3">
      <c r="A2" s="66"/>
    </row>
    <row r="3" spans="1:255" x14ac:dyDescent="0.3">
      <c r="A3" s="66" t="s">
        <v>632</v>
      </c>
    </row>
    <row r="4" spans="1:255" s="197" customFormat="1" ht="15.75" customHeight="1" x14ac:dyDescent="0.3">
      <c r="A4" s="423" t="s">
        <v>177</v>
      </c>
      <c r="B4" s="429" t="s">
        <v>421</v>
      </c>
      <c r="C4" s="429"/>
      <c r="D4" s="429"/>
      <c r="E4" s="429"/>
      <c r="F4" s="429"/>
      <c r="G4" s="429"/>
      <c r="H4" s="429"/>
      <c r="I4" s="429"/>
      <c r="J4" s="430" t="s">
        <v>422</v>
      </c>
      <c r="K4" s="430"/>
      <c r="L4" s="430"/>
      <c r="M4" s="430"/>
      <c r="N4" s="430"/>
      <c r="O4" s="430"/>
      <c r="P4" s="430"/>
      <c r="Q4" s="430"/>
      <c r="R4" s="431" t="s">
        <v>423</v>
      </c>
      <c r="S4" s="431"/>
      <c r="T4" s="431"/>
      <c r="U4" s="431"/>
      <c r="V4" s="431"/>
      <c r="W4" s="431"/>
      <c r="X4" s="431"/>
      <c r="Y4" s="431"/>
      <c r="Z4" s="431"/>
      <c r="AA4" s="431"/>
      <c r="AB4" s="431"/>
      <c r="AC4" s="431"/>
      <c r="AD4" s="431"/>
      <c r="AE4" s="431"/>
      <c r="AF4" s="431"/>
      <c r="AG4" s="431"/>
      <c r="AH4" s="431"/>
      <c r="AI4" s="431"/>
      <c r="AJ4" s="431"/>
      <c r="AK4" s="431"/>
      <c r="AL4" s="431"/>
    </row>
    <row r="5" spans="1:255" s="197" customFormat="1" x14ac:dyDescent="0.3">
      <c r="A5" s="424"/>
      <c r="B5" s="429"/>
      <c r="C5" s="429"/>
      <c r="D5" s="429"/>
      <c r="E5" s="429"/>
      <c r="F5" s="429"/>
      <c r="G5" s="429"/>
      <c r="H5" s="429"/>
      <c r="I5" s="429"/>
      <c r="J5" s="430"/>
      <c r="K5" s="430"/>
      <c r="L5" s="430"/>
      <c r="M5" s="430"/>
      <c r="N5" s="430"/>
      <c r="O5" s="430"/>
      <c r="P5" s="430"/>
      <c r="Q5" s="430"/>
      <c r="R5" s="425" t="s">
        <v>320</v>
      </c>
      <c r="S5" s="425"/>
      <c r="T5" s="425"/>
      <c r="U5" s="432" t="s">
        <v>321</v>
      </c>
      <c r="V5" s="432"/>
      <c r="W5" s="432"/>
      <c r="X5" s="432" t="s">
        <v>322</v>
      </c>
      <c r="Y5" s="432"/>
      <c r="Z5" s="432"/>
      <c r="AA5" s="432" t="s">
        <v>323</v>
      </c>
      <c r="AB5" s="432"/>
      <c r="AC5" s="432"/>
      <c r="AD5" s="432" t="s">
        <v>324</v>
      </c>
      <c r="AE5" s="432"/>
      <c r="AF5" s="432"/>
      <c r="AG5" s="433" t="s">
        <v>325</v>
      </c>
      <c r="AH5" s="434"/>
      <c r="AI5" s="435"/>
      <c r="AJ5" s="436" t="s">
        <v>326</v>
      </c>
      <c r="AK5" s="436"/>
      <c r="AL5" s="436"/>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01"/>
      <c r="CI5" s="201"/>
      <c r="CJ5" s="201"/>
      <c r="CK5" s="201"/>
      <c r="CL5" s="201"/>
      <c r="CM5" s="201"/>
      <c r="CN5" s="201"/>
      <c r="CO5" s="201"/>
      <c r="CP5" s="201"/>
      <c r="CQ5" s="201"/>
      <c r="CR5" s="201"/>
      <c r="CS5" s="201"/>
      <c r="CT5" s="201"/>
      <c r="CU5" s="201"/>
      <c r="CV5" s="201"/>
      <c r="CW5" s="201"/>
      <c r="CX5" s="201"/>
      <c r="CY5" s="201"/>
      <c r="CZ5" s="201"/>
      <c r="DA5" s="201"/>
      <c r="DB5" s="201"/>
      <c r="DC5" s="201"/>
      <c r="DD5" s="201"/>
      <c r="DE5" s="201"/>
      <c r="DF5" s="201"/>
      <c r="DG5" s="201"/>
      <c r="DH5" s="201"/>
      <c r="DI5" s="201"/>
      <c r="DJ5" s="201"/>
      <c r="DK5" s="201"/>
      <c r="DL5" s="201"/>
      <c r="DM5" s="201"/>
      <c r="DN5" s="201"/>
      <c r="DO5" s="201"/>
      <c r="DP5" s="201"/>
      <c r="DQ5" s="201"/>
      <c r="DR5" s="201"/>
      <c r="DS5" s="201"/>
      <c r="DT5" s="201"/>
      <c r="DU5" s="201"/>
      <c r="DV5" s="201"/>
      <c r="DW5" s="201"/>
      <c r="DX5" s="201"/>
      <c r="DY5" s="201"/>
      <c r="DZ5" s="201"/>
      <c r="EA5" s="201"/>
      <c r="EB5" s="201"/>
      <c r="EC5" s="201"/>
      <c r="ED5" s="201"/>
      <c r="EE5" s="201"/>
      <c r="EF5" s="201"/>
      <c r="EG5" s="201"/>
      <c r="EH5" s="201"/>
      <c r="EI5" s="201"/>
      <c r="EJ5" s="201"/>
      <c r="EK5" s="201"/>
      <c r="EL5" s="201"/>
      <c r="EM5" s="201"/>
      <c r="EN5" s="201"/>
      <c r="EO5" s="201"/>
      <c r="EP5" s="201"/>
      <c r="EQ5" s="201"/>
      <c r="ER5" s="201"/>
      <c r="ES5" s="201"/>
      <c r="ET5" s="201"/>
      <c r="EU5" s="201"/>
      <c r="EV5" s="201"/>
      <c r="EW5" s="201"/>
      <c r="EX5" s="201"/>
      <c r="EY5" s="201"/>
      <c r="EZ5" s="201"/>
      <c r="FA5" s="201"/>
      <c r="FB5" s="201"/>
      <c r="FC5" s="201"/>
      <c r="FD5" s="201"/>
      <c r="FE5" s="201"/>
      <c r="FF5" s="201"/>
      <c r="FG5" s="201"/>
      <c r="FH5" s="201"/>
      <c r="FI5" s="201"/>
      <c r="FJ5" s="201"/>
      <c r="FK5" s="201"/>
      <c r="FL5" s="201"/>
      <c r="FM5" s="201"/>
      <c r="FN5" s="201"/>
      <c r="FO5" s="201"/>
      <c r="FP5" s="201"/>
      <c r="FQ5" s="201"/>
      <c r="FR5" s="201"/>
      <c r="FS5" s="201"/>
      <c r="FT5" s="201"/>
      <c r="FU5" s="201"/>
      <c r="FV5" s="201"/>
      <c r="FW5" s="201"/>
      <c r="FX5" s="201"/>
      <c r="FY5" s="201"/>
      <c r="FZ5" s="201"/>
      <c r="GA5" s="201"/>
      <c r="GB5" s="201"/>
      <c r="GC5" s="201"/>
      <c r="GD5" s="201"/>
      <c r="GE5" s="201"/>
      <c r="GF5" s="201"/>
      <c r="GG5" s="201"/>
      <c r="GH5" s="201"/>
      <c r="GI5" s="201"/>
      <c r="GJ5" s="201"/>
      <c r="GK5" s="201"/>
      <c r="GL5" s="201"/>
      <c r="GM5" s="201"/>
      <c r="GN5" s="201"/>
      <c r="GO5" s="201"/>
      <c r="GP5" s="201"/>
      <c r="GQ5" s="201"/>
      <c r="GR5" s="201"/>
      <c r="GS5" s="201"/>
      <c r="GT5" s="201"/>
      <c r="GU5" s="201"/>
      <c r="GV5" s="201"/>
      <c r="GW5" s="201"/>
      <c r="GX5" s="201"/>
      <c r="GY5" s="201"/>
      <c r="GZ5" s="201"/>
      <c r="HA5" s="201"/>
      <c r="HB5" s="201"/>
      <c r="HC5" s="201"/>
      <c r="HD5" s="201"/>
      <c r="HE5" s="201"/>
      <c r="HF5" s="201"/>
      <c r="HG5" s="201"/>
      <c r="HH5" s="201"/>
      <c r="HI5" s="201"/>
      <c r="HJ5" s="201"/>
      <c r="HK5" s="201"/>
      <c r="HL5" s="201"/>
      <c r="HM5" s="201"/>
      <c r="HN5" s="201"/>
      <c r="HO5" s="201"/>
      <c r="HP5" s="201"/>
      <c r="HQ5" s="201"/>
      <c r="HR5" s="201"/>
      <c r="HS5" s="201"/>
      <c r="HT5" s="201"/>
      <c r="HU5" s="201"/>
      <c r="HV5" s="201"/>
      <c r="HW5" s="201"/>
      <c r="HX5" s="201"/>
      <c r="HY5" s="201"/>
      <c r="HZ5" s="201"/>
      <c r="IA5" s="201"/>
      <c r="IB5" s="201"/>
      <c r="IC5" s="201"/>
      <c r="ID5" s="201"/>
      <c r="IE5" s="201"/>
      <c r="IF5" s="201"/>
      <c r="IG5" s="201"/>
      <c r="IH5" s="201"/>
      <c r="II5" s="201"/>
      <c r="IJ5" s="201"/>
      <c r="IK5" s="201"/>
      <c r="IL5" s="201"/>
      <c r="IM5" s="201"/>
      <c r="IN5" s="201"/>
      <c r="IO5" s="201"/>
      <c r="IP5" s="201"/>
      <c r="IQ5" s="201"/>
      <c r="IR5" s="201"/>
      <c r="IS5" s="201"/>
      <c r="IT5" s="201"/>
      <c r="IU5" s="201"/>
    </row>
    <row r="6" spans="1:255" s="197" customFormat="1" ht="31.2" x14ac:dyDescent="0.3">
      <c r="A6" s="425"/>
      <c r="B6" s="336">
        <v>43830</v>
      </c>
      <c r="C6" s="336" t="s">
        <v>425</v>
      </c>
      <c r="D6" s="336" t="s">
        <v>426</v>
      </c>
      <c r="E6" s="336" t="s">
        <v>427</v>
      </c>
      <c r="F6" s="336" t="s">
        <v>428</v>
      </c>
      <c r="G6" s="336" t="s">
        <v>429</v>
      </c>
      <c r="H6" s="336" t="s">
        <v>430</v>
      </c>
      <c r="I6" s="336" t="s">
        <v>431</v>
      </c>
      <c r="J6" s="337" t="s">
        <v>424</v>
      </c>
      <c r="K6" s="337" t="str">
        <f t="shared" ref="K6:Q6" si="0">C6</f>
        <v>31.12.2018</v>
      </c>
      <c r="L6" s="337" t="str">
        <f t="shared" si="0"/>
        <v>31.12.2017</v>
      </c>
      <c r="M6" s="337" t="str">
        <f t="shared" si="0"/>
        <v>31.12.2016</v>
      </c>
      <c r="N6" s="337" t="str">
        <f t="shared" si="0"/>
        <v>31.12.2015</v>
      </c>
      <c r="O6" s="337" t="str">
        <f t="shared" si="0"/>
        <v>31.12.2014</v>
      </c>
      <c r="P6" s="337" t="str">
        <f t="shared" si="0"/>
        <v>31.12.2013</v>
      </c>
      <c r="Q6" s="337" t="str">
        <f t="shared" si="0"/>
        <v>31.12.2012</v>
      </c>
      <c r="R6" s="204" t="s">
        <v>432</v>
      </c>
      <c r="S6" s="204" t="s">
        <v>433</v>
      </c>
      <c r="T6" s="204" t="s">
        <v>434</v>
      </c>
      <c r="U6" s="204" t="s">
        <v>432</v>
      </c>
      <c r="V6" s="204" t="s">
        <v>433</v>
      </c>
      <c r="W6" s="204" t="s">
        <v>434</v>
      </c>
      <c r="X6" s="204" t="str">
        <f>U6</f>
        <v>в тыс. руб.</v>
      </c>
      <c r="Y6" s="204" t="str">
        <f t="shared" ref="Y6:AL6" si="1">V6</f>
        <v>темп прироста, %</v>
      </c>
      <c r="Z6" s="204" t="str">
        <f t="shared" si="1"/>
        <v>в структуре, %</v>
      </c>
      <c r="AA6" s="204" t="str">
        <f t="shared" si="1"/>
        <v>в тыс. руб.</v>
      </c>
      <c r="AB6" s="204" t="str">
        <f t="shared" si="1"/>
        <v>темп прироста, %</v>
      </c>
      <c r="AC6" s="204" t="str">
        <f t="shared" si="1"/>
        <v>в структуре, %</v>
      </c>
      <c r="AD6" s="204" t="str">
        <f t="shared" si="1"/>
        <v>в тыс. руб.</v>
      </c>
      <c r="AE6" s="204" t="str">
        <f t="shared" si="1"/>
        <v>темп прироста, %</v>
      </c>
      <c r="AF6" s="204" t="str">
        <f t="shared" si="1"/>
        <v>в структуре, %</v>
      </c>
      <c r="AG6" s="204" t="str">
        <f t="shared" si="1"/>
        <v>в тыс. руб.</v>
      </c>
      <c r="AH6" s="204" t="str">
        <f t="shared" si="1"/>
        <v>темп прироста, %</v>
      </c>
      <c r="AI6" s="204" t="str">
        <f t="shared" si="1"/>
        <v>в структуре, %</v>
      </c>
      <c r="AJ6" s="204" t="str">
        <f t="shared" si="1"/>
        <v>в тыс. руб.</v>
      </c>
      <c r="AK6" s="204" t="str">
        <f t="shared" si="1"/>
        <v>темп прироста, %</v>
      </c>
      <c r="AL6" s="204" t="str">
        <f t="shared" si="1"/>
        <v>в структуре, %</v>
      </c>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c r="CN6" s="201"/>
      <c r="CO6" s="201"/>
      <c r="CP6" s="201"/>
      <c r="CQ6" s="201"/>
      <c r="CR6" s="201"/>
      <c r="CS6" s="201"/>
      <c r="CT6" s="201"/>
      <c r="CU6" s="201"/>
      <c r="CV6" s="201"/>
      <c r="CW6" s="201"/>
      <c r="CX6" s="201"/>
      <c r="CY6" s="201"/>
      <c r="CZ6" s="201"/>
      <c r="DA6" s="201"/>
      <c r="DB6" s="201"/>
      <c r="DC6" s="201"/>
      <c r="DD6" s="201"/>
      <c r="DE6" s="201"/>
      <c r="DF6" s="201"/>
      <c r="DG6" s="201"/>
      <c r="DH6" s="201"/>
      <c r="DI6" s="201"/>
      <c r="DJ6" s="201"/>
      <c r="DK6" s="201"/>
      <c r="DL6" s="201"/>
      <c r="DM6" s="201"/>
      <c r="DN6" s="201"/>
      <c r="DO6" s="201"/>
      <c r="DP6" s="201"/>
      <c r="DQ6" s="201"/>
      <c r="DR6" s="201"/>
      <c r="DS6" s="201"/>
      <c r="DT6" s="201"/>
      <c r="DU6" s="201"/>
      <c r="DV6" s="201"/>
      <c r="DW6" s="201"/>
      <c r="DX6" s="201"/>
      <c r="DY6" s="201"/>
      <c r="DZ6" s="201"/>
      <c r="EA6" s="201"/>
      <c r="EB6" s="201"/>
      <c r="EC6" s="201"/>
      <c r="ED6" s="201"/>
      <c r="EE6" s="201"/>
      <c r="EF6" s="201"/>
      <c r="EG6" s="201"/>
      <c r="EH6" s="201"/>
      <c r="EI6" s="201"/>
      <c r="EJ6" s="201"/>
      <c r="EK6" s="201"/>
      <c r="EL6" s="201"/>
      <c r="EM6" s="201"/>
      <c r="EN6" s="201"/>
      <c r="EO6" s="201"/>
      <c r="EP6" s="201"/>
      <c r="EQ6" s="201"/>
      <c r="ER6" s="201"/>
      <c r="ES6" s="201"/>
      <c r="ET6" s="201"/>
      <c r="EU6" s="201"/>
      <c r="EV6" s="201"/>
      <c r="EW6" s="201"/>
      <c r="EX6" s="201"/>
      <c r="EY6" s="201"/>
      <c r="EZ6" s="201"/>
      <c r="FA6" s="201"/>
      <c r="FB6" s="201"/>
      <c r="FC6" s="201"/>
      <c r="FD6" s="201"/>
      <c r="FE6" s="201"/>
      <c r="FF6" s="201"/>
      <c r="FG6" s="201"/>
      <c r="FH6" s="201"/>
      <c r="FI6" s="201"/>
      <c r="FJ6" s="201"/>
      <c r="FK6" s="201"/>
      <c r="FL6" s="201"/>
      <c r="FM6" s="201"/>
      <c r="FN6" s="201"/>
      <c r="FO6" s="201"/>
      <c r="FP6" s="201"/>
      <c r="FQ6" s="201"/>
      <c r="FR6" s="201"/>
      <c r="FS6" s="201"/>
      <c r="FT6" s="201"/>
      <c r="FU6" s="201"/>
      <c r="FV6" s="201"/>
      <c r="FW6" s="201"/>
      <c r="FX6" s="201"/>
      <c r="FY6" s="201"/>
      <c r="FZ6" s="201"/>
      <c r="GA6" s="201"/>
      <c r="GB6" s="201"/>
      <c r="GC6" s="201"/>
      <c r="GD6" s="201"/>
      <c r="GE6" s="201"/>
      <c r="GF6" s="201"/>
      <c r="GG6" s="201"/>
      <c r="GH6" s="201"/>
      <c r="GI6" s="201"/>
      <c r="GJ6" s="201"/>
      <c r="GK6" s="201"/>
      <c r="GL6" s="201"/>
      <c r="GM6" s="201"/>
      <c r="GN6" s="201"/>
      <c r="GO6" s="201"/>
      <c r="GP6" s="201"/>
      <c r="GQ6" s="201"/>
      <c r="GR6" s="201"/>
      <c r="GS6" s="201"/>
      <c r="GT6" s="201"/>
      <c r="GU6" s="201"/>
      <c r="GV6" s="201"/>
      <c r="GW6" s="201"/>
      <c r="GX6" s="201"/>
      <c r="GY6" s="201"/>
      <c r="GZ6" s="201"/>
      <c r="HA6" s="201"/>
      <c r="HB6" s="201"/>
      <c r="HC6" s="201"/>
      <c r="HD6" s="201"/>
      <c r="HE6" s="201"/>
      <c r="HF6" s="201"/>
      <c r="HG6" s="201"/>
      <c r="HH6" s="201"/>
      <c r="HI6" s="201"/>
      <c r="HJ6" s="201"/>
      <c r="HK6" s="201"/>
      <c r="HL6" s="201"/>
      <c r="HM6" s="201"/>
      <c r="HN6" s="201"/>
      <c r="HO6" s="201"/>
      <c r="HP6" s="201"/>
      <c r="HQ6" s="201"/>
      <c r="HR6" s="201"/>
      <c r="HS6" s="201"/>
      <c r="HT6" s="201"/>
      <c r="HU6" s="201"/>
      <c r="HV6" s="201"/>
      <c r="HW6" s="201"/>
      <c r="HX6" s="201"/>
      <c r="HY6" s="201"/>
      <c r="HZ6" s="201"/>
      <c r="IA6" s="201"/>
      <c r="IB6" s="201"/>
      <c r="IC6" s="201"/>
      <c r="ID6" s="201"/>
      <c r="IE6" s="201"/>
      <c r="IF6" s="201"/>
      <c r="IG6" s="201"/>
      <c r="IH6" s="201"/>
      <c r="II6" s="201"/>
      <c r="IJ6" s="201"/>
      <c r="IK6" s="201"/>
      <c r="IL6" s="201"/>
      <c r="IM6" s="201"/>
      <c r="IN6" s="201"/>
      <c r="IO6" s="201"/>
      <c r="IP6" s="201"/>
      <c r="IQ6" s="201"/>
      <c r="IR6" s="201"/>
      <c r="IS6" s="201"/>
      <c r="IT6" s="201"/>
      <c r="IU6" s="201"/>
    </row>
    <row r="7" spans="1:255" x14ac:dyDescent="0.3">
      <c r="A7" s="167" t="s">
        <v>633</v>
      </c>
      <c r="B7" s="315"/>
      <c r="C7" s="284"/>
      <c r="D7" s="315"/>
      <c r="E7" s="284"/>
      <c r="F7" s="315"/>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row>
    <row r="8" spans="1:255" x14ac:dyDescent="0.3">
      <c r="A8" s="167" t="s">
        <v>634</v>
      </c>
      <c r="B8" s="315"/>
      <c r="C8" s="284"/>
      <c r="D8" s="315"/>
      <c r="E8" s="284"/>
      <c r="F8" s="315"/>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row>
    <row r="9" spans="1:255" x14ac:dyDescent="0.3">
      <c r="A9" s="167" t="s">
        <v>573</v>
      </c>
      <c r="B9" s="315"/>
      <c r="C9" s="284"/>
      <c r="D9" s="315"/>
      <c r="E9" s="284"/>
      <c r="F9" s="315"/>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row>
    <row r="10" spans="1:255" x14ac:dyDescent="0.3">
      <c r="A10" s="167" t="s">
        <v>559</v>
      </c>
      <c r="B10" s="315"/>
      <c r="C10" s="284"/>
      <c r="D10" s="315"/>
      <c r="E10" s="284"/>
      <c r="F10" s="315"/>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row>
    <row r="11" spans="1:255" ht="31.2" x14ac:dyDescent="0.3">
      <c r="A11" s="167" t="s">
        <v>560</v>
      </c>
      <c r="B11" s="315"/>
      <c r="C11" s="169"/>
      <c r="D11" s="315"/>
      <c r="E11" s="169"/>
      <c r="F11" s="315"/>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row>
    <row r="12" spans="1:255" x14ac:dyDescent="0.3">
      <c r="A12" s="283" t="s">
        <v>635</v>
      </c>
      <c r="B12" s="245"/>
      <c r="C12" s="26"/>
      <c r="D12" s="245"/>
      <c r="E12" s="26"/>
      <c r="F12" s="245"/>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row>
    <row r="13" spans="1:255" x14ac:dyDescent="0.3">
      <c r="A13" s="78" t="s">
        <v>636</v>
      </c>
    </row>
    <row r="14" spans="1:255" x14ac:dyDescent="0.3">
      <c r="A14" s="66" t="s">
        <v>637</v>
      </c>
      <c r="E14" s="172"/>
      <c r="F14" s="249"/>
      <c r="G14" s="338"/>
    </row>
    <row r="15" spans="1:255" s="197" customFormat="1" ht="15.75" customHeight="1" x14ac:dyDescent="0.3">
      <c r="A15" s="423" t="s">
        <v>177</v>
      </c>
      <c r="B15" s="429" t="s">
        <v>421</v>
      </c>
      <c r="C15" s="429"/>
      <c r="D15" s="429"/>
      <c r="E15" s="429"/>
      <c r="F15" s="429"/>
      <c r="G15" s="429"/>
      <c r="H15" s="429"/>
      <c r="I15" s="429"/>
      <c r="J15" s="430" t="s">
        <v>422</v>
      </c>
      <c r="K15" s="430"/>
      <c r="L15" s="430"/>
      <c r="M15" s="430"/>
      <c r="N15" s="430"/>
      <c r="O15" s="430"/>
      <c r="P15" s="430"/>
      <c r="Q15" s="430"/>
      <c r="R15" s="431" t="s">
        <v>423</v>
      </c>
      <c r="S15" s="431"/>
      <c r="T15" s="431"/>
      <c r="U15" s="431"/>
      <c r="V15" s="431"/>
      <c r="W15" s="431"/>
      <c r="X15" s="431"/>
      <c r="Y15" s="431"/>
      <c r="Z15" s="431"/>
      <c r="AA15" s="431"/>
      <c r="AB15" s="431"/>
      <c r="AC15" s="431"/>
      <c r="AD15" s="431"/>
      <c r="AE15" s="431"/>
      <c r="AF15" s="431"/>
      <c r="AG15" s="431"/>
      <c r="AH15" s="431"/>
      <c r="AI15" s="431"/>
      <c r="AJ15" s="431"/>
      <c r="AK15" s="431"/>
      <c r="AL15" s="431"/>
    </row>
    <row r="16" spans="1:255" s="197" customFormat="1" x14ac:dyDescent="0.3">
      <c r="A16" s="424"/>
      <c r="B16" s="429"/>
      <c r="C16" s="429"/>
      <c r="D16" s="429"/>
      <c r="E16" s="429"/>
      <c r="F16" s="429"/>
      <c r="G16" s="429"/>
      <c r="H16" s="429"/>
      <c r="I16" s="429"/>
      <c r="J16" s="430"/>
      <c r="K16" s="430"/>
      <c r="L16" s="430"/>
      <c r="M16" s="430"/>
      <c r="N16" s="430"/>
      <c r="O16" s="430"/>
      <c r="P16" s="430"/>
      <c r="Q16" s="430"/>
      <c r="R16" s="425" t="s">
        <v>320</v>
      </c>
      <c r="S16" s="425"/>
      <c r="T16" s="425"/>
      <c r="U16" s="432" t="s">
        <v>321</v>
      </c>
      <c r="V16" s="432"/>
      <c r="W16" s="432"/>
      <c r="X16" s="432" t="s">
        <v>322</v>
      </c>
      <c r="Y16" s="432"/>
      <c r="Z16" s="432"/>
      <c r="AA16" s="432" t="s">
        <v>323</v>
      </c>
      <c r="AB16" s="432"/>
      <c r="AC16" s="432"/>
      <c r="AD16" s="432" t="s">
        <v>324</v>
      </c>
      <c r="AE16" s="432"/>
      <c r="AF16" s="432"/>
      <c r="AG16" s="433" t="s">
        <v>325</v>
      </c>
      <c r="AH16" s="434"/>
      <c r="AI16" s="435"/>
      <c r="AJ16" s="436" t="s">
        <v>326</v>
      </c>
      <c r="AK16" s="436"/>
      <c r="AL16" s="436"/>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1"/>
      <c r="DL16" s="201"/>
      <c r="DM16" s="201"/>
      <c r="DN16" s="201"/>
      <c r="DO16" s="201"/>
      <c r="DP16" s="201"/>
      <c r="DQ16" s="201"/>
      <c r="DR16" s="201"/>
      <c r="DS16" s="201"/>
      <c r="DT16" s="201"/>
      <c r="DU16" s="201"/>
      <c r="DV16" s="201"/>
      <c r="DW16" s="201"/>
      <c r="DX16" s="201"/>
      <c r="DY16" s="201"/>
      <c r="DZ16" s="201"/>
      <c r="EA16" s="201"/>
      <c r="EB16" s="201"/>
      <c r="EC16" s="201"/>
      <c r="ED16" s="201"/>
      <c r="EE16" s="201"/>
      <c r="EF16" s="201"/>
      <c r="EG16" s="201"/>
      <c r="EH16" s="201"/>
      <c r="EI16" s="201"/>
      <c r="EJ16" s="201"/>
      <c r="EK16" s="201"/>
      <c r="EL16" s="201"/>
      <c r="EM16" s="201"/>
      <c r="EN16" s="201"/>
      <c r="EO16" s="201"/>
      <c r="EP16" s="201"/>
      <c r="EQ16" s="201"/>
      <c r="ER16" s="201"/>
      <c r="ES16" s="201"/>
      <c r="ET16" s="201"/>
      <c r="EU16" s="201"/>
      <c r="EV16" s="201"/>
      <c r="EW16" s="201"/>
      <c r="EX16" s="201"/>
      <c r="EY16" s="201"/>
      <c r="EZ16" s="201"/>
      <c r="FA16" s="201"/>
      <c r="FB16" s="201"/>
      <c r="FC16" s="201"/>
      <c r="FD16" s="201"/>
      <c r="FE16" s="201"/>
      <c r="FF16" s="201"/>
      <c r="FG16" s="201"/>
      <c r="FH16" s="201"/>
      <c r="FI16" s="201"/>
      <c r="FJ16" s="201"/>
      <c r="FK16" s="201"/>
      <c r="FL16" s="201"/>
      <c r="FM16" s="201"/>
      <c r="FN16" s="201"/>
      <c r="FO16" s="201"/>
      <c r="FP16" s="201"/>
      <c r="FQ16" s="201"/>
      <c r="FR16" s="201"/>
      <c r="FS16" s="201"/>
      <c r="FT16" s="201"/>
      <c r="FU16" s="201"/>
      <c r="FV16" s="201"/>
      <c r="FW16" s="201"/>
      <c r="FX16" s="201"/>
      <c r="FY16" s="201"/>
      <c r="FZ16" s="201"/>
      <c r="GA16" s="201"/>
      <c r="GB16" s="201"/>
      <c r="GC16" s="201"/>
      <c r="GD16" s="201"/>
      <c r="GE16" s="201"/>
      <c r="GF16" s="201"/>
      <c r="GG16" s="201"/>
      <c r="GH16" s="201"/>
      <c r="GI16" s="201"/>
      <c r="GJ16" s="201"/>
      <c r="GK16" s="201"/>
      <c r="GL16" s="201"/>
      <c r="GM16" s="201"/>
      <c r="GN16" s="201"/>
      <c r="GO16" s="201"/>
      <c r="GP16" s="201"/>
      <c r="GQ16" s="201"/>
      <c r="GR16" s="201"/>
      <c r="GS16" s="201"/>
      <c r="GT16" s="201"/>
      <c r="GU16" s="201"/>
      <c r="GV16" s="201"/>
      <c r="GW16" s="201"/>
      <c r="GX16" s="201"/>
      <c r="GY16" s="201"/>
      <c r="GZ16" s="201"/>
      <c r="HA16" s="201"/>
      <c r="HB16" s="201"/>
      <c r="HC16" s="201"/>
      <c r="HD16" s="201"/>
      <c r="HE16" s="201"/>
      <c r="HF16" s="201"/>
      <c r="HG16" s="201"/>
      <c r="HH16" s="201"/>
      <c r="HI16" s="201"/>
      <c r="HJ16" s="201"/>
      <c r="HK16" s="201"/>
      <c r="HL16" s="201"/>
      <c r="HM16" s="201"/>
      <c r="HN16" s="201"/>
      <c r="HO16" s="201"/>
      <c r="HP16" s="201"/>
      <c r="HQ16" s="201"/>
      <c r="HR16" s="201"/>
      <c r="HS16" s="201"/>
      <c r="HT16" s="201"/>
      <c r="HU16" s="201"/>
      <c r="HV16" s="201"/>
      <c r="HW16" s="201"/>
      <c r="HX16" s="201"/>
      <c r="HY16" s="201"/>
      <c r="HZ16" s="201"/>
      <c r="IA16" s="201"/>
      <c r="IB16" s="201"/>
      <c r="IC16" s="201"/>
      <c r="ID16" s="201"/>
      <c r="IE16" s="201"/>
      <c r="IF16" s="201"/>
      <c r="IG16" s="201"/>
      <c r="IH16" s="201"/>
      <c r="II16" s="201"/>
      <c r="IJ16" s="201"/>
      <c r="IK16" s="201"/>
      <c r="IL16" s="201"/>
      <c r="IM16" s="201"/>
      <c r="IN16" s="201"/>
      <c r="IO16" s="201"/>
      <c r="IP16" s="201"/>
      <c r="IQ16" s="201"/>
      <c r="IR16" s="201"/>
      <c r="IS16" s="201"/>
      <c r="IT16" s="201"/>
      <c r="IU16" s="201"/>
    </row>
    <row r="17" spans="1:255" s="197" customFormat="1" ht="31.2" x14ac:dyDescent="0.3">
      <c r="A17" s="425"/>
      <c r="B17" s="336">
        <v>43830</v>
      </c>
      <c r="C17" s="336" t="s">
        <v>425</v>
      </c>
      <c r="D17" s="336" t="s">
        <v>426</v>
      </c>
      <c r="E17" s="336" t="s">
        <v>427</v>
      </c>
      <c r="F17" s="336" t="s">
        <v>428</v>
      </c>
      <c r="G17" s="336" t="s">
        <v>429</v>
      </c>
      <c r="H17" s="336" t="s">
        <v>430</v>
      </c>
      <c r="I17" s="336" t="s">
        <v>431</v>
      </c>
      <c r="J17" s="337">
        <f t="shared" ref="J17:Q17" si="2">B17</f>
        <v>43830</v>
      </c>
      <c r="K17" s="337" t="str">
        <f t="shared" si="2"/>
        <v>31.12.2018</v>
      </c>
      <c r="L17" s="337" t="str">
        <f t="shared" si="2"/>
        <v>31.12.2017</v>
      </c>
      <c r="M17" s="337" t="str">
        <f t="shared" si="2"/>
        <v>31.12.2016</v>
      </c>
      <c r="N17" s="337" t="str">
        <f t="shared" si="2"/>
        <v>31.12.2015</v>
      </c>
      <c r="O17" s="337" t="str">
        <f t="shared" si="2"/>
        <v>31.12.2014</v>
      </c>
      <c r="P17" s="337" t="str">
        <f t="shared" si="2"/>
        <v>31.12.2013</v>
      </c>
      <c r="Q17" s="337" t="str">
        <f t="shared" si="2"/>
        <v>31.12.2012</v>
      </c>
      <c r="R17" s="204" t="s">
        <v>432</v>
      </c>
      <c r="S17" s="204" t="s">
        <v>433</v>
      </c>
      <c r="T17" s="204" t="s">
        <v>434</v>
      </c>
      <c r="U17" s="204" t="s">
        <v>432</v>
      </c>
      <c r="V17" s="204" t="s">
        <v>433</v>
      </c>
      <c r="W17" s="204" t="s">
        <v>434</v>
      </c>
      <c r="X17" s="204" t="str">
        <f t="shared" ref="X17:AL73" si="3">U17</f>
        <v>в тыс. руб.</v>
      </c>
      <c r="Y17" s="204" t="str">
        <f t="shared" si="3"/>
        <v>темп прироста, %</v>
      </c>
      <c r="Z17" s="204" t="str">
        <f t="shared" si="3"/>
        <v>в структуре, %</v>
      </c>
      <c r="AA17" s="204" t="str">
        <f t="shared" si="3"/>
        <v>в тыс. руб.</v>
      </c>
      <c r="AB17" s="204" t="str">
        <f t="shared" si="3"/>
        <v>темп прироста, %</v>
      </c>
      <c r="AC17" s="204" t="str">
        <f t="shared" si="3"/>
        <v>в структуре, %</v>
      </c>
      <c r="AD17" s="204" t="str">
        <f t="shared" si="3"/>
        <v>в тыс. руб.</v>
      </c>
      <c r="AE17" s="204" t="str">
        <f t="shared" si="3"/>
        <v>темп прироста, %</v>
      </c>
      <c r="AF17" s="204" t="str">
        <f t="shared" si="3"/>
        <v>в структуре, %</v>
      </c>
      <c r="AG17" s="204" t="str">
        <f t="shared" si="3"/>
        <v>в тыс. руб.</v>
      </c>
      <c r="AH17" s="204" t="str">
        <f t="shared" si="3"/>
        <v>темп прироста, %</v>
      </c>
      <c r="AI17" s="204" t="str">
        <f t="shared" si="3"/>
        <v>в структуре, %</v>
      </c>
      <c r="AJ17" s="204" t="str">
        <f t="shared" si="3"/>
        <v>в тыс. руб.</v>
      </c>
      <c r="AK17" s="204" t="str">
        <f t="shared" si="3"/>
        <v>темп прироста, %</v>
      </c>
      <c r="AL17" s="204" t="str">
        <f t="shared" si="3"/>
        <v>в структуре, %</v>
      </c>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c r="CE17" s="201"/>
      <c r="CF17" s="201"/>
      <c r="CG17" s="201"/>
      <c r="CH17" s="201"/>
      <c r="CI17" s="201"/>
      <c r="CJ17" s="201"/>
      <c r="CK17" s="201"/>
      <c r="CL17" s="201"/>
      <c r="CM17" s="201"/>
      <c r="CN17" s="201"/>
      <c r="CO17" s="201"/>
      <c r="CP17" s="201"/>
      <c r="CQ17" s="201"/>
      <c r="CR17" s="201"/>
      <c r="CS17" s="201"/>
      <c r="CT17" s="201"/>
      <c r="CU17" s="201"/>
      <c r="CV17" s="201"/>
      <c r="CW17" s="201"/>
      <c r="CX17" s="201"/>
      <c r="CY17" s="201"/>
      <c r="CZ17" s="201"/>
      <c r="DA17" s="201"/>
      <c r="DB17" s="201"/>
      <c r="DC17" s="201"/>
      <c r="DD17" s="201"/>
      <c r="DE17" s="201"/>
      <c r="DF17" s="201"/>
      <c r="DG17" s="201"/>
      <c r="DH17" s="201"/>
      <c r="DI17" s="201"/>
      <c r="DJ17" s="201"/>
      <c r="DK17" s="201"/>
      <c r="DL17" s="201"/>
      <c r="DM17" s="201"/>
      <c r="DN17" s="201"/>
      <c r="DO17" s="201"/>
      <c r="DP17" s="201"/>
      <c r="DQ17" s="201"/>
      <c r="DR17" s="201"/>
      <c r="DS17" s="201"/>
      <c r="DT17" s="201"/>
      <c r="DU17" s="201"/>
      <c r="DV17" s="201"/>
      <c r="DW17" s="201"/>
      <c r="DX17" s="201"/>
      <c r="DY17" s="201"/>
      <c r="DZ17" s="201"/>
      <c r="EA17" s="201"/>
      <c r="EB17" s="201"/>
      <c r="EC17" s="201"/>
      <c r="ED17" s="201"/>
      <c r="EE17" s="201"/>
      <c r="EF17" s="201"/>
      <c r="EG17" s="201"/>
      <c r="EH17" s="201"/>
      <c r="EI17" s="201"/>
      <c r="EJ17" s="201"/>
      <c r="EK17" s="201"/>
      <c r="EL17" s="201"/>
      <c r="EM17" s="201"/>
      <c r="EN17" s="201"/>
      <c r="EO17" s="201"/>
      <c r="EP17" s="201"/>
      <c r="EQ17" s="201"/>
      <c r="ER17" s="201"/>
      <c r="ES17" s="201"/>
      <c r="ET17" s="201"/>
      <c r="EU17" s="201"/>
      <c r="EV17" s="201"/>
      <c r="EW17" s="201"/>
      <c r="EX17" s="201"/>
      <c r="EY17" s="201"/>
      <c r="EZ17" s="201"/>
      <c r="FA17" s="201"/>
      <c r="FB17" s="201"/>
      <c r="FC17" s="201"/>
      <c r="FD17" s="201"/>
      <c r="FE17" s="201"/>
      <c r="FF17" s="201"/>
      <c r="FG17" s="201"/>
      <c r="FH17" s="201"/>
      <c r="FI17" s="201"/>
      <c r="FJ17" s="201"/>
      <c r="FK17" s="201"/>
      <c r="FL17" s="201"/>
      <c r="FM17" s="201"/>
      <c r="FN17" s="201"/>
      <c r="FO17" s="201"/>
      <c r="FP17" s="201"/>
      <c r="FQ17" s="201"/>
      <c r="FR17" s="201"/>
      <c r="FS17" s="201"/>
      <c r="FT17" s="201"/>
      <c r="FU17" s="201"/>
      <c r="FV17" s="201"/>
      <c r="FW17" s="201"/>
      <c r="FX17" s="201"/>
      <c r="FY17" s="201"/>
      <c r="FZ17" s="201"/>
      <c r="GA17" s="201"/>
      <c r="GB17" s="201"/>
      <c r="GC17" s="201"/>
      <c r="GD17" s="201"/>
      <c r="GE17" s="201"/>
      <c r="GF17" s="201"/>
      <c r="GG17" s="201"/>
      <c r="GH17" s="201"/>
      <c r="GI17" s="201"/>
      <c r="GJ17" s="201"/>
      <c r="GK17" s="201"/>
      <c r="GL17" s="201"/>
      <c r="GM17" s="201"/>
      <c r="GN17" s="201"/>
      <c r="GO17" s="201"/>
      <c r="GP17" s="201"/>
      <c r="GQ17" s="201"/>
      <c r="GR17" s="201"/>
      <c r="GS17" s="201"/>
      <c r="GT17" s="201"/>
      <c r="GU17" s="201"/>
      <c r="GV17" s="201"/>
      <c r="GW17" s="201"/>
      <c r="GX17" s="201"/>
      <c r="GY17" s="201"/>
      <c r="GZ17" s="201"/>
      <c r="HA17" s="201"/>
      <c r="HB17" s="201"/>
      <c r="HC17" s="201"/>
      <c r="HD17" s="201"/>
      <c r="HE17" s="201"/>
      <c r="HF17" s="201"/>
      <c r="HG17" s="201"/>
      <c r="HH17" s="201"/>
      <c r="HI17" s="201"/>
      <c r="HJ17" s="201"/>
      <c r="HK17" s="201"/>
      <c r="HL17" s="201"/>
      <c r="HM17" s="201"/>
      <c r="HN17" s="201"/>
      <c r="HO17" s="201"/>
      <c r="HP17" s="201"/>
      <c r="HQ17" s="201"/>
      <c r="HR17" s="201"/>
      <c r="HS17" s="201"/>
      <c r="HT17" s="201"/>
      <c r="HU17" s="201"/>
      <c r="HV17" s="201"/>
      <c r="HW17" s="201"/>
      <c r="HX17" s="201"/>
      <c r="HY17" s="201"/>
      <c r="HZ17" s="201"/>
      <c r="IA17" s="201"/>
      <c r="IB17" s="201"/>
      <c r="IC17" s="201"/>
      <c r="ID17" s="201"/>
      <c r="IE17" s="201"/>
      <c r="IF17" s="201"/>
      <c r="IG17" s="201"/>
      <c r="IH17" s="201"/>
      <c r="II17" s="201"/>
      <c r="IJ17" s="201"/>
      <c r="IK17" s="201"/>
      <c r="IL17" s="201"/>
      <c r="IM17" s="201"/>
      <c r="IN17" s="201"/>
      <c r="IO17" s="201"/>
      <c r="IP17" s="201"/>
      <c r="IQ17" s="201"/>
      <c r="IR17" s="201"/>
      <c r="IS17" s="201"/>
      <c r="IT17" s="201"/>
      <c r="IU17" s="201"/>
    </row>
    <row r="18" spans="1:255" x14ac:dyDescent="0.3">
      <c r="A18" s="167" t="s">
        <v>633</v>
      </c>
      <c r="B18" s="311"/>
      <c r="C18" s="284"/>
      <c r="D18" s="311"/>
      <c r="E18" s="284"/>
      <c r="F18" s="311"/>
      <c r="G18" s="311"/>
      <c r="H18" s="311"/>
      <c r="I18" s="311"/>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row>
    <row r="19" spans="1:255" x14ac:dyDescent="0.3">
      <c r="A19" s="167" t="s">
        <v>634</v>
      </c>
      <c r="B19" s="311"/>
      <c r="C19" s="284"/>
      <c r="D19" s="311"/>
      <c r="E19" s="284"/>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row>
    <row r="20" spans="1:255" x14ac:dyDescent="0.3">
      <c r="A20" s="167" t="s">
        <v>573</v>
      </c>
      <c r="B20" s="311"/>
      <c r="C20" s="284"/>
      <c r="D20" s="311"/>
      <c r="E20" s="284"/>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row>
    <row r="21" spans="1:255" x14ac:dyDescent="0.3">
      <c r="A21" s="167" t="s">
        <v>559</v>
      </c>
      <c r="B21" s="311"/>
      <c r="C21" s="284"/>
      <c r="D21" s="311"/>
      <c r="E21" s="284"/>
      <c r="F21" s="311"/>
      <c r="G21" s="311"/>
      <c r="H21" s="311"/>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row>
    <row r="22" spans="1:255" x14ac:dyDescent="0.3">
      <c r="A22" s="283" t="s">
        <v>638</v>
      </c>
      <c r="B22" s="245"/>
      <c r="C22" s="26"/>
      <c r="D22" s="245"/>
      <c r="E22" s="26"/>
      <c r="F22" s="245"/>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row>
    <row r="24" spans="1:255" ht="16.2" x14ac:dyDescent="0.35">
      <c r="A24" s="66" t="s">
        <v>639</v>
      </c>
      <c r="B24" s="339"/>
      <c r="C24" s="339"/>
      <c r="D24" s="339"/>
      <c r="E24" s="339"/>
      <c r="F24" s="339"/>
      <c r="G24" s="339"/>
    </row>
    <row r="25" spans="1:255" s="197" customFormat="1" ht="15.75" customHeight="1" x14ac:dyDescent="0.3">
      <c r="A25" s="423" t="s">
        <v>177</v>
      </c>
      <c r="B25" s="429" t="s">
        <v>421</v>
      </c>
      <c r="C25" s="429"/>
      <c r="D25" s="429"/>
      <c r="E25" s="429"/>
      <c r="F25" s="429"/>
      <c r="G25" s="429"/>
      <c r="H25" s="429"/>
      <c r="I25" s="429"/>
      <c r="J25" s="430" t="s">
        <v>422</v>
      </c>
      <c r="K25" s="430"/>
      <c r="L25" s="430"/>
      <c r="M25" s="430"/>
      <c r="N25" s="430"/>
      <c r="O25" s="430"/>
      <c r="P25" s="430"/>
      <c r="Q25" s="430"/>
      <c r="R25" s="431" t="s">
        <v>423</v>
      </c>
      <c r="S25" s="431"/>
      <c r="T25" s="431"/>
      <c r="U25" s="431"/>
      <c r="V25" s="431"/>
      <c r="W25" s="431"/>
      <c r="X25" s="431"/>
      <c r="Y25" s="431"/>
      <c r="Z25" s="431"/>
      <c r="AA25" s="431"/>
      <c r="AB25" s="431"/>
      <c r="AC25" s="431"/>
      <c r="AD25" s="431"/>
      <c r="AE25" s="431"/>
      <c r="AF25" s="431"/>
      <c r="AG25" s="431"/>
      <c r="AH25" s="431"/>
      <c r="AI25" s="431"/>
      <c r="AJ25" s="431"/>
      <c r="AK25" s="431"/>
      <c r="AL25" s="431"/>
    </row>
    <row r="26" spans="1:255" s="197" customFormat="1" x14ac:dyDescent="0.3">
      <c r="A26" s="424"/>
      <c r="B26" s="429"/>
      <c r="C26" s="429"/>
      <c r="D26" s="429"/>
      <c r="E26" s="429"/>
      <c r="F26" s="429"/>
      <c r="G26" s="429"/>
      <c r="H26" s="429"/>
      <c r="I26" s="429"/>
      <c r="J26" s="430"/>
      <c r="K26" s="430"/>
      <c r="L26" s="430"/>
      <c r="M26" s="430"/>
      <c r="N26" s="430"/>
      <c r="O26" s="430"/>
      <c r="P26" s="430"/>
      <c r="Q26" s="430"/>
      <c r="R26" s="425" t="s">
        <v>320</v>
      </c>
      <c r="S26" s="425"/>
      <c r="T26" s="425"/>
      <c r="U26" s="432" t="s">
        <v>321</v>
      </c>
      <c r="V26" s="432"/>
      <c r="W26" s="432"/>
      <c r="X26" s="432" t="s">
        <v>322</v>
      </c>
      <c r="Y26" s="432"/>
      <c r="Z26" s="432"/>
      <c r="AA26" s="432" t="s">
        <v>323</v>
      </c>
      <c r="AB26" s="432"/>
      <c r="AC26" s="432"/>
      <c r="AD26" s="432" t="s">
        <v>324</v>
      </c>
      <c r="AE26" s="432"/>
      <c r="AF26" s="432"/>
      <c r="AG26" s="433" t="s">
        <v>325</v>
      </c>
      <c r="AH26" s="434"/>
      <c r="AI26" s="435"/>
      <c r="AJ26" s="436" t="s">
        <v>326</v>
      </c>
      <c r="AK26" s="436"/>
      <c r="AL26" s="436"/>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201"/>
      <c r="ED26" s="201"/>
      <c r="EE26" s="201"/>
      <c r="EF26" s="201"/>
      <c r="EG26" s="201"/>
      <c r="EH26" s="201"/>
      <c r="EI26" s="201"/>
      <c r="EJ26" s="201"/>
      <c r="EK26" s="201"/>
      <c r="EL26" s="201"/>
      <c r="EM26" s="201"/>
      <c r="EN26" s="201"/>
      <c r="EO26" s="201"/>
      <c r="EP26" s="201"/>
      <c r="EQ26" s="201"/>
      <c r="ER26" s="201"/>
      <c r="ES26" s="201"/>
      <c r="ET26" s="201"/>
      <c r="EU26" s="201"/>
      <c r="EV26" s="201"/>
      <c r="EW26" s="201"/>
      <c r="EX26" s="201"/>
      <c r="EY26" s="201"/>
      <c r="EZ26" s="201"/>
      <c r="FA26" s="201"/>
      <c r="FB26" s="201"/>
      <c r="FC26" s="201"/>
      <c r="FD26" s="201"/>
      <c r="FE26" s="201"/>
      <c r="FF26" s="201"/>
      <c r="FG26" s="201"/>
      <c r="FH26" s="201"/>
      <c r="FI26" s="201"/>
      <c r="FJ26" s="201"/>
      <c r="FK26" s="201"/>
      <c r="FL26" s="201"/>
      <c r="FM26" s="201"/>
      <c r="FN26" s="201"/>
      <c r="FO26" s="201"/>
      <c r="FP26" s="201"/>
      <c r="FQ26" s="201"/>
      <c r="FR26" s="201"/>
      <c r="FS26" s="201"/>
      <c r="FT26" s="201"/>
      <c r="FU26" s="201"/>
      <c r="FV26" s="201"/>
      <c r="FW26" s="201"/>
      <c r="FX26" s="201"/>
      <c r="FY26" s="201"/>
      <c r="FZ26" s="201"/>
      <c r="GA26" s="201"/>
      <c r="GB26" s="201"/>
      <c r="GC26" s="201"/>
      <c r="GD26" s="201"/>
      <c r="GE26" s="201"/>
      <c r="GF26" s="201"/>
      <c r="GG26" s="201"/>
      <c r="GH26" s="201"/>
      <c r="GI26" s="201"/>
      <c r="GJ26" s="201"/>
      <c r="GK26" s="201"/>
      <c r="GL26" s="201"/>
      <c r="GM26" s="201"/>
      <c r="GN26" s="201"/>
      <c r="GO26" s="201"/>
      <c r="GP26" s="201"/>
      <c r="GQ26" s="201"/>
      <c r="GR26" s="201"/>
      <c r="GS26" s="201"/>
      <c r="GT26" s="201"/>
      <c r="GU26" s="201"/>
      <c r="GV26" s="201"/>
      <c r="GW26" s="201"/>
      <c r="GX26" s="201"/>
      <c r="GY26" s="201"/>
      <c r="GZ26" s="201"/>
      <c r="HA26" s="201"/>
      <c r="HB26" s="201"/>
      <c r="HC26" s="201"/>
      <c r="HD26" s="201"/>
      <c r="HE26" s="201"/>
      <c r="HF26" s="201"/>
      <c r="HG26" s="201"/>
      <c r="HH26" s="201"/>
      <c r="HI26" s="201"/>
      <c r="HJ26" s="201"/>
      <c r="HK26" s="201"/>
      <c r="HL26" s="201"/>
      <c r="HM26" s="201"/>
      <c r="HN26" s="201"/>
      <c r="HO26" s="201"/>
      <c r="HP26" s="201"/>
      <c r="HQ26" s="201"/>
      <c r="HR26" s="201"/>
      <c r="HS26" s="201"/>
      <c r="HT26" s="201"/>
      <c r="HU26" s="201"/>
      <c r="HV26" s="201"/>
      <c r="HW26" s="201"/>
      <c r="HX26" s="201"/>
      <c r="HY26" s="201"/>
      <c r="HZ26" s="201"/>
      <c r="IA26" s="201"/>
      <c r="IB26" s="201"/>
      <c r="IC26" s="201"/>
      <c r="ID26" s="201"/>
      <c r="IE26" s="201"/>
      <c r="IF26" s="201"/>
      <c r="IG26" s="201"/>
      <c r="IH26" s="201"/>
      <c r="II26" s="201"/>
      <c r="IJ26" s="201"/>
      <c r="IK26" s="201"/>
      <c r="IL26" s="201"/>
      <c r="IM26" s="201"/>
      <c r="IN26" s="201"/>
      <c r="IO26" s="201"/>
      <c r="IP26" s="201"/>
      <c r="IQ26" s="201"/>
      <c r="IR26" s="201"/>
      <c r="IS26" s="201"/>
      <c r="IT26" s="201"/>
      <c r="IU26" s="201"/>
    </row>
    <row r="27" spans="1:255" s="197" customFormat="1" ht="31.2" x14ac:dyDescent="0.3">
      <c r="A27" s="425"/>
      <c r="B27" s="336">
        <v>43830</v>
      </c>
      <c r="C27" s="336" t="s">
        <v>425</v>
      </c>
      <c r="D27" s="336" t="s">
        <v>426</v>
      </c>
      <c r="E27" s="336" t="s">
        <v>427</v>
      </c>
      <c r="F27" s="336" t="s">
        <v>428</v>
      </c>
      <c r="G27" s="336" t="s">
        <v>429</v>
      </c>
      <c r="H27" s="336" t="s">
        <v>430</v>
      </c>
      <c r="I27" s="336" t="s">
        <v>431</v>
      </c>
      <c r="J27" s="336">
        <v>43830</v>
      </c>
      <c r="K27" s="336" t="s">
        <v>425</v>
      </c>
      <c r="L27" s="336" t="s">
        <v>426</v>
      </c>
      <c r="M27" s="336" t="s">
        <v>427</v>
      </c>
      <c r="N27" s="336" t="s">
        <v>428</v>
      </c>
      <c r="O27" s="336" t="s">
        <v>429</v>
      </c>
      <c r="P27" s="336" t="s">
        <v>430</v>
      </c>
      <c r="Q27" s="336" t="s">
        <v>431</v>
      </c>
      <c r="R27" s="204" t="s">
        <v>432</v>
      </c>
      <c r="S27" s="204" t="s">
        <v>433</v>
      </c>
      <c r="T27" s="204" t="s">
        <v>434</v>
      </c>
      <c r="U27" s="204" t="s">
        <v>432</v>
      </c>
      <c r="V27" s="204" t="s">
        <v>433</v>
      </c>
      <c r="W27" s="204" t="s">
        <v>434</v>
      </c>
      <c r="X27" s="204" t="str">
        <f t="shared" si="3"/>
        <v>в тыс. руб.</v>
      </c>
      <c r="Y27" s="204" t="str">
        <f t="shared" si="3"/>
        <v>темп прироста, %</v>
      </c>
      <c r="Z27" s="204" t="str">
        <f t="shared" si="3"/>
        <v>в структуре, %</v>
      </c>
      <c r="AA27" s="204" t="str">
        <f t="shared" si="3"/>
        <v>в тыс. руб.</v>
      </c>
      <c r="AB27" s="204" t="str">
        <f t="shared" si="3"/>
        <v>темп прироста, %</v>
      </c>
      <c r="AC27" s="204" t="str">
        <f t="shared" si="3"/>
        <v>в структуре, %</v>
      </c>
      <c r="AD27" s="204" t="str">
        <f t="shared" si="3"/>
        <v>в тыс. руб.</v>
      </c>
      <c r="AE27" s="204" t="str">
        <f t="shared" si="3"/>
        <v>темп прироста, %</v>
      </c>
      <c r="AF27" s="204" t="str">
        <f t="shared" si="3"/>
        <v>в структуре, %</v>
      </c>
      <c r="AG27" s="204" t="str">
        <f t="shared" si="3"/>
        <v>в тыс. руб.</v>
      </c>
      <c r="AH27" s="204" t="str">
        <f t="shared" si="3"/>
        <v>темп прироста, %</v>
      </c>
      <c r="AI27" s="204" t="str">
        <f t="shared" si="3"/>
        <v>в структуре, %</v>
      </c>
      <c r="AJ27" s="204" t="str">
        <f t="shared" si="3"/>
        <v>в тыс. руб.</v>
      </c>
      <c r="AK27" s="204" t="str">
        <f t="shared" si="3"/>
        <v>темп прироста, %</v>
      </c>
      <c r="AL27" s="204" t="str">
        <f t="shared" si="3"/>
        <v>в структуре, %</v>
      </c>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c r="EK27" s="201"/>
      <c r="EL27" s="201"/>
      <c r="EM27" s="201"/>
      <c r="EN27" s="201"/>
      <c r="EO27" s="201"/>
      <c r="EP27" s="201"/>
      <c r="EQ27" s="201"/>
      <c r="ER27" s="201"/>
      <c r="ES27" s="201"/>
      <c r="ET27" s="201"/>
      <c r="EU27" s="201"/>
      <c r="EV27" s="201"/>
      <c r="EW27" s="201"/>
      <c r="EX27" s="201"/>
      <c r="EY27" s="201"/>
      <c r="EZ27" s="201"/>
      <c r="FA27" s="201"/>
      <c r="FB27" s="201"/>
      <c r="FC27" s="201"/>
      <c r="FD27" s="201"/>
      <c r="FE27" s="201"/>
      <c r="FF27" s="201"/>
      <c r="FG27" s="201"/>
      <c r="FH27" s="201"/>
      <c r="FI27" s="201"/>
      <c r="FJ27" s="201"/>
      <c r="FK27" s="201"/>
      <c r="FL27" s="201"/>
      <c r="FM27" s="201"/>
      <c r="FN27" s="201"/>
      <c r="FO27" s="201"/>
      <c r="FP27" s="201"/>
      <c r="FQ27" s="201"/>
      <c r="FR27" s="201"/>
      <c r="FS27" s="201"/>
      <c r="FT27" s="201"/>
      <c r="FU27" s="201"/>
      <c r="FV27" s="201"/>
      <c r="FW27" s="201"/>
      <c r="FX27" s="201"/>
      <c r="FY27" s="201"/>
      <c r="FZ27" s="201"/>
      <c r="GA27" s="201"/>
      <c r="GB27" s="201"/>
      <c r="GC27" s="201"/>
      <c r="GD27" s="201"/>
      <c r="GE27" s="201"/>
      <c r="GF27" s="201"/>
      <c r="GG27" s="201"/>
      <c r="GH27" s="201"/>
      <c r="GI27" s="201"/>
      <c r="GJ27" s="201"/>
      <c r="GK27" s="201"/>
      <c r="GL27" s="201"/>
      <c r="GM27" s="201"/>
      <c r="GN27" s="201"/>
      <c r="GO27" s="201"/>
      <c r="GP27" s="201"/>
      <c r="GQ27" s="201"/>
      <c r="GR27" s="201"/>
      <c r="GS27" s="201"/>
      <c r="GT27" s="201"/>
      <c r="GU27" s="201"/>
      <c r="GV27" s="201"/>
      <c r="GW27" s="201"/>
      <c r="GX27" s="201"/>
      <c r="GY27" s="201"/>
      <c r="GZ27" s="201"/>
      <c r="HA27" s="201"/>
      <c r="HB27" s="201"/>
      <c r="HC27" s="201"/>
      <c r="HD27" s="201"/>
      <c r="HE27" s="201"/>
      <c r="HF27" s="201"/>
      <c r="HG27" s="201"/>
      <c r="HH27" s="201"/>
      <c r="HI27" s="201"/>
      <c r="HJ27" s="201"/>
      <c r="HK27" s="201"/>
      <c r="HL27" s="201"/>
      <c r="HM27" s="201"/>
      <c r="HN27" s="201"/>
      <c r="HO27" s="201"/>
      <c r="HP27" s="201"/>
      <c r="HQ27" s="201"/>
      <c r="HR27" s="201"/>
      <c r="HS27" s="201"/>
      <c r="HT27" s="201"/>
      <c r="HU27" s="201"/>
      <c r="HV27" s="201"/>
      <c r="HW27" s="201"/>
      <c r="HX27" s="201"/>
      <c r="HY27" s="201"/>
      <c r="HZ27" s="201"/>
      <c r="IA27" s="201"/>
      <c r="IB27" s="201"/>
      <c r="IC27" s="201"/>
      <c r="ID27" s="201"/>
      <c r="IE27" s="201"/>
      <c r="IF27" s="201"/>
      <c r="IG27" s="201"/>
      <c r="IH27" s="201"/>
      <c r="II27" s="201"/>
      <c r="IJ27" s="201"/>
      <c r="IK27" s="201"/>
      <c r="IL27" s="201"/>
      <c r="IM27" s="201"/>
      <c r="IN27" s="201"/>
      <c r="IO27" s="201"/>
      <c r="IP27" s="201"/>
      <c r="IQ27" s="201"/>
      <c r="IR27" s="201"/>
      <c r="IS27" s="201"/>
      <c r="IT27" s="201"/>
      <c r="IU27" s="201"/>
    </row>
    <row r="28" spans="1:255" x14ac:dyDescent="0.3">
      <c r="A28" s="167" t="s">
        <v>640</v>
      </c>
      <c r="B28" s="340"/>
      <c r="C28" s="340"/>
      <c r="D28" s="340"/>
      <c r="E28" s="340"/>
      <c r="F28" s="340"/>
      <c r="G28" s="340"/>
      <c r="H28" s="340"/>
      <c r="I28" s="340"/>
      <c r="J28" s="340"/>
      <c r="K28" s="340"/>
      <c r="L28" s="340"/>
      <c r="M28" s="340"/>
      <c r="N28" s="340"/>
      <c r="O28" s="340"/>
      <c r="P28" s="340"/>
      <c r="Q28" s="340"/>
      <c r="R28" s="340"/>
      <c r="S28" s="340"/>
      <c r="T28" s="340"/>
      <c r="U28" s="340"/>
      <c r="V28" s="340"/>
      <c r="W28" s="340"/>
      <c r="X28" s="340"/>
      <c r="Y28" s="340"/>
      <c r="Z28" s="340"/>
      <c r="AA28" s="340"/>
      <c r="AB28" s="340"/>
      <c r="AC28" s="340"/>
      <c r="AD28" s="340"/>
      <c r="AE28" s="340"/>
      <c r="AF28" s="340"/>
      <c r="AG28" s="340"/>
      <c r="AH28" s="340"/>
      <c r="AI28" s="340"/>
      <c r="AJ28" s="340"/>
      <c r="AK28" s="340"/>
      <c r="AL28" s="340"/>
    </row>
    <row r="29" spans="1:255" x14ac:dyDescent="0.3">
      <c r="A29" s="167" t="s">
        <v>41</v>
      </c>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0"/>
    </row>
    <row r="30" spans="1:255" x14ac:dyDescent="0.3">
      <c r="A30" s="283" t="s">
        <v>40</v>
      </c>
      <c r="B30" s="340"/>
      <c r="C30" s="340"/>
      <c r="D30" s="340"/>
      <c r="E30" s="340"/>
      <c r="F30" s="340"/>
      <c r="G30" s="340"/>
      <c r="H30" s="340"/>
      <c r="I30" s="340"/>
      <c r="J30" s="340"/>
      <c r="K30" s="340"/>
      <c r="L30" s="340"/>
      <c r="M30" s="340"/>
      <c r="N30" s="340"/>
      <c r="O30" s="340"/>
      <c r="P30" s="340"/>
      <c r="Q30" s="340"/>
      <c r="R30" s="340"/>
      <c r="S30" s="340"/>
      <c r="T30" s="340"/>
      <c r="U30" s="340"/>
      <c r="V30" s="340"/>
      <c r="W30" s="340"/>
      <c r="X30" s="340"/>
      <c r="Y30" s="340"/>
      <c r="Z30" s="340"/>
      <c r="AA30" s="340"/>
      <c r="AB30" s="340"/>
      <c r="AC30" s="340"/>
      <c r="AD30" s="340"/>
      <c r="AE30" s="340"/>
      <c r="AF30" s="340"/>
      <c r="AG30" s="340"/>
      <c r="AH30" s="340"/>
      <c r="AI30" s="340"/>
      <c r="AJ30" s="340"/>
      <c r="AK30" s="340"/>
      <c r="AL30" s="340"/>
    </row>
    <row r="31" spans="1:255" x14ac:dyDescent="0.3">
      <c r="A31" s="167" t="s">
        <v>42</v>
      </c>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340"/>
      <c r="AJ31" s="340"/>
      <c r="AK31" s="340"/>
      <c r="AL31" s="340"/>
    </row>
    <row r="32" spans="1:255" x14ac:dyDescent="0.3">
      <c r="A32" s="167" t="s">
        <v>43</v>
      </c>
      <c r="B32" s="340"/>
      <c r="C32" s="340"/>
      <c r="D32" s="340"/>
      <c r="E32" s="340"/>
      <c r="F32" s="340"/>
      <c r="G32" s="340"/>
      <c r="H32" s="34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c r="AF32" s="340"/>
      <c r="AG32" s="340"/>
      <c r="AH32" s="340"/>
      <c r="AI32" s="340"/>
      <c r="AJ32" s="340"/>
      <c r="AK32" s="340"/>
      <c r="AL32" s="340"/>
    </row>
    <row r="33" spans="1:255" ht="17.25" customHeight="1" x14ac:dyDescent="0.3">
      <c r="A33" s="167" t="s">
        <v>641</v>
      </c>
      <c r="B33" s="340"/>
      <c r="C33" s="340"/>
      <c r="D33" s="340"/>
      <c r="E33" s="340"/>
      <c r="F33" s="340"/>
      <c r="G33" s="340"/>
      <c r="H33" s="340"/>
      <c r="I33" s="340"/>
      <c r="J33" s="340"/>
      <c r="K33" s="340"/>
      <c r="L33" s="340"/>
      <c r="M33" s="340"/>
      <c r="N33" s="340"/>
      <c r="O33" s="340"/>
      <c r="P33" s="340"/>
      <c r="Q33" s="340"/>
      <c r="R33" s="340"/>
      <c r="S33" s="340"/>
      <c r="T33" s="340"/>
      <c r="U33" s="340"/>
      <c r="V33" s="340"/>
      <c r="W33" s="340"/>
      <c r="X33" s="340"/>
      <c r="Y33" s="340"/>
      <c r="Z33" s="340"/>
      <c r="AA33" s="340"/>
      <c r="AB33" s="340"/>
      <c r="AC33" s="340"/>
      <c r="AD33" s="340"/>
      <c r="AE33" s="340"/>
      <c r="AF33" s="340"/>
      <c r="AG33" s="340"/>
      <c r="AH33" s="340"/>
      <c r="AI33" s="340"/>
      <c r="AJ33" s="340"/>
      <c r="AK33" s="340"/>
      <c r="AL33" s="340"/>
    </row>
    <row r="34" spans="1:255" ht="17.25" customHeight="1" x14ac:dyDescent="0.3">
      <c r="A34" s="77" t="s">
        <v>452</v>
      </c>
      <c r="B34" s="317"/>
      <c r="C34" s="172">
        <f>'[2]1'!D35-[2]сф!D30</f>
        <v>0</v>
      </c>
      <c r="D34" s="317"/>
      <c r="E34" s="172">
        <f>'[2]1'!C35-[2]сф!F30</f>
        <v>0</v>
      </c>
      <c r="F34" s="249"/>
      <c r="G34" s="338"/>
      <c r="H34" s="317"/>
    </row>
    <row r="35" spans="1:255" ht="17.25" customHeight="1" x14ac:dyDescent="0.3">
      <c r="A35" s="77"/>
      <c r="B35" s="317"/>
      <c r="C35" s="172"/>
      <c r="D35" s="317"/>
      <c r="E35" s="172"/>
      <c r="F35" s="249"/>
      <c r="G35" s="338"/>
      <c r="H35" s="317"/>
    </row>
    <row r="36" spans="1:255" ht="36.75" customHeight="1" x14ac:dyDescent="0.3">
      <c r="A36" s="77"/>
      <c r="B36" s="463"/>
      <c r="C36" s="463"/>
      <c r="D36" s="463"/>
      <c r="E36" s="463"/>
      <c r="F36" s="463"/>
      <c r="G36" s="463"/>
      <c r="H36" s="463"/>
      <c r="I36" s="463"/>
      <c r="J36" s="463"/>
      <c r="K36" s="463"/>
      <c r="L36" s="463"/>
      <c r="M36" s="463"/>
      <c r="N36" s="463"/>
      <c r="O36" s="463"/>
      <c r="P36" s="463"/>
      <c r="Q36" s="463"/>
    </row>
    <row r="37" spans="1:255" ht="36.75" customHeight="1" x14ac:dyDescent="0.3">
      <c r="A37" s="77"/>
      <c r="B37" s="463"/>
      <c r="C37" s="463"/>
      <c r="D37" s="463"/>
      <c r="E37" s="463"/>
      <c r="F37" s="463"/>
      <c r="G37" s="463"/>
      <c r="H37" s="463"/>
      <c r="I37" s="463"/>
      <c r="J37" s="463"/>
      <c r="K37" s="463"/>
      <c r="L37" s="463"/>
      <c r="M37" s="463"/>
      <c r="N37" s="463"/>
      <c r="O37" s="463"/>
      <c r="P37" s="463"/>
      <c r="Q37" s="463"/>
    </row>
    <row r="39" spans="1:255" ht="17.25" customHeight="1" x14ac:dyDescent="0.3">
      <c r="A39" s="66" t="s">
        <v>642</v>
      </c>
    </row>
    <row r="40" spans="1:255" s="197" customFormat="1" ht="15.75" customHeight="1" x14ac:dyDescent="0.3">
      <c r="A40" s="423" t="s">
        <v>177</v>
      </c>
      <c r="B40" s="429" t="s">
        <v>421</v>
      </c>
      <c r="C40" s="429"/>
      <c r="D40" s="429"/>
      <c r="E40" s="429"/>
      <c r="F40" s="429"/>
      <c r="G40" s="429"/>
      <c r="H40" s="429"/>
      <c r="I40" s="429"/>
      <c r="J40" s="430" t="s">
        <v>422</v>
      </c>
      <c r="K40" s="430"/>
      <c r="L40" s="430"/>
      <c r="M40" s="430"/>
      <c r="N40" s="430"/>
      <c r="O40" s="430"/>
      <c r="P40" s="430"/>
      <c r="Q40" s="430"/>
      <c r="R40" s="431" t="s">
        <v>423</v>
      </c>
      <c r="S40" s="431"/>
      <c r="T40" s="431"/>
      <c r="U40" s="431"/>
      <c r="V40" s="431"/>
      <c r="W40" s="431"/>
      <c r="X40" s="431"/>
      <c r="Y40" s="431"/>
      <c r="Z40" s="431"/>
      <c r="AA40" s="431"/>
      <c r="AB40" s="431"/>
      <c r="AC40" s="431"/>
      <c r="AD40" s="431"/>
      <c r="AE40" s="431"/>
      <c r="AF40" s="431"/>
      <c r="AG40" s="431"/>
      <c r="AH40" s="431"/>
      <c r="AI40" s="431"/>
      <c r="AJ40" s="431"/>
      <c r="AK40" s="431"/>
      <c r="AL40" s="431"/>
    </row>
    <row r="41" spans="1:255" s="197" customFormat="1" x14ac:dyDescent="0.3">
      <c r="A41" s="424"/>
      <c r="B41" s="429"/>
      <c r="C41" s="429"/>
      <c r="D41" s="429"/>
      <c r="E41" s="429"/>
      <c r="F41" s="429"/>
      <c r="G41" s="429"/>
      <c r="H41" s="429"/>
      <c r="I41" s="429"/>
      <c r="J41" s="430"/>
      <c r="K41" s="430"/>
      <c r="L41" s="430"/>
      <c r="M41" s="430"/>
      <c r="N41" s="430"/>
      <c r="O41" s="430"/>
      <c r="P41" s="430"/>
      <c r="Q41" s="430"/>
      <c r="R41" s="425" t="s">
        <v>320</v>
      </c>
      <c r="S41" s="425"/>
      <c r="T41" s="425"/>
      <c r="U41" s="432" t="s">
        <v>321</v>
      </c>
      <c r="V41" s="432"/>
      <c r="W41" s="432"/>
      <c r="X41" s="432" t="s">
        <v>322</v>
      </c>
      <c r="Y41" s="432"/>
      <c r="Z41" s="432"/>
      <c r="AA41" s="432" t="s">
        <v>323</v>
      </c>
      <c r="AB41" s="432"/>
      <c r="AC41" s="432"/>
      <c r="AD41" s="432" t="s">
        <v>324</v>
      </c>
      <c r="AE41" s="432"/>
      <c r="AF41" s="432"/>
      <c r="AG41" s="433" t="s">
        <v>325</v>
      </c>
      <c r="AH41" s="434"/>
      <c r="AI41" s="435"/>
      <c r="AJ41" s="436" t="s">
        <v>326</v>
      </c>
      <c r="AK41" s="436"/>
      <c r="AL41" s="436"/>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c r="FA41" s="201"/>
      <c r="FB41" s="201"/>
      <c r="FC41" s="201"/>
      <c r="FD41" s="201"/>
      <c r="FE41" s="201"/>
      <c r="FF41" s="201"/>
      <c r="FG41" s="201"/>
      <c r="FH41" s="201"/>
      <c r="FI41" s="201"/>
      <c r="FJ41" s="201"/>
      <c r="FK41" s="201"/>
      <c r="FL41" s="201"/>
      <c r="FM41" s="201"/>
      <c r="FN41" s="201"/>
      <c r="FO41" s="201"/>
      <c r="FP41" s="201"/>
      <c r="FQ41" s="201"/>
      <c r="FR41" s="201"/>
      <c r="FS41" s="201"/>
      <c r="FT41" s="201"/>
      <c r="FU41" s="201"/>
      <c r="FV41" s="201"/>
      <c r="FW41" s="201"/>
      <c r="FX41" s="201"/>
      <c r="FY41" s="201"/>
      <c r="FZ41" s="201"/>
      <c r="GA41" s="201"/>
      <c r="GB41" s="201"/>
      <c r="GC41" s="201"/>
      <c r="GD41" s="201"/>
      <c r="GE41" s="201"/>
      <c r="GF41" s="201"/>
      <c r="GG41" s="201"/>
      <c r="GH41" s="201"/>
      <c r="GI41" s="201"/>
      <c r="GJ41" s="201"/>
      <c r="GK41" s="201"/>
      <c r="GL41" s="201"/>
      <c r="GM41" s="201"/>
      <c r="GN41" s="201"/>
      <c r="GO41" s="201"/>
      <c r="GP41" s="201"/>
      <c r="GQ41" s="201"/>
      <c r="GR41" s="201"/>
      <c r="GS41" s="201"/>
      <c r="GT41" s="201"/>
      <c r="GU41" s="201"/>
      <c r="GV41" s="201"/>
      <c r="GW41" s="201"/>
      <c r="GX41" s="201"/>
      <c r="GY41" s="201"/>
      <c r="GZ41" s="201"/>
      <c r="HA41" s="201"/>
      <c r="HB41" s="201"/>
      <c r="HC41" s="201"/>
      <c r="HD41" s="201"/>
      <c r="HE41" s="201"/>
      <c r="HF41" s="201"/>
      <c r="HG41" s="201"/>
      <c r="HH41" s="201"/>
      <c r="HI41" s="201"/>
      <c r="HJ41" s="201"/>
      <c r="HK41" s="201"/>
      <c r="HL41" s="201"/>
      <c r="HM41" s="201"/>
      <c r="HN41" s="201"/>
      <c r="HO41" s="201"/>
      <c r="HP41" s="201"/>
      <c r="HQ41" s="201"/>
      <c r="HR41" s="201"/>
      <c r="HS41" s="201"/>
      <c r="HT41" s="201"/>
      <c r="HU41" s="201"/>
      <c r="HV41" s="201"/>
      <c r="HW41" s="201"/>
      <c r="HX41" s="201"/>
      <c r="HY41" s="201"/>
      <c r="HZ41" s="201"/>
      <c r="IA41" s="201"/>
      <c r="IB41" s="201"/>
      <c r="IC41" s="201"/>
      <c r="ID41" s="201"/>
      <c r="IE41" s="201"/>
      <c r="IF41" s="201"/>
      <c r="IG41" s="201"/>
      <c r="IH41" s="201"/>
      <c r="II41" s="201"/>
      <c r="IJ41" s="201"/>
      <c r="IK41" s="201"/>
      <c r="IL41" s="201"/>
      <c r="IM41" s="201"/>
      <c r="IN41" s="201"/>
      <c r="IO41" s="201"/>
      <c r="IP41" s="201"/>
      <c r="IQ41" s="201"/>
      <c r="IR41" s="201"/>
      <c r="IS41" s="201"/>
      <c r="IT41" s="201"/>
      <c r="IU41" s="201"/>
    </row>
    <row r="42" spans="1:255" s="197" customFormat="1" ht="31.2" x14ac:dyDescent="0.3">
      <c r="A42" s="425"/>
      <c r="B42" s="336">
        <v>43830</v>
      </c>
      <c r="C42" s="336" t="s">
        <v>425</v>
      </c>
      <c r="D42" s="336" t="s">
        <v>426</v>
      </c>
      <c r="E42" s="336" t="s">
        <v>427</v>
      </c>
      <c r="F42" s="336" t="s">
        <v>428</v>
      </c>
      <c r="G42" s="336" t="s">
        <v>429</v>
      </c>
      <c r="H42" s="336" t="s">
        <v>430</v>
      </c>
      <c r="I42" s="336" t="s">
        <v>431</v>
      </c>
      <c r="J42" s="336">
        <v>43830</v>
      </c>
      <c r="K42" s="336" t="s">
        <v>425</v>
      </c>
      <c r="L42" s="336" t="s">
        <v>426</v>
      </c>
      <c r="M42" s="336" t="s">
        <v>427</v>
      </c>
      <c r="N42" s="336" t="s">
        <v>428</v>
      </c>
      <c r="O42" s="336" t="s">
        <v>429</v>
      </c>
      <c r="P42" s="336" t="s">
        <v>430</v>
      </c>
      <c r="Q42" s="336" t="s">
        <v>431</v>
      </c>
      <c r="R42" s="204" t="s">
        <v>432</v>
      </c>
      <c r="S42" s="204" t="s">
        <v>433</v>
      </c>
      <c r="T42" s="204" t="s">
        <v>434</v>
      </c>
      <c r="U42" s="204" t="s">
        <v>432</v>
      </c>
      <c r="V42" s="204" t="s">
        <v>433</v>
      </c>
      <c r="W42" s="204" t="s">
        <v>434</v>
      </c>
      <c r="X42" s="204" t="str">
        <f t="shared" si="3"/>
        <v>в тыс. руб.</v>
      </c>
      <c r="Y42" s="204" t="str">
        <f t="shared" si="3"/>
        <v>темп прироста, %</v>
      </c>
      <c r="Z42" s="204" t="str">
        <f t="shared" si="3"/>
        <v>в структуре, %</v>
      </c>
      <c r="AA42" s="204" t="str">
        <f t="shared" si="3"/>
        <v>в тыс. руб.</v>
      </c>
      <c r="AB42" s="204" t="str">
        <f t="shared" si="3"/>
        <v>темп прироста, %</v>
      </c>
      <c r="AC42" s="204" t="str">
        <f t="shared" si="3"/>
        <v>в структуре, %</v>
      </c>
      <c r="AD42" s="204" t="str">
        <f t="shared" si="3"/>
        <v>в тыс. руб.</v>
      </c>
      <c r="AE42" s="204" t="str">
        <f t="shared" si="3"/>
        <v>темп прироста, %</v>
      </c>
      <c r="AF42" s="204" t="str">
        <f t="shared" si="3"/>
        <v>в структуре, %</v>
      </c>
      <c r="AG42" s="204" t="str">
        <f t="shared" si="3"/>
        <v>в тыс. руб.</v>
      </c>
      <c r="AH42" s="204" t="str">
        <f t="shared" si="3"/>
        <v>темп прироста, %</v>
      </c>
      <c r="AI42" s="204" t="str">
        <f t="shared" si="3"/>
        <v>в структуре, %</v>
      </c>
      <c r="AJ42" s="204" t="str">
        <f t="shared" si="3"/>
        <v>в тыс. руб.</v>
      </c>
      <c r="AK42" s="204" t="str">
        <f t="shared" si="3"/>
        <v>темп прироста, %</v>
      </c>
      <c r="AL42" s="204" t="str">
        <f t="shared" si="3"/>
        <v>в структуре, %</v>
      </c>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c r="FA42" s="201"/>
      <c r="FB42" s="201"/>
      <c r="FC42" s="201"/>
      <c r="FD42" s="201"/>
      <c r="FE42" s="201"/>
      <c r="FF42" s="201"/>
      <c r="FG42" s="201"/>
      <c r="FH42" s="201"/>
      <c r="FI42" s="201"/>
      <c r="FJ42" s="201"/>
      <c r="FK42" s="201"/>
      <c r="FL42" s="201"/>
      <c r="FM42" s="201"/>
      <c r="FN42" s="201"/>
      <c r="FO42" s="201"/>
      <c r="FP42" s="201"/>
      <c r="FQ42" s="201"/>
      <c r="FR42" s="201"/>
      <c r="FS42" s="201"/>
      <c r="FT42" s="201"/>
      <c r="FU42" s="201"/>
      <c r="FV42" s="201"/>
      <c r="FW42" s="201"/>
      <c r="FX42" s="201"/>
      <c r="FY42" s="201"/>
      <c r="FZ42" s="201"/>
      <c r="GA42" s="201"/>
      <c r="GB42" s="201"/>
      <c r="GC42" s="201"/>
      <c r="GD42" s="201"/>
      <c r="GE42" s="201"/>
      <c r="GF42" s="201"/>
      <c r="GG42" s="201"/>
      <c r="GH42" s="201"/>
      <c r="GI42" s="201"/>
      <c r="GJ42" s="201"/>
      <c r="GK42" s="201"/>
      <c r="GL42" s="201"/>
      <c r="GM42" s="201"/>
      <c r="GN42" s="201"/>
      <c r="GO42" s="201"/>
      <c r="GP42" s="201"/>
      <c r="GQ42" s="201"/>
      <c r="GR42" s="201"/>
      <c r="GS42" s="201"/>
      <c r="GT42" s="201"/>
      <c r="GU42" s="201"/>
      <c r="GV42" s="201"/>
      <c r="GW42" s="201"/>
      <c r="GX42" s="201"/>
      <c r="GY42" s="201"/>
      <c r="GZ42" s="201"/>
      <c r="HA42" s="201"/>
      <c r="HB42" s="201"/>
      <c r="HC42" s="201"/>
      <c r="HD42" s="201"/>
      <c r="HE42" s="201"/>
      <c r="HF42" s="201"/>
      <c r="HG42" s="201"/>
      <c r="HH42" s="201"/>
      <c r="HI42" s="201"/>
      <c r="HJ42" s="201"/>
      <c r="HK42" s="201"/>
      <c r="HL42" s="201"/>
      <c r="HM42" s="201"/>
      <c r="HN42" s="201"/>
      <c r="HO42" s="201"/>
      <c r="HP42" s="201"/>
      <c r="HQ42" s="201"/>
      <c r="HR42" s="201"/>
      <c r="HS42" s="201"/>
      <c r="HT42" s="201"/>
      <c r="HU42" s="201"/>
      <c r="HV42" s="201"/>
      <c r="HW42" s="201"/>
      <c r="HX42" s="201"/>
      <c r="HY42" s="201"/>
      <c r="HZ42" s="201"/>
      <c r="IA42" s="201"/>
      <c r="IB42" s="201"/>
      <c r="IC42" s="201"/>
      <c r="ID42" s="201"/>
      <c r="IE42" s="201"/>
      <c r="IF42" s="201"/>
      <c r="IG42" s="201"/>
      <c r="IH42" s="201"/>
      <c r="II42" s="201"/>
      <c r="IJ42" s="201"/>
      <c r="IK42" s="201"/>
      <c r="IL42" s="201"/>
      <c r="IM42" s="201"/>
      <c r="IN42" s="201"/>
      <c r="IO42" s="201"/>
      <c r="IP42" s="201"/>
      <c r="IQ42" s="201"/>
      <c r="IR42" s="201"/>
      <c r="IS42" s="201"/>
      <c r="IT42" s="201"/>
      <c r="IU42" s="201"/>
    </row>
    <row r="43" spans="1:255" x14ac:dyDescent="0.3">
      <c r="A43" s="283" t="s">
        <v>633</v>
      </c>
      <c r="B43" s="315">
        <f>B28+B29+B30</f>
        <v>0</v>
      </c>
      <c r="C43" s="315">
        <f t="shared" ref="C43:I43" si="4">C28++C29+C30</f>
        <v>0</v>
      </c>
      <c r="D43" s="315">
        <f t="shared" si="4"/>
        <v>0</v>
      </c>
      <c r="E43" s="315">
        <f t="shared" si="4"/>
        <v>0</v>
      </c>
      <c r="F43" s="315">
        <f t="shared" si="4"/>
        <v>0</v>
      </c>
      <c r="G43" s="315">
        <f t="shared" si="4"/>
        <v>0</v>
      </c>
      <c r="H43" s="315">
        <f t="shared" si="4"/>
        <v>0</v>
      </c>
      <c r="I43" s="315">
        <f t="shared" si="4"/>
        <v>0</v>
      </c>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c r="AJ43" s="315"/>
      <c r="AK43" s="315"/>
      <c r="AL43" s="315"/>
    </row>
    <row r="44" spans="1:255" x14ac:dyDescent="0.3">
      <c r="A44" s="283" t="s">
        <v>634</v>
      </c>
      <c r="B44" s="315">
        <f>B31+B32</f>
        <v>0</v>
      </c>
      <c r="C44" s="315">
        <f t="shared" ref="C44:I44" si="5">C31+C32</f>
        <v>0</v>
      </c>
      <c r="D44" s="315">
        <f t="shared" si="5"/>
        <v>0</v>
      </c>
      <c r="E44" s="315">
        <f t="shared" si="5"/>
        <v>0</v>
      </c>
      <c r="F44" s="315">
        <f t="shared" si="5"/>
        <v>0</v>
      </c>
      <c r="G44" s="315">
        <f t="shared" si="5"/>
        <v>0</v>
      </c>
      <c r="H44" s="315">
        <f t="shared" si="5"/>
        <v>0</v>
      </c>
      <c r="I44" s="315">
        <f t="shared" si="5"/>
        <v>0</v>
      </c>
      <c r="J44" s="315"/>
      <c r="K44" s="315"/>
      <c r="L44" s="315"/>
      <c r="M44" s="315"/>
      <c r="N44" s="315"/>
      <c r="O44" s="315"/>
      <c r="P44" s="315"/>
      <c r="Q44" s="315"/>
      <c r="R44" s="315"/>
      <c r="S44" s="315"/>
      <c r="T44" s="315"/>
      <c r="U44" s="315"/>
      <c r="V44" s="315"/>
      <c r="W44" s="315"/>
      <c r="X44" s="315"/>
      <c r="Y44" s="315"/>
      <c r="Z44" s="315"/>
      <c r="AA44" s="315"/>
      <c r="AB44" s="315"/>
      <c r="AC44" s="315"/>
      <c r="AD44" s="315"/>
      <c r="AE44" s="315"/>
      <c r="AF44" s="315"/>
      <c r="AG44" s="315"/>
      <c r="AH44" s="315"/>
      <c r="AI44" s="315"/>
      <c r="AJ44" s="315"/>
      <c r="AK44" s="315"/>
      <c r="AL44" s="315"/>
    </row>
    <row r="45" spans="1:255" x14ac:dyDescent="0.3">
      <c r="A45" s="283" t="s">
        <v>643</v>
      </c>
      <c r="B45" s="315">
        <f>SUM(B43:B44)</f>
        <v>0</v>
      </c>
      <c r="C45" s="315">
        <f t="shared" ref="C45:I45" si="6">SUM(C43:C44)</f>
        <v>0</v>
      </c>
      <c r="D45" s="315">
        <f t="shared" si="6"/>
        <v>0</v>
      </c>
      <c r="E45" s="315">
        <f t="shared" si="6"/>
        <v>0</v>
      </c>
      <c r="F45" s="315">
        <f t="shared" si="6"/>
        <v>0</v>
      </c>
      <c r="G45" s="315">
        <f t="shared" si="6"/>
        <v>0</v>
      </c>
      <c r="H45" s="315">
        <f t="shared" si="6"/>
        <v>0</v>
      </c>
      <c r="I45" s="315">
        <f t="shared" si="6"/>
        <v>0</v>
      </c>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row>
    <row r="46" spans="1:255" x14ac:dyDescent="0.3">
      <c r="A46" s="341"/>
      <c r="B46" s="342"/>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row>
    <row r="47" spans="1:255" x14ac:dyDescent="0.3">
      <c r="A47" s="341"/>
      <c r="B47" s="464"/>
      <c r="C47" s="464"/>
      <c r="D47" s="464"/>
      <c r="E47" s="464"/>
      <c r="F47" s="464"/>
      <c r="G47" s="464"/>
      <c r="H47" s="464"/>
      <c r="I47" s="464"/>
      <c r="J47" s="464"/>
      <c r="K47" s="464"/>
      <c r="L47" s="464"/>
      <c r="M47" s="464"/>
      <c r="N47" s="464"/>
      <c r="O47" s="464"/>
      <c r="P47" s="464"/>
      <c r="Q47" s="464"/>
      <c r="R47" s="464"/>
      <c r="S47" s="342"/>
      <c r="T47" s="342"/>
      <c r="U47" s="342"/>
      <c r="V47" s="342"/>
      <c r="W47" s="342"/>
      <c r="X47" s="342"/>
      <c r="Y47" s="342"/>
      <c r="Z47" s="342"/>
      <c r="AA47" s="342"/>
      <c r="AB47" s="342"/>
      <c r="AC47" s="342"/>
      <c r="AD47" s="342"/>
      <c r="AE47" s="342"/>
      <c r="AF47" s="342"/>
      <c r="AG47" s="342"/>
      <c r="AH47" s="342"/>
      <c r="AI47" s="342"/>
      <c r="AJ47" s="342"/>
      <c r="AK47" s="342"/>
      <c r="AL47" s="342"/>
    </row>
    <row r="48" spans="1:255" x14ac:dyDescent="0.3">
      <c r="A48" s="341"/>
      <c r="B48" s="464"/>
      <c r="C48" s="464"/>
      <c r="D48" s="464"/>
      <c r="E48" s="464"/>
      <c r="F48" s="464"/>
      <c r="G48" s="464"/>
      <c r="H48" s="464"/>
      <c r="I48" s="464"/>
      <c r="J48" s="464"/>
      <c r="K48" s="464"/>
      <c r="L48" s="464"/>
      <c r="M48" s="464"/>
      <c r="N48" s="464"/>
      <c r="O48" s="464"/>
      <c r="P48" s="464"/>
      <c r="Q48" s="464"/>
      <c r="R48" s="464"/>
      <c r="S48" s="342"/>
      <c r="T48" s="342"/>
      <c r="U48" s="342"/>
      <c r="V48" s="342"/>
      <c r="W48" s="342"/>
      <c r="X48" s="342"/>
      <c r="Y48" s="342"/>
      <c r="Z48" s="342"/>
      <c r="AA48" s="342"/>
      <c r="AB48" s="342"/>
      <c r="AC48" s="342"/>
      <c r="AD48" s="342"/>
      <c r="AE48" s="342"/>
      <c r="AF48" s="342"/>
      <c r="AG48" s="342"/>
      <c r="AH48" s="342"/>
      <c r="AI48" s="342"/>
      <c r="AJ48" s="342"/>
      <c r="AK48" s="342"/>
      <c r="AL48" s="342"/>
    </row>
    <row r="50" spans="1:255" x14ac:dyDescent="0.3">
      <c r="A50" s="66" t="s">
        <v>644</v>
      </c>
      <c r="B50" s="242"/>
      <c r="D50" s="242"/>
    </row>
    <row r="51" spans="1:255" s="343" customFormat="1" ht="15.75" customHeight="1" x14ac:dyDescent="0.25">
      <c r="A51" s="296" t="s">
        <v>488</v>
      </c>
      <c r="B51" s="164" t="str">
        <f>офр!B4</f>
        <v>2019 год</v>
      </c>
      <c r="C51" s="164" t="str">
        <f>офр!C4</f>
        <v>2018 год</v>
      </c>
      <c r="D51" s="164" t="str">
        <f>офр!D4</f>
        <v>2017 год</v>
      </c>
      <c r="E51" s="164" t="str">
        <f>офр!E4</f>
        <v>2016 год</v>
      </c>
      <c r="F51" s="164" t="str">
        <f>офр!F4</f>
        <v>2015 год</v>
      </c>
      <c r="G51" s="164" t="str">
        <f>офр!G4</f>
        <v>2014 год</v>
      </c>
      <c r="H51" s="164" t="str">
        <f>офр!H4</f>
        <v>2013 год</v>
      </c>
      <c r="I51" s="465"/>
      <c r="J51" s="463"/>
      <c r="K51" s="463"/>
      <c r="L51" s="463"/>
      <c r="M51" s="463"/>
      <c r="N51" s="463"/>
      <c r="O51" s="463"/>
      <c r="P51" s="463"/>
      <c r="Q51" s="463"/>
    </row>
    <row r="52" spans="1:255" x14ac:dyDescent="0.3">
      <c r="A52" s="283" t="s">
        <v>645</v>
      </c>
      <c r="B52" s="344"/>
      <c r="C52" s="344"/>
      <c r="D52" s="344"/>
      <c r="E52" s="344"/>
      <c r="F52" s="344"/>
      <c r="G52" s="344"/>
      <c r="H52" s="344"/>
      <c r="I52" s="465"/>
      <c r="J52" s="463"/>
      <c r="K52" s="463"/>
      <c r="L52" s="463"/>
      <c r="M52" s="463"/>
      <c r="N52" s="463"/>
      <c r="O52" s="463"/>
      <c r="P52" s="463"/>
      <c r="Q52" s="463"/>
    </row>
    <row r="54" spans="1:255" ht="16.2" x14ac:dyDescent="0.35">
      <c r="A54" s="66" t="s">
        <v>646</v>
      </c>
      <c r="B54" s="339"/>
      <c r="C54" s="339"/>
      <c r="D54" s="339"/>
      <c r="E54" s="339"/>
      <c r="F54" s="339"/>
      <c r="G54" s="339"/>
      <c r="H54" s="345"/>
    </row>
    <row r="55" spans="1:255" s="197" customFormat="1" ht="15.75" customHeight="1" x14ac:dyDescent="0.3">
      <c r="A55" s="423" t="s">
        <v>177</v>
      </c>
      <c r="B55" s="429" t="s">
        <v>421</v>
      </c>
      <c r="C55" s="429"/>
      <c r="D55" s="429"/>
      <c r="E55" s="429"/>
      <c r="F55" s="429"/>
      <c r="G55" s="429"/>
      <c r="H55" s="429"/>
      <c r="I55" s="429"/>
      <c r="J55" s="430" t="s">
        <v>422</v>
      </c>
      <c r="K55" s="430"/>
      <c r="L55" s="430"/>
      <c r="M55" s="430"/>
      <c r="N55" s="430"/>
      <c r="O55" s="430"/>
      <c r="P55" s="430"/>
      <c r="Q55" s="430"/>
      <c r="R55" s="431" t="s">
        <v>423</v>
      </c>
      <c r="S55" s="431"/>
      <c r="T55" s="431"/>
      <c r="U55" s="431"/>
      <c r="V55" s="431"/>
      <c r="W55" s="431"/>
      <c r="X55" s="431"/>
      <c r="Y55" s="431"/>
      <c r="Z55" s="431"/>
      <c r="AA55" s="431"/>
      <c r="AB55" s="431"/>
      <c r="AC55" s="431"/>
      <c r="AD55" s="431"/>
      <c r="AE55" s="431"/>
      <c r="AF55" s="431"/>
      <c r="AG55" s="431"/>
      <c r="AH55" s="431"/>
      <c r="AI55" s="431"/>
      <c r="AJ55" s="431"/>
      <c r="AK55" s="431"/>
      <c r="AL55" s="431"/>
    </row>
    <row r="56" spans="1:255" s="197" customFormat="1" x14ac:dyDescent="0.3">
      <c r="A56" s="424"/>
      <c r="B56" s="429"/>
      <c r="C56" s="429"/>
      <c r="D56" s="429"/>
      <c r="E56" s="429"/>
      <c r="F56" s="429"/>
      <c r="G56" s="429"/>
      <c r="H56" s="429"/>
      <c r="I56" s="429"/>
      <c r="J56" s="430"/>
      <c r="K56" s="430"/>
      <c r="L56" s="430"/>
      <c r="M56" s="430"/>
      <c r="N56" s="430"/>
      <c r="O56" s="430"/>
      <c r="P56" s="430"/>
      <c r="Q56" s="430"/>
      <c r="R56" s="425" t="s">
        <v>320</v>
      </c>
      <c r="S56" s="425"/>
      <c r="T56" s="425"/>
      <c r="U56" s="432" t="s">
        <v>321</v>
      </c>
      <c r="V56" s="432"/>
      <c r="W56" s="432"/>
      <c r="X56" s="432" t="s">
        <v>322</v>
      </c>
      <c r="Y56" s="432"/>
      <c r="Z56" s="432"/>
      <c r="AA56" s="432" t="s">
        <v>323</v>
      </c>
      <c r="AB56" s="432"/>
      <c r="AC56" s="432"/>
      <c r="AD56" s="432" t="s">
        <v>324</v>
      </c>
      <c r="AE56" s="432"/>
      <c r="AF56" s="432"/>
      <c r="AG56" s="433" t="s">
        <v>325</v>
      </c>
      <c r="AH56" s="434"/>
      <c r="AI56" s="435"/>
      <c r="AJ56" s="436" t="s">
        <v>326</v>
      </c>
      <c r="AK56" s="436"/>
      <c r="AL56" s="436"/>
      <c r="AM56" s="201"/>
      <c r="AN56" s="201"/>
      <c r="AO56" s="201"/>
      <c r="AP56" s="201"/>
      <c r="AQ56" s="201"/>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c r="EX56" s="201"/>
      <c r="EY56" s="201"/>
      <c r="EZ56" s="201"/>
      <c r="FA56" s="201"/>
      <c r="FB56" s="201"/>
      <c r="FC56" s="201"/>
      <c r="FD56" s="201"/>
      <c r="FE56" s="201"/>
      <c r="FF56" s="201"/>
      <c r="FG56" s="201"/>
      <c r="FH56" s="201"/>
      <c r="FI56" s="201"/>
      <c r="FJ56" s="201"/>
      <c r="FK56" s="201"/>
      <c r="FL56" s="201"/>
      <c r="FM56" s="201"/>
      <c r="FN56" s="201"/>
      <c r="FO56" s="201"/>
      <c r="FP56" s="201"/>
      <c r="FQ56" s="201"/>
      <c r="FR56" s="201"/>
      <c r="FS56" s="201"/>
      <c r="FT56" s="201"/>
      <c r="FU56" s="201"/>
      <c r="FV56" s="201"/>
      <c r="FW56" s="201"/>
      <c r="FX56" s="201"/>
      <c r="FY56" s="201"/>
      <c r="FZ56" s="201"/>
      <c r="GA56" s="201"/>
      <c r="GB56" s="201"/>
      <c r="GC56" s="201"/>
      <c r="GD56" s="201"/>
      <c r="GE56" s="201"/>
      <c r="GF56" s="201"/>
      <c r="GG56" s="201"/>
      <c r="GH56" s="201"/>
      <c r="GI56" s="201"/>
      <c r="GJ56" s="201"/>
      <c r="GK56" s="201"/>
      <c r="GL56" s="201"/>
      <c r="GM56" s="201"/>
      <c r="GN56" s="201"/>
      <c r="GO56" s="201"/>
      <c r="GP56" s="201"/>
      <c r="GQ56" s="201"/>
      <c r="GR56" s="201"/>
      <c r="GS56" s="201"/>
      <c r="GT56" s="201"/>
      <c r="GU56" s="201"/>
      <c r="GV56" s="201"/>
      <c r="GW56" s="201"/>
      <c r="GX56" s="201"/>
      <c r="GY56" s="201"/>
      <c r="GZ56" s="201"/>
      <c r="HA56" s="201"/>
      <c r="HB56" s="201"/>
      <c r="HC56" s="201"/>
      <c r="HD56" s="201"/>
      <c r="HE56" s="201"/>
      <c r="HF56" s="201"/>
      <c r="HG56" s="201"/>
      <c r="HH56" s="201"/>
      <c r="HI56" s="201"/>
      <c r="HJ56" s="201"/>
      <c r="HK56" s="201"/>
      <c r="HL56" s="201"/>
      <c r="HM56" s="201"/>
      <c r="HN56" s="201"/>
      <c r="HO56" s="201"/>
      <c r="HP56" s="201"/>
      <c r="HQ56" s="201"/>
      <c r="HR56" s="201"/>
      <c r="HS56" s="201"/>
      <c r="HT56" s="201"/>
      <c r="HU56" s="201"/>
      <c r="HV56" s="201"/>
      <c r="HW56" s="201"/>
      <c r="HX56" s="201"/>
      <c r="HY56" s="201"/>
      <c r="HZ56" s="201"/>
      <c r="IA56" s="201"/>
      <c r="IB56" s="201"/>
      <c r="IC56" s="201"/>
      <c r="ID56" s="201"/>
      <c r="IE56" s="201"/>
      <c r="IF56" s="201"/>
      <c r="IG56" s="201"/>
      <c r="IH56" s="201"/>
      <c r="II56" s="201"/>
      <c r="IJ56" s="201"/>
      <c r="IK56" s="201"/>
      <c r="IL56" s="201"/>
      <c r="IM56" s="201"/>
      <c r="IN56" s="201"/>
      <c r="IO56" s="201"/>
      <c r="IP56" s="201"/>
      <c r="IQ56" s="201"/>
      <c r="IR56" s="201"/>
      <c r="IS56" s="201"/>
      <c r="IT56" s="201"/>
      <c r="IU56" s="201"/>
    </row>
    <row r="57" spans="1:255" s="197" customFormat="1" ht="31.2" x14ac:dyDescent="0.3">
      <c r="A57" s="425"/>
      <c r="B57" s="336">
        <v>43830</v>
      </c>
      <c r="C57" s="336" t="s">
        <v>425</v>
      </c>
      <c r="D57" s="336" t="s">
        <v>426</v>
      </c>
      <c r="E57" s="336" t="s">
        <v>427</v>
      </c>
      <c r="F57" s="336" t="s">
        <v>428</v>
      </c>
      <c r="G57" s="336" t="s">
        <v>429</v>
      </c>
      <c r="H57" s="336" t="s">
        <v>430</v>
      </c>
      <c r="I57" s="336" t="s">
        <v>431</v>
      </c>
      <c r="J57" s="336">
        <v>43830</v>
      </c>
      <c r="K57" s="336" t="s">
        <v>425</v>
      </c>
      <c r="L57" s="336" t="s">
        <v>426</v>
      </c>
      <c r="M57" s="336" t="s">
        <v>427</v>
      </c>
      <c r="N57" s="336" t="s">
        <v>428</v>
      </c>
      <c r="O57" s="336" t="s">
        <v>429</v>
      </c>
      <c r="P57" s="336" t="s">
        <v>430</v>
      </c>
      <c r="Q57" s="336" t="s">
        <v>431</v>
      </c>
      <c r="R57" s="204" t="s">
        <v>432</v>
      </c>
      <c r="S57" s="204" t="s">
        <v>433</v>
      </c>
      <c r="T57" s="204" t="s">
        <v>434</v>
      </c>
      <c r="U57" s="204" t="s">
        <v>432</v>
      </c>
      <c r="V57" s="204" t="s">
        <v>433</v>
      </c>
      <c r="W57" s="204" t="s">
        <v>434</v>
      </c>
      <c r="X57" s="204" t="str">
        <f t="shared" si="3"/>
        <v>в тыс. руб.</v>
      </c>
      <c r="Y57" s="204" t="str">
        <f t="shared" si="3"/>
        <v>темп прироста, %</v>
      </c>
      <c r="Z57" s="204" t="str">
        <f t="shared" si="3"/>
        <v>в структуре, %</v>
      </c>
      <c r="AA57" s="204" t="str">
        <f t="shared" si="3"/>
        <v>в тыс. руб.</v>
      </c>
      <c r="AB57" s="204" t="str">
        <f t="shared" si="3"/>
        <v>темп прироста, %</v>
      </c>
      <c r="AC57" s="204" t="str">
        <f t="shared" si="3"/>
        <v>в структуре, %</v>
      </c>
      <c r="AD57" s="204" t="str">
        <f t="shared" si="3"/>
        <v>в тыс. руб.</v>
      </c>
      <c r="AE57" s="204" t="str">
        <f t="shared" si="3"/>
        <v>темп прироста, %</v>
      </c>
      <c r="AF57" s="204" t="str">
        <f t="shared" si="3"/>
        <v>в структуре, %</v>
      </c>
      <c r="AG57" s="204" t="str">
        <f t="shared" si="3"/>
        <v>в тыс. руб.</v>
      </c>
      <c r="AH57" s="204" t="str">
        <f t="shared" si="3"/>
        <v>темп прироста, %</v>
      </c>
      <c r="AI57" s="204" t="str">
        <f t="shared" si="3"/>
        <v>в структуре, %</v>
      </c>
      <c r="AJ57" s="204" t="str">
        <f t="shared" si="3"/>
        <v>в тыс. руб.</v>
      </c>
      <c r="AK57" s="204" t="str">
        <f t="shared" si="3"/>
        <v>темп прироста, %</v>
      </c>
      <c r="AL57" s="204" t="str">
        <f t="shared" si="3"/>
        <v>в структуре, %</v>
      </c>
      <c r="AM57" s="201"/>
      <c r="AN57" s="201"/>
      <c r="AO57" s="201"/>
      <c r="AP57" s="201"/>
      <c r="AQ57" s="201"/>
      <c r="AR57" s="201"/>
      <c r="AS57" s="201"/>
      <c r="AT57" s="201"/>
      <c r="AU57" s="201"/>
      <c r="AV57" s="201"/>
      <c r="AW57" s="201"/>
      <c r="AX57" s="201"/>
      <c r="AY57" s="201"/>
      <c r="AZ57" s="201"/>
      <c r="BA57" s="201"/>
      <c r="BB57" s="201"/>
      <c r="BC57" s="201"/>
      <c r="BD57" s="201"/>
      <c r="BE57" s="201"/>
      <c r="BF57" s="201"/>
      <c r="BG57" s="201"/>
      <c r="BH57" s="201"/>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c r="DU57" s="201"/>
      <c r="DV57" s="201"/>
      <c r="DW57" s="201"/>
      <c r="DX57" s="201"/>
      <c r="DY57" s="201"/>
      <c r="DZ57" s="201"/>
      <c r="EA57" s="201"/>
      <c r="EB57" s="201"/>
      <c r="EC57" s="201"/>
      <c r="ED57" s="201"/>
      <c r="EE57" s="201"/>
      <c r="EF57" s="201"/>
      <c r="EG57" s="201"/>
      <c r="EH57" s="201"/>
      <c r="EI57" s="201"/>
      <c r="EJ57" s="201"/>
      <c r="EK57" s="201"/>
      <c r="EL57" s="201"/>
      <c r="EM57" s="201"/>
      <c r="EN57" s="201"/>
      <c r="EO57" s="201"/>
      <c r="EP57" s="201"/>
      <c r="EQ57" s="201"/>
      <c r="ER57" s="201"/>
      <c r="ES57" s="201"/>
      <c r="ET57" s="201"/>
      <c r="EU57" s="201"/>
      <c r="EV57" s="201"/>
      <c r="EW57" s="201"/>
      <c r="EX57" s="201"/>
      <c r="EY57" s="201"/>
      <c r="EZ57" s="201"/>
      <c r="FA57" s="201"/>
      <c r="FB57" s="201"/>
      <c r="FC57" s="201"/>
      <c r="FD57" s="201"/>
      <c r="FE57" s="201"/>
      <c r="FF57" s="201"/>
      <c r="FG57" s="201"/>
      <c r="FH57" s="201"/>
      <c r="FI57" s="201"/>
      <c r="FJ57" s="201"/>
      <c r="FK57" s="201"/>
      <c r="FL57" s="201"/>
      <c r="FM57" s="201"/>
      <c r="FN57" s="201"/>
      <c r="FO57" s="201"/>
      <c r="FP57" s="201"/>
      <c r="FQ57" s="201"/>
      <c r="FR57" s="201"/>
      <c r="FS57" s="201"/>
      <c r="FT57" s="201"/>
      <c r="FU57" s="201"/>
      <c r="FV57" s="201"/>
      <c r="FW57" s="201"/>
      <c r="FX57" s="201"/>
      <c r="FY57" s="201"/>
      <c r="FZ57" s="201"/>
      <c r="GA57" s="201"/>
      <c r="GB57" s="201"/>
      <c r="GC57" s="201"/>
      <c r="GD57" s="201"/>
      <c r="GE57" s="201"/>
      <c r="GF57" s="201"/>
      <c r="GG57" s="201"/>
      <c r="GH57" s="201"/>
      <c r="GI57" s="201"/>
      <c r="GJ57" s="201"/>
      <c r="GK57" s="201"/>
      <c r="GL57" s="201"/>
      <c r="GM57" s="201"/>
      <c r="GN57" s="201"/>
      <c r="GO57" s="201"/>
      <c r="GP57" s="201"/>
      <c r="GQ57" s="201"/>
      <c r="GR57" s="201"/>
      <c r="GS57" s="201"/>
      <c r="GT57" s="201"/>
      <c r="GU57" s="201"/>
      <c r="GV57" s="201"/>
      <c r="GW57" s="201"/>
      <c r="GX57" s="201"/>
      <c r="GY57" s="201"/>
      <c r="GZ57" s="201"/>
      <c r="HA57" s="201"/>
      <c r="HB57" s="201"/>
      <c r="HC57" s="201"/>
      <c r="HD57" s="201"/>
      <c r="HE57" s="201"/>
      <c r="HF57" s="201"/>
      <c r="HG57" s="201"/>
      <c r="HH57" s="201"/>
      <c r="HI57" s="201"/>
      <c r="HJ57" s="201"/>
      <c r="HK57" s="201"/>
      <c r="HL57" s="201"/>
      <c r="HM57" s="201"/>
      <c r="HN57" s="201"/>
      <c r="HO57" s="201"/>
      <c r="HP57" s="201"/>
      <c r="HQ57" s="201"/>
      <c r="HR57" s="201"/>
      <c r="HS57" s="201"/>
      <c r="HT57" s="201"/>
      <c r="HU57" s="201"/>
      <c r="HV57" s="201"/>
      <c r="HW57" s="201"/>
      <c r="HX57" s="201"/>
      <c r="HY57" s="201"/>
      <c r="HZ57" s="201"/>
      <c r="IA57" s="201"/>
      <c r="IB57" s="201"/>
      <c r="IC57" s="201"/>
      <c r="ID57" s="201"/>
      <c r="IE57" s="201"/>
      <c r="IF57" s="201"/>
      <c r="IG57" s="201"/>
      <c r="IH57" s="201"/>
      <c r="II57" s="201"/>
      <c r="IJ57" s="201"/>
      <c r="IK57" s="201"/>
      <c r="IL57" s="201"/>
      <c r="IM57" s="201"/>
      <c r="IN57" s="201"/>
      <c r="IO57" s="201"/>
      <c r="IP57" s="201"/>
      <c r="IQ57" s="201"/>
      <c r="IR57" s="201"/>
      <c r="IS57" s="201"/>
      <c r="IT57" s="201"/>
      <c r="IU57" s="201"/>
    </row>
    <row r="58" spans="1:255" x14ac:dyDescent="0.3">
      <c r="A58" s="346" t="s">
        <v>647</v>
      </c>
      <c r="B58" s="315"/>
      <c r="C58" s="284"/>
      <c r="D58" s="315"/>
      <c r="E58" s="284"/>
      <c r="F58" s="315"/>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row>
    <row r="59" spans="1:255" x14ac:dyDescent="0.3">
      <c r="A59" s="346" t="s">
        <v>47</v>
      </c>
      <c r="B59" s="315"/>
      <c r="C59" s="284"/>
      <c r="D59" s="315"/>
      <c r="E59" s="284"/>
      <c r="F59" s="315"/>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row>
    <row r="60" spans="1:255" x14ac:dyDescent="0.3">
      <c r="A60" s="346" t="s">
        <v>648</v>
      </c>
      <c r="B60" s="315"/>
      <c r="C60" s="284"/>
      <c r="D60" s="315"/>
      <c r="E60" s="284"/>
      <c r="F60" s="315"/>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row>
    <row r="61" spans="1:255" x14ac:dyDescent="0.3">
      <c r="A61" s="346" t="s">
        <v>649</v>
      </c>
      <c r="B61" s="315"/>
      <c r="C61" s="284"/>
      <c r="D61" s="315"/>
      <c r="E61" s="284"/>
      <c r="F61" s="315"/>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row>
    <row r="62" spans="1:255" x14ac:dyDescent="0.3">
      <c r="A62" s="346" t="s">
        <v>559</v>
      </c>
      <c r="B62" s="315"/>
      <c r="C62" s="169"/>
      <c r="D62" s="315"/>
      <c r="E62" s="169"/>
      <c r="F62" s="315"/>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row>
    <row r="63" spans="1:255" x14ac:dyDescent="0.3">
      <c r="A63" s="346" t="s">
        <v>52</v>
      </c>
      <c r="B63" s="315"/>
      <c r="C63" s="169"/>
      <c r="D63" s="315"/>
      <c r="E63" s="169"/>
      <c r="F63" s="315"/>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row>
    <row r="64" spans="1:255" x14ac:dyDescent="0.3">
      <c r="A64" s="346" t="s">
        <v>53</v>
      </c>
      <c r="B64" s="315"/>
      <c r="C64" s="169"/>
      <c r="D64" s="315"/>
      <c r="E64" s="169"/>
      <c r="F64" s="315"/>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row>
    <row r="65" spans="1:255" x14ac:dyDescent="0.3">
      <c r="A65" s="346" t="s">
        <v>650</v>
      </c>
      <c r="B65" s="315"/>
      <c r="C65" s="169"/>
      <c r="D65" s="315"/>
      <c r="E65" s="169"/>
      <c r="F65" s="315"/>
      <c r="G65" s="311"/>
      <c r="H65" s="311"/>
      <c r="I65" s="311"/>
      <c r="J65" s="311"/>
      <c r="K65" s="311"/>
      <c r="L65" s="311"/>
      <c r="M65" s="311"/>
      <c r="N65" s="311"/>
      <c r="O65" s="311"/>
      <c r="P65" s="311"/>
      <c r="Q65" s="311"/>
      <c r="R65" s="311"/>
      <c r="S65" s="311"/>
      <c r="T65" s="311"/>
      <c r="U65" s="311"/>
      <c r="V65" s="311"/>
      <c r="W65" s="311"/>
      <c r="X65" s="311"/>
      <c r="Y65" s="311"/>
      <c r="Z65" s="311"/>
      <c r="AA65" s="311"/>
      <c r="AB65" s="311"/>
      <c r="AC65" s="311"/>
      <c r="AD65" s="311"/>
      <c r="AE65" s="311"/>
      <c r="AF65" s="311"/>
      <c r="AG65" s="311"/>
      <c r="AH65" s="311"/>
      <c r="AI65" s="311"/>
      <c r="AJ65" s="311"/>
      <c r="AK65" s="311"/>
      <c r="AL65" s="311"/>
    </row>
    <row r="66" spans="1:255" x14ac:dyDescent="0.3">
      <c r="A66" s="346" t="s">
        <v>651</v>
      </c>
      <c r="B66" s="315"/>
      <c r="C66" s="169"/>
      <c r="D66" s="315"/>
      <c r="E66" s="169"/>
      <c r="F66" s="315"/>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row>
    <row r="67" spans="1:255" s="66" customFormat="1" x14ac:dyDescent="0.3">
      <c r="A67" s="347" t="s">
        <v>652</v>
      </c>
      <c r="B67" s="348"/>
      <c r="C67" s="349"/>
      <c r="D67" s="348"/>
      <c r="E67" s="349"/>
      <c r="F67" s="348"/>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row>
    <row r="68" spans="1:255" s="66" customFormat="1" x14ac:dyDescent="0.3">
      <c r="A68" s="77" t="s">
        <v>452</v>
      </c>
      <c r="B68" s="350"/>
      <c r="C68" s="350"/>
      <c r="D68" s="351"/>
      <c r="E68" s="350"/>
      <c r="F68" s="352"/>
      <c r="G68" s="351"/>
      <c r="H68" s="351"/>
    </row>
    <row r="69" spans="1:255" x14ac:dyDescent="0.3">
      <c r="A69" s="78"/>
      <c r="B69" s="353"/>
      <c r="C69" s="354"/>
      <c r="D69" s="353"/>
    </row>
    <row r="70" spans="1:255" x14ac:dyDescent="0.3">
      <c r="A70" s="66" t="s">
        <v>616</v>
      </c>
    </row>
    <row r="71" spans="1:255" s="197" customFormat="1" ht="15.75" customHeight="1" x14ac:dyDescent="0.3">
      <c r="A71" s="423" t="s">
        <v>177</v>
      </c>
      <c r="B71" s="429" t="s">
        <v>421</v>
      </c>
      <c r="C71" s="429"/>
      <c r="D71" s="429"/>
      <c r="E71" s="429"/>
      <c r="F71" s="429"/>
      <c r="G71" s="429"/>
      <c r="H71" s="429"/>
      <c r="I71" s="429"/>
      <c r="J71" s="430" t="s">
        <v>422</v>
      </c>
      <c r="K71" s="430"/>
      <c r="L71" s="430"/>
      <c r="M71" s="430"/>
      <c r="N71" s="430"/>
      <c r="O71" s="430"/>
      <c r="P71" s="430"/>
      <c r="Q71" s="430"/>
      <c r="R71" s="431" t="s">
        <v>423</v>
      </c>
      <c r="S71" s="431"/>
      <c r="T71" s="431"/>
      <c r="U71" s="431"/>
      <c r="V71" s="431"/>
      <c r="W71" s="431"/>
      <c r="X71" s="431"/>
      <c r="Y71" s="431"/>
      <c r="Z71" s="431"/>
      <c r="AA71" s="431"/>
      <c r="AB71" s="431"/>
      <c r="AC71" s="431"/>
      <c r="AD71" s="431"/>
      <c r="AE71" s="431"/>
      <c r="AF71" s="431"/>
      <c r="AG71" s="431"/>
      <c r="AH71" s="431"/>
      <c r="AI71" s="431"/>
      <c r="AJ71" s="431"/>
      <c r="AK71" s="431"/>
      <c r="AL71" s="431"/>
    </row>
    <row r="72" spans="1:255" s="197" customFormat="1" x14ac:dyDescent="0.3">
      <c r="A72" s="424"/>
      <c r="B72" s="429"/>
      <c r="C72" s="429"/>
      <c r="D72" s="429"/>
      <c r="E72" s="429"/>
      <c r="F72" s="429"/>
      <c r="G72" s="429"/>
      <c r="H72" s="429"/>
      <c r="I72" s="429"/>
      <c r="J72" s="430"/>
      <c r="K72" s="430"/>
      <c r="L72" s="430"/>
      <c r="M72" s="430"/>
      <c r="N72" s="430"/>
      <c r="O72" s="430"/>
      <c r="P72" s="430"/>
      <c r="Q72" s="430"/>
      <c r="R72" s="425" t="s">
        <v>320</v>
      </c>
      <c r="S72" s="425"/>
      <c r="T72" s="425"/>
      <c r="U72" s="432" t="s">
        <v>321</v>
      </c>
      <c r="V72" s="432"/>
      <c r="W72" s="432"/>
      <c r="X72" s="432" t="s">
        <v>322</v>
      </c>
      <c r="Y72" s="432"/>
      <c r="Z72" s="432"/>
      <c r="AA72" s="432" t="s">
        <v>323</v>
      </c>
      <c r="AB72" s="432"/>
      <c r="AC72" s="432"/>
      <c r="AD72" s="432" t="s">
        <v>324</v>
      </c>
      <c r="AE72" s="432"/>
      <c r="AF72" s="432"/>
      <c r="AG72" s="433" t="s">
        <v>325</v>
      </c>
      <c r="AH72" s="434"/>
      <c r="AI72" s="435"/>
      <c r="AJ72" s="436" t="s">
        <v>326</v>
      </c>
      <c r="AK72" s="436"/>
      <c r="AL72" s="436"/>
      <c r="AM72" s="201"/>
      <c r="AN72" s="201"/>
      <c r="AO72" s="201"/>
      <c r="AP72" s="201"/>
      <c r="AQ72" s="201"/>
      <c r="AR72" s="201"/>
      <c r="AS72" s="201"/>
      <c r="AT72" s="201"/>
      <c r="AU72" s="201"/>
      <c r="AV72" s="201"/>
      <c r="AW72" s="201"/>
      <c r="AX72" s="201"/>
      <c r="AY72" s="201"/>
      <c r="AZ72" s="201"/>
      <c r="BA72" s="201"/>
      <c r="BB72" s="201"/>
      <c r="BC72" s="201"/>
      <c r="BD72" s="201"/>
      <c r="BE72" s="201"/>
      <c r="BF72" s="201"/>
      <c r="BG72" s="201"/>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c r="EX72" s="201"/>
      <c r="EY72" s="201"/>
      <c r="EZ72" s="201"/>
      <c r="FA72" s="201"/>
      <c r="FB72" s="201"/>
      <c r="FC72" s="201"/>
      <c r="FD72" s="201"/>
      <c r="FE72" s="201"/>
      <c r="FF72" s="201"/>
      <c r="FG72" s="201"/>
      <c r="FH72" s="201"/>
      <c r="FI72" s="201"/>
      <c r="FJ72" s="201"/>
      <c r="FK72" s="201"/>
      <c r="FL72" s="201"/>
      <c r="FM72" s="201"/>
      <c r="FN72" s="201"/>
      <c r="FO72" s="201"/>
      <c r="FP72" s="201"/>
      <c r="FQ72" s="201"/>
      <c r="FR72" s="201"/>
      <c r="FS72" s="201"/>
      <c r="FT72" s="201"/>
      <c r="FU72" s="201"/>
      <c r="FV72" s="201"/>
      <c r="FW72" s="201"/>
      <c r="FX72" s="201"/>
      <c r="FY72" s="201"/>
      <c r="FZ72" s="201"/>
      <c r="GA72" s="201"/>
      <c r="GB72" s="201"/>
      <c r="GC72" s="201"/>
      <c r="GD72" s="201"/>
      <c r="GE72" s="201"/>
      <c r="GF72" s="201"/>
      <c r="GG72" s="201"/>
      <c r="GH72" s="201"/>
      <c r="GI72" s="201"/>
      <c r="GJ72" s="201"/>
      <c r="GK72" s="201"/>
      <c r="GL72" s="201"/>
      <c r="GM72" s="201"/>
      <c r="GN72" s="201"/>
      <c r="GO72" s="201"/>
      <c r="GP72" s="201"/>
      <c r="GQ72" s="201"/>
      <c r="GR72" s="201"/>
      <c r="GS72" s="201"/>
      <c r="GT72" s="201"/>
      <c r="GU72" s="201"/>
      <c r="GV72" s="201"/>
      <c r="GW72" s="201"/>
      <c r="GX72" s="201"/>
      <c r="GY72" s="201"/>
      <c r="GZ72" s="201"/>
      <c r="HA72" s="201"/>
      <c r="HB72" s="201"/>
      <c r="HC72" s="201"/>
      <c r="HD72" s="201"/>
      <c r="HE72" s="201"/>
      <c r="HF72" s="201"/>
      <c r="HG72" s="201"/>
      <c r="HH72" s="201"/>
      <c r="HI72" s="201"/>
      <c r="HJ72" s="201"/>
      <c r="HK72" s="201"/>
      <c r="HL72" s="201"/>
      <c r="HM72" s="201"/>
      <c r="HN72" s="201"/>
      <c r="HO72" s="201"/>
      <c r="HP72" s="201"/>
      <c r="HQ72" s="201"/>
      <c r="HR72" s="201"/>
      <c r="HS72" s="201"/>
      <c r="HT72" s="201"/>
      <c r="HU72" s="201"/>
      <c r="HV72" s="201"/>
      <c r="HW72" s="201"/>
      <c r="HX72" s="201"/>
      <c r="HY72" s="201"/>
      <c r="HZ72" s="201"/>
      <c r="IA72" s="201"/>
      <c r="IB72" s="201"/>
      <c r="IC72" s="201"/>
      <c r="ID72" s="201"/>
      <c r="IE72" s="201"/>
      <c r="IF72" s="201"/>
      <c r="IG72" s="201"/>
      <c r="IH72" s="201"/>
      <c r="II72" s="201"/>
      <c r="IJ72" s="201"/>
      <c r="IK72" s="201"/>
      <c r="IL72" s="201"/>
      <c r="IM72" s="201"/>
      <c r="IN72" s="201"/>
      <c r="IO72" s="201"/>
      <c r="IP72" s="201"/>
      <c r="IQ72" s="201"/>
      <c r="IR72" s="201"/>
      <c r="IS72" s="201"/>
      <c r="IT72" s="201"/>
      <c r="IU72" s="201"/>
    </row>
    <row r="73" spans="1:255" s="197" customFormat="1" ht="31.2" x14ac:dyDescent="0.3">
      <c r="A73" s="425"/>
      <c r="B73" s="336">
        <v>43830</v>
      </c>
      <c r="C73" s="336" t="s">
        <v>425</v>
      </c>
      <c r="D73" s="336" t="s">
        <v>426</v>
      </c>
      <c r="E73" s="336" t="s">
        <v>427</v>
      </c>
      <c r="F73" s="336" t="s">
        <v>428</v>
      </c>
      <c r="G73" s="336" t="s">
        <v>429</v>
      </c>
      <c r="H73" s="336" t="s">
        <v>430</v>
      </c>
      <c r="I73" s="336" t="s">
        <v>431</v>
      </c>
      <c r="J73" s="336">
        <v>43830</v>
      </c>
      <c r="K73" s="336" t="s">
        <v>425</v>
      </c>
      <c r="L73" s="336" t="s">
        <v>426</v>
      </c>
      <c r="M73" s="336" t="s">
        <v>427</v>
      </c>
      <c r="N73" s="336" t="s">
        <v>428</v>
      </c>
      <c r="O73" s="336" t="s">
        <v>429</v>
      </c>
      <c r="P73" s="336" t="s">
        <v>430</v>
      </c>
      <c r="Q73" s="336" t="s">
        <v>431</v>
      </c>
      <c r="R73" s="204" t="s">
        <v>432</v>
      </c>
      <c r="S73" s="204" t="s">
        <v>433</v>
      </c>
      <c r="T73" s="204" t="s">
        <v>434</v>
      </c>
      <c r="U73" s="204" t="s">
        <v>432</v>
      </c>
      <c r="V73" s="204" t="s">
        <v>433</v>
      </c>
      <c r="W73" s="204" t="s">
        <v>434</v>
      </c>
      <c r="X73" s="204" t="str">
        <f t="shared" si="3"/>
        <v>в тыс. руб.</v>
      </c>
      <c r="Y73" s="204" t="str">
        <f t="shared" si="3"/>
        <v>темп прироста, %</v>
      </c>
      <c r="Z73" s="204" t="str">
        <f t="shared" si="3"/>
        <v>в структуре, %</v>
      </c>
      <c r="AA73" s="204" t="str">
        <f t="shared" si="3"/>
        <v>в тыс. руб.</v>
      </c>
      <c r="AB73" s="204" t="str">
        <f t="shared" si="3"/>
        <v>темп прироста, %</v>
      </c>
      <c r="AC73" s="204" t="str">
        <f t="shared" si="3"/>
        <v>в структуре, %</v>
      </c>
      <c r="AD73" s="204" t="str">
        <f t="shared" si="3"/>
        <v>в тыс. руб.</v>
      </c>
      <c r="AE73" s="204" t="str">
        <f t="shared" si="3"/>
        <v>темп прироста, %</v>
      </c>
      <c r="AF73" s="204" t="str">
        <f t="shared" si="3"/>
        <v>в структуре, %</v>
      </c>
      <c r="AG73" s="204" t="str">
        <f t="shared" si="3"/>
        <v>в тыс. руб.</v>
      </c>
      <c r="AH73" s="204" t="str">
        <f t="shared" si="3"/>
        <v>темп прироста, %</v>
      </c>
      <c r="AI73" s="204" t="str">
        <f t="shared" si="3"/>
        <v>в структуре, %</v>
      </c>
      <c r="AJ73" s="204" t="str">
        <f t="shared" si="3"/>
        <v>в тыс. руб.</v>
      </c>
      <c r="AK73" s="204" t="str">
        <f t="shared" si="3"/>
        <v>темп прироста, %</v>
      </c>
      <c r="AL73" s="204" t="str">
        <f t="shared" si="3"/>
        <v>в структуре, %</v>
      </c>
      <c r="AM73" s="201"/>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c r="EX73" s="201"/>
      <c r="EY73" s="201"/>
      <c r="EZ73" s="201"/>
      <c r="FA73" s="201"/>
      <c r="FB73" s="201"/>
      <c r="FC73" s="201"/>
      <c r="FD73" s="201"/>
      <c r="FE73" s="201"/>
      <c r="FF73" s="201"/>
      <c r="FG73" s="201"/>
      <c r="FH73" s="201"/>
      <c r="FI73" s="201"/>
      <c r="FJ73" s="201"/>
      <c r="FK73" s="201"/>
      <c r="FL73" s="201"/>
      <c r="FM73" s="201"/>
      <c r="FN73" s="201"/>
      <c r="FO73" s="201"/>
      <c r="FP73" s="201"/>
      <c r="FQ73" s="201"/>
      <c r="FR73" s="201"/>
      <c r="FS73" s="201"/>
      <c r="FT73" s="201"/>
      <c r="FU73" s="201"/>
      <c r="FV73" s="201"/>
      <c r="FW73" s="201"/>
      <c r="FX73" s="201"/>
      <c r="FY73" s="201"/>
      <c r="FZ73" s="201"/>
      <c r="GA73" s="201"/>
      <c r="GB73" s="201"/>
      <c r="GC73" s="201"/>
      <c r="GD73" s="201"/>
      <c r="GE73" s="201"/>
      <c r="GF73" s="201"/>
      <c r="GG73" s="201"/>
      <c r="GH73" s="201"/>
      <c r="GI73" s="201"/>
      <c r="GJ73" s="201"/>
      <c r="GK73" s="201"/>
      <c r="GL73" s="201"/>
      <c r="GM73" s="201"/>
      <c r="GN73" s="201"/>
      <c r="GO73" s="201"/>
      <c r="GP73" s="201"/>
      <c r="GQ73" s="201"/>
      <c r="GR73" s="201"/>
      <c r="GS73" s="201"/>
      <c r="GT73" s="201"/>
      <c r="GU73" s="201"/>
      <c r="GV73" s="201"/>
      <c r="GW73" s="201"/>
      <c r="GX73" s="201"/>
      <c r="GY73" s="201"/>
      <c r="GZ73" s="201"/>
      <c r="HA73" s="201"/>
      <c r="HB73" s="201"/>
      <c r="HC73" s="201"/>
      <c r="HD73" s="201"/>
      <c r="HE73" s="201"/>
      <c r="HF73" s="201"/>
      <c r="HG73" s="201"/>
      <c r="HH73" s="201"/>
      <c r="HI73" s="201"/>
      <c r="HJ73" s="201"/>
      <c r="HK73" s="201"/>
      <c r="HL73" s="201"/>
      <c r="HM73" s="201"/>
      <c r="HN73" s="201"/>
      <c r="HO73" s="201"/>
      <c r="HP73" s="201"/>
      <c r="HQ73" s="201"/>
      <c r="HR73" s="201"/>
      <c r="HS73" s="201"/>
      <c r="HT73" s="201"/>
      <c r="HU73" s="201"/>
      <c r="HV73" s="201"/>
      <c r="HW73" s="201"/>
      <c r="HX73" s="201"/>
      <c r="HY73" s="201"/>
      <c r="HZ73" s="201"/>
      <c r="IA73" s="201"/>
      <c r="IB73" s="201"/>
      <c r="IC73" s="201"/>
      <c r="ID73" s="201"/>
      <c r="IE73" s="201"/>
      <c r="IF73" s="201"/>
      <c r="IG73" s="201"/>
      <c r="IH73" s="201"/>
      <c r="II73" s="201"/>
      <c r="IJ73" s="201"/>
      <c r="IK73" s="201"/>
      <c r="IL73" s="201"/>
      <c r="IM73" s="201"/>
      <c r="IN73" s="201"/>
      <c r="IO73" s="201"/>
      <c r="IP73" s="201"/>
      <c r="IQ73" s="201"/>
      <c r="IR73" s="201"/>
      <c r="IS73" s="201"/>
      <c r="IT73" s="201"/>
      <c r="IU73" s="201"/>
    </row>
    <row r="74" spans="1:255" s="355" customFormat="1" x14ac:dyDescent="0.3">
      <c r="A74" s="310" t="s">
        <v>653</v>
      </c>
      <c r="B74" s="356"/>
      <c r="C74" s="294"/>
      <c r="D74" s="356"/>
      <c r="E74" s="294"/>
      <c r="F74" s="356"/>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1"/>
      <c r="AK74" s="311"/>
      <c r="AL74" s="311"/>
    </row>
    <row r="75" spans="1:255" s="355" customFormat="1" x14ac:dyDescent="0.3">
      <c r="A75" s="310" t="s">
        <v>654</v>
      </c>
      <c r="B75" s="356"/>
      <c r="C75" s="294"/>
      <c r="D75" s="356"/>
      <c r="E75" s="294"/>
      <c r="F75" s="356"/>
      <c r="G75" s="311"/>
      <c r="H75" s="311"/>
      <c r="I75" s="311"/>
      <c r="J75" s="311"/>
      <c r="K75" s="311"/>
      <c r="L75" s="311"/>
      <c r="M75" s="311"/>
      <c r="N75" s="311"/>
      <c r="O75" s="311"/>
      <c r="P75" s="311"/>
      <c r="Q75" s="311"/>
      <c r="R75" s="311"/>
      <c r="S75" s="311"/>
      <c r="T75" s="311"/>
      <c r="U75" s="311"/>
      <c r="V75" s="311"/>
      <c r="W75" s="311"/>
      <c r="X75" s="311"/>
      <c r="Y75" s="311"/>
      <c r="Z75" s="311"/>
      <c r="AA75" s="311"/>
      <c r="AB75" s="311"/>
      <c r="AC75" s="311"/>
      <c r="AD75" s="311"/>
      <c r="AE75" s="311"/>
      <c r="AF75" s="311"/>
      <c r="AG75" s="311"/>
      <c r="AH75" s="311"/>
      <c r="AI75" s="311"/>
      <c r="AJ75" s="311"/>
      <c r="AK75" s="311"/>
      <c r="AL75" s="311"/>
    </row>
    <row r="76" spans="1:255" x14ac:dyDescent="0.3">
      <c r="A76" s="310" t="s">
        <v>655</v>
      </c>
      <c r="B76" s="356"/>
      <c r="C76" s="294"/>
      <c r="D76" s="356"/>
      <c r="E76" s="294"/>
      <c r="F76" s="356"/>
      <c r="G76" s="311"/>
      <c r="H76" s="311"/>
      <c r="I76" s="311"/>
      <c r="J76" s="311"/>
      <c r="K76" s="311"/>
      <c r="L76" s="311"/>
      <c r="M76" s="311"/>
      <c r="N76" s="311"/>
      <c r="O76" s="311"/>
      <c r="P76" s="311"/>
      <c r="Q76" s="311"/>
      <c r="R76" s="311"/>
      <c r="S76" s="311"/>
      <c r="T76" s="311"/>
      <c r="U76" s="311"/>
      <c r="V76" s="311"/>
      <c r="W76" s="311"/>
      <c r="X76" s="311"/>
      <c r="Y76" s="311"/>
      <c r="Z76" s="311"/>
      <c r="AA76" s="311"/>
      <c r="AB76" s="311"/>
      <c r="AC76" s="311"/>
      <c r="AD76" s="311"/>
      <c r="AE76" s="311"/>
      <c r="AF76" s="311"/>
      <c r="AG76" s="311"/>
      <c r="AH76" s="311"/>
      <c r="AI76" s="311"/>
      <c r="AJ76" s="311"/>
      <c r="AK76" s="311"/>
      <c r="AL76" s="311"/>
    </row>
    <row r="77" spans="1:255" ht="31.2" x14ac:dyDescent="0.3">
      <c r="A77" s="310" t="s">
        <v>656</v>
      </c>
      <c r="B77" s="356"/>
      <c r="C77" s="294"/>
      <c r="D77" s="356"/>
      <c r="E77" s="294"/>
      <c r="F77" s="356"/>
      <c r="G77" s="311"/>
      <c r="H77" s="311"/>
      <c r="I77" s="311"/>
      <c r="J77" s="311"/>
      <c r="K77" s="311"/>
      <c r="L77" s="311"/>
      <c r="M77" s="311"/>
      <c r="N77" s="311"/>
      <c r="O77" s="311"/>
      <c r="P77" s="311"/>
      <c r="Q77" s="311"/>
      <c r="R77" s="311"/>
      <c r="S77" s="311"/>
      <c r="T77" s="311"/>
      <c r="U77" s="311"/>
      <c r="V77" s="311"/>
      <c r="W77" s="311"/>
      <c r="X77" s="311"/>
      <c r="Y77" s="311"/>
      <c r="Z77" s="311"/>
      <c r="AA77" s="311"/>
      <c r="AB77" s="311"/>
      <c r="AC77" s="311"/>
      <c r="AD77" s="311"/>
      <c r="AE77" s="311"/>
      <c r="AF77" s="311"/>
      <c r="AG77" s="311"/>
      <c r="AH77" s="311"/>
      <c r="AI77" s="311"/>
      <c r="AJ77" s="311"/>
      <c r="AK77" s="311"/>
      <c r="AL77" s="311"/>
    </row>
    <row r="78" spans="1:255" x14ac:dyDescent="0.3">
      <c r="A78" s="310" t="s">
        <v>657</v>
      </c>
      <c r="B78" s="356"/>
      <c r="C78" s="294"/>
      <c r="D78" s="356"/>
      <c r="E78" s="294"/>
      <c r="F78" s="356"/>
      <c r="G78" s="311"/>
      <c r="H78" s="311"/>
      <c r="I78" s="311"/>
      <c r="J78" s="311"/>
      <c r="K78" s="311"/>
      <c r="L78" s="311"/>
      <c r="M78" s="311"/>
      <c r="N78" s="311"/>
      <c r="O78" s="311"/>
      <c r="P78" s="311"/>
      <c r="Q78" s="311"/>
      <c r="R78" s="311"/>
      <c r="S78" s="311"/>
      <c r="T78" s="311"/>
      <c r="U78" s="311"/>
      <c r="V78" s="311"/>
      <c r="W78" s="311"/>
      <c r="X78" s="311"/>
      <c r="Y78" s="311"/>
      <c r="Z78" s="311"/>
      <c r="AA78" s="311"/>
      <c r="AB78" s="311"/>
      <c r="AC78" s="311"/>
      <c r="AD78" s="311"/>
      <c r="AE78" s="311"/>
      <c r="AF78" s="311"/>
      <c r="AG78" s="311"/>
      <c r="AH78" s="311"/>
      <c r="AI78" s="311"/>
      <c r="AJ78" s="311"/>
      <c r="AK78" s="311"/>
      <c r="AL78" s="311"/>
    </row>
    <row r="79" spans="1:255" x14ac:dyDescent="0.3">
      <c r="A79" s="310" t="s">
        <v>658</v>
      </c>
      <c r="B79" s="356"/>
      <c r="C79" s="294"/>
      <c r="D79" s="356"/>
      <c r="E79" s="294"/>
      <c r="F79" s="356"/>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row>
    <row r="80" spans="1:255" x14ac:dyDescent="0.3">
      <c r="A80" s="292" t="s">
        <v>617</v>
      </c>
      <c r="B80" s="357"/>
      <c r="C80" s="358"/>
      <c r="D80" s="357"/>
      <c r="E80" s="358"/>
      <c r="F80" s="357"/>
      <c r="G80" s="311"/>
      <c r="H80" s="311"/>
      <c r="I80" s="311"/>
      <c r="J80" s="311"/>
      <c r="K80" s="311"/>
      <c r="L80" s="311"/>
      <c r="M80" s="311"/>
      <c r="N80" s="311"/>
      <c r="O80" s="311"/>
      <c r="P80" s="311"/>
      <c r="Q80" s="311"/>
      <c r="R80" s="311"/>
      <c r="S80" s="311"/>
      <c r="T80" s="311"/>
      <c r="U80" s="311"/>
      <c r="V80" s="311"/>
      <c r="W80" s="311"/>
      <c r="X80" s="311"/>
      <c r="Y80" s="311"/>
      <c r="Z80" s="311"/>
      <c r="AA80" s="311"/>
      <c r="AB80" s="311"/>
      <c r="AC80" s="311"/>
      <c r="AD80" s="311"/>
      <c r="AE80" s="311"/>
      <c r="AF80" s="311"/>
      <c r="AG80" s="311"/>
      <c r="AH80" s="311"/>
      <c r="AI80" s="311"/>
      <c r="AJ80" s="311"/>
      <c r="AK80" s="311"/>
      <c r="AL80" s="311"/>
    </row>
    <row r="81" spans="1:255" x14ac:dyDescent="0.3">
      <c r="A81" s="77" t="s">
        <v>452</v>
      </c>
      <c r="C81" s="172"/>
      <c r="D81" s="317"/>
      <c r="E81" s="172"/>
      <c r="F81" s="249"/>
    </row>
    <row r="83" spans="1:255" s="359" customFormat="1" ht="13.2" x14ac:dyDescent="0.25">
      <c r="A83" s="360" t="s">
        <v>659</v>
      </c>
    </row>
    <row r="84" spans="1:255" s="197" customFormat="1" ht="15.75" customHeight="1" x14ac:dyDescent="0.3">
      <c r="A84" s="423" t="s">
        <v>177</v>
      </c>
      <c r="B84" s="429" t="s">
        <v>421</v>
      </c>
      <c r="C84" s="429"/>
      <c r="D84" s="429"/>
      <c r="E84" s="429"/>
      <c r="F84" s="429"/>
      <c r="G84" s="429"/>
      <c r="H84" s="429"/>
      <c r="I84" s="429"/>
      <c r="J84" s="430" t="s">
        <v>422</v>
      </c>
      <c r="K84" s="430"/>
      <c r="L84" s="430"/>
      <c r="M84" s="430"/>
      <c r="N84" s="430"/>
      <c r="O84" s="430"/>
      <c r="P84" s="430"/>
      <c r="Q84" s="430"/>
      <c r="R84" s="431" t="s">
        <v>423</v>
      </c>
      <c r="S84" s="431"/>
      <c r="T84" s="431"/>
      <c r="U84" s="431"/>
      <c r="V84" s="431"/>
      <c r="W84" s="431"/>
      <c r="X84" s="431"/>
      <c r="Y84" s="431"/>
      <c r="Z84" s="431"/>
      <c r="AA84" s="431"/>
      <c r="AB84" s="431"/>
      <c r="AC84" s="431"/>
      <c r="AD84" s="431"/>
      <c r="AE84" s="431"/>
      <c r="AF84" s="431"/>
      <c r="AG84" s="431"/>
      <c r="AH84" s="431"/>
      <c r="AI84" s="431"/>
      <c r="AJ84" s="431"/>
      <c r="AK84" s="431"/>
      <c r="AL84" s="431"/>
    </row>
    <row r="85" spans="1:255" s="197" customFormat="1" x14ac:dyDescent="0.3">
      <c r="A85" s="424"/>
      <c r="B85" s="429"/>
      <c r="C85" s="429"/>
      <c r="D85" s="429"/>
      <c r="E85" s="429"/>
      <c r="F85" s="429"/>
      <c r="G85" s="429"/>
      <c r="H85" s="429"/>
      <c r="I85" s="429"/>
      <c r="J85" s="430"/>
      <c r="K85" s="430"/>
      <c r="L85" s="430"/>
      <c r="M85" s="430"/>
      <c r="N85" s="430"/>
      <c r="O85" s="430"/>
      <c r="P85" s="430"/>
      <c r="Q85" s="430"/>
      <c r="R85" s="425" t="s">
        <v>320</v>
      </c>
      <c r="S85" s="425"/>
      <c r="T85" s="425"/>
      <c r="U85" s="432" t="s">
        <v>321</v>
      </c>
      <c r="V85" s="432"/>
      <c r="W85" s="432"/>
      <c r="X85" s="432" t="s">
        <v>322</v>
      </c>
      <c r="Y85" s="432"/>
      <c r="Z85" s="432"/>
      <c r="AA85" s="432" t="s">
        <v>323</v>
      </c>
      <c r="AB85" s="432"/>
      <c r="AC85" s="432"/>
      <c r="AD85" s="432" t="s">
        <v>324</v>
      </c>
      <c r="AE85" s="432"/>
      <c r="AF85" s="432"/>
      <c r="AG85" s="433" t="s">
        <v>325</v>
      </c>
      <c r="AH85" s="434"/>
      <c r="AI85" s="435"/>
      <c r="AJ85" s="436" t="s">
        <v>326</v>
      </c>
      <c r="AK85" s="436"/>
      <c r="AL85" s="436"/>
      <c r="AM85" s="201"/>
      <c r="AN85" s="201"/>
      <c r="AO85" s="201"/>
      <c r="AP85" s="201"/>
      <c r="AQ85" s="201"/>
      <c r="AR85" s="201"/>
      <c r="AS85" s="201"/>
      <c r="AT85" s="201"/>
      <c r="AU85" s="201"/>
      <c r="AV85" s="201"/>
      <c r="AW85" s="201"/>
      <c r="AX85" s="201"/>
      <c r="AY85" s="201"/>
      <c r="AZ85" s="201"/>
      <c r="BA85" s="201"/>
      <c r="BB85" s="201"/>
      <c r="BC85" s="201"/>
      <c r="BD85" s="201"/>
      <c r="BE85" s="201"/>
      <c r="BF85" s="201"/>
      <c r="BG85" s="201"/>
      <c r="BH85" s="201"/>
      <c r="BI85" s="201"/>
      <c r="BJ85" s="201"/>
      <c r="BK85" s="201"/>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c r="EX85" s="201"/>
      <c r="EY85" s="201"/>
      <c r="EZ85" s="201"/>
      <c r="FA85" s="201"/>
      <c r="FB85" s="201"/>
      <c r="FC85" s="201"/>
      <c r="FD85" s="201"/>
      <c r="FE85" s="201"/>
      <c r="FF85" s="201"/>
      <c r="FG85" s="201"/>
      <c r="FH85" s="201"/>
      <c r="FI85" s="201"/>
      <c r="FJ85" s="201"/>
      <c r="FK85" s="201"/>
      <c r="FL85" s="201"/>
      <c r="FM85" s="201"/>
      <c r="FN85" s="201"/>
      <c r="FO85" s="201"/>
      <c r="FP85" s="201"/>
      <c r="FQ85" s="201"/>
      <c r="FR85" s="201"/>
      <c r="FS85" s="201"/>
      <c r="FT85" s="201"/>
      <c r="FU85" s="201"/>
      <c r="FV85" s="201"/>
      <c r="FW85" s="201"/>
      <c r="FX85" s="201"/>
      <c r="FY85" s="201"/>
      <c r="FZ85" s="201"/>
      <c r="GA85" s="201"/>
      <c r="GB85" s="201"/>
      <c r="GC85" s="201"/>
      <c r="GD85" s="201"/>
      <c r="GE85" s="201"/>
      <c r="GF85" s="201"/>
      <c r="GG85" s="201"/>
      <c r="GH85" s="201"/>
      <c r="GI85" s="201"/>
      <c r="GJ85" s="201"/>
      <c r="GK85" s="201"/>
      <c r="GL85" s="201"/>
      <c r="GM85" s="201"/>
      <c r="GN85" s="201"/>
      <c r="GO85" s="201"/>
      <c r="GP85" s="201"/>
      <c r="GQ85" s="201"/>
      <c r="GR85" s="201"/>
      <c r="GS85" s="201"/>
      <c r="GT85" s="201"/>
      <c r="GU85" s="201"/>
      <c r="GV85" s="201"/>
      <c r="GW85" s="201"/>
      <c r="GX85" s="201"/>
      <c r="GY85" s="201"/>
      <c r="GZ85" s="201"/>
      <c r="HA85" s="201"/>
      <c r="HB85" s="201"/>
      <c r="HC85" s="201"/>
      <c r="HD85" s="201"/>
      <c r="HE85" s="201"/>
      <c r="HF85" s="201"/>
      <c r="HG85" s="201"/>
      <c r="HH85" s="201"/>
      <c r="HI85" s="201"/>
      <c r="HJ85" s="201"/>
      <c r="HK85" s="201"/>
      <c r="HL85" s="201"/>
      <c r="HM85" s="201"/>
      <c r="HN85" s="201"/>
      <c r="HO85" s="201"/>
      <c r="HP85" s="201"/>
      <c r="HQ85" s="201"/>
      <c r="HR85" s="201"/>
      <c r="HS85" s="201"/>
      <c r="HT85" s="201"/>
      <c r="HU85" s="201"/>
      <c r="HV85" s="201"/>
      <c r="HW85" s="201"/>
      <c r="HX85" s="201"/>
      <c r="HY85" s="201"/>
      <c r="HZ85" s="201"/>
      <c r="IA85" s="201"/>
      <c r="IB85" s="201"/>
      <c r="IC85" s="201"/>
      <c r="ID85" s="201"/>
      <c r="IE85" s="201"/>
      <c r="IF85" s="201"/>
      <c r="IG85" s="201"/>
      <c r="IH85" s="201"/>
      <c r="II85" s="201"/>
      <c r="IJ85" s="201"/>
      <c r="IK85" s="201"/>
      <c r="IL85" s="201"/>
      <c r="IM85" s="201"/>
      <c r="IN85" s="201"/>
      <c r="IO85" s="201"/>
      <c r="IP85" s="201"/>
      <c r="IQ85" s="201"/>
      <c r="IR85" s="201"/>
      <c r="IS85" s="201"/>
      <c r="IT85" s="201"/>
      <c r="IU85" s="201"/>
    </row>
    <row r="86" spans="1:255" s="197" customFormat="1" ht="31.2" x14ac:dyDescent="0.3">
      <c r="A86" s="425"/>
      <c r="B86" s="336">
        <v>43830</v>
      </c>
      <c r="C86" s="336" t="s">
        <v>425</v>
      </c>
      <c r="D86" s="336" t="s">
        <v>426</v>
      </c>
      <c r="E86" s="336" t="s">
        <v>427</v>
      </c>
      <c r="F86" s="336" t="s">
        <v>428</v>
      </c>
      <c r="G86" s="336" t="s">
        <v>429</v>
      </c>
      <c r="H86" s="336" t="s">
        <v>430</v>
      </c>
      <c r="I86" s="336" t="s">
        <v>431</v>
      </c>
      <c r="J86" s="336">
        <v>43830</v>
      </c>
      <c r="K86" s="336" t="s">
        <v>425</v>
      </c>
      <c r="L86" s="336" t="s">
        <v>426</v>
      </c>
      <c r="M86" s="336" t="s">
        <v>427</v>
      </c>
      <c r="N86" s="336" t="s">
        <v>428</v>
      </c>
      <c r="O86" s="336" t="s">
        <v>429</v>
      </c>
      <c r="P86" s="336" t="s">
        <v>430</v>
      </c>
      <c r="Q86" s="336" t="s">
        <v>431</v>
      </c>
      <c r="R86" s="204" t="s">
        <v>432</v>
      </c>
      <c r="S86" s="204" t="s">
        <v>433</v>
      </c>
      <c r="T86" s="204" t="s">
        <v>434</v>
      </c>
      <c r="U86" s="204" t="s">
        <v>432</v>
      </c>
      <c r="V86" s="204" t="s">
        <v>433</v>
      </c>
      <c r="W86" s="204" t="s">
        <v>434</v>
      </c>
      <c r="X86" s="204" t="str">
        <f t="shared" ref="X86:X95" si="7">U86</f>
        <v>в тыс. руб.</v>
      </c>
      <c r="Y86" s="204" t="str">
        <f t="shared" ref="Y86:Y95" si="8">V86</f>
        <v>темп прироста, %</v>
      </c>
      <c r="Z86" s="204" t="str">
        <f t="shared" ref="Z86:Z95" si="9">W86</f>
        <v>в структуре, %</v>
      </c>
      <c r="AA86" s="204" t="str">
        <f t="shared" ref="AA86:AA95" si="10">X86</f>
        <v>в тыс. руб.</v>
      </c>
      <c r="AB86" s="204" t="str">
        <f t="shared" ref="AB86:AB95" si="11">Y86</f>
        <v>темп прироста, %</v>
      </c>
      <c r="AC86" s="204" t="str">
        <f t="shared" ref="AC86:AC95" si="12">Z86</f>
        <v>в структуре, %</v>
      </c>
      <c r="AD86" s="204" t="str">
        <f t="shared" ref="AD86:AD95" si="13">AA86</f>
        <v>в тыс. руб.</v>
      </c>
      <c r="AE86" s="204" t="str">
        <f t="shared" ref="AE86:AE95" si="14">AB86</f>
        <v>темп прироста, %</v>
      </c>
      <c r="AF86" s="204" t="str">
        <f t="shared" ref="AF86:AF95" si="15">AC86</f>
        <v>в структуре, %</v>
      </c>
      <c r="AG86" s="204" t="str">
        <f t="shared" ref="AG86:AG95" si="16">AD86</f>
        <v>в тыс. руб.</v>
      </c>
      <c r="AH86" s="204" t="str">
        <f t="shared" ref="AH86:AH95" si="17">AE86</f>
        <v>темп прироста, %</v>
      </c>
      <c r="AI86" s="204" t="str">
        <f t="shared" ref="AI86:AI95" si="18">AF86</f>
        <v>в структуре, %</v>
      </c>
      <c r="AJ86" s="204" t="str">
        <f t="shared" ref="AJ86:AJ95" si="19">AG86</f>
        <v>в тыс. руб.</v>
      </c>
      <c r="AK86" s="204" t="str">
        <f t="shared" ref="AK86:AK95" si="20">AH86</f>
        <v>темп прироста, %</v>
      </c>
      <c r="AL86" s="204" t="str">
        <f t="shared" ref="AL86:AL95" si="21">AI86</f>
        <v>в структуре, %</v>
      </c>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c r="EX86" s="201"/>
      <c r="EY86" s="201"/>
      <c r="EZ86" s="201"/>
      <c r="FA86" s="201"/>
      <c r="FB86" s="201"/>
      <c r="FC86" s="201"/>
      <c r="FD86" s="201"/>
      <c r="FE86" s="201"/>
      <c r="FF86" s="201"/>
      <c r="FG86" s="201"/>
      <c r="FH86" s="201"/>
      <c r="FI86" s="201"/>
      <c r="FJ86" s="201"/>
      <c r="FK86" s="201"/>
      <c r="FL86" s="201"/>
      <c r="FM86" s="201"/>
      <c r="FN86" s="201"/>
      <c r="FO86" s="201"/>
      <c r="FP86" s="201"/>
      <c r="FQ86" s="201"/>
      <c r="FR86" s="201"/>
      <c r="FS86" s="201"/>
      <c r="FT86" s="201"/>
      <c r="FU86" s="201"/>
      <c r="FV86" s="201"/>
      <c r="FW86" s="201"/>
      <c r="FX86" s="201"/>
      <c r="FY86" s="201"/>
      <c r="FZ86" s="201"/>
      <c r="GA86" s="201"/>
      <c r="GB86" s="201"/>
      <c r="GC86" s="201"/>
      <c r="GD86" s="201"/>
      <c r="GE86" s="201"/>
      <c r="GF86" s="201"/>
      <c r="GG86" s="201"/>
      <c r="GH86" s="201"/>
      <c r="GI86" s="201"/>
      <c r="GJ86" s="201"/>
      <c r="GK86" s="201"/>
      <c r="GL86" s="201"/>
      <c r="GM86" s="201"/>
      <c r="GN86" s="201"/>
      <c r="GO86" s="201"/>
      <c r="GP86" s="201"/>
      <c r="GQ86" s="201"/>
      <c r="GR86" s="201"/>
      <c r="GS86" s="201"/>
      <c r="GT86" s="201"/>
      <c r="GU86" s="201"/>
      <c r="GV86" s="201"/>
      <c r="GW86" s="201"/>
      <c r="GX86" s="201"/>
      <c r="GY86" s="201"/>
      <c r="GZ86" s="201"/>
      <c r="HA86" s="201"/>
      <c r="HB86" s="201"/>
      <c r="HC86" s="201"/>
      <c r="HD86" s="201"/>
      <c r="HE86" s="201"/>
      <c r="HF86" s="201"/>
      <c r="HG86" s="201"/>
      <c r="HH86" s="201"/>
      <c r="HI86" s="201"/>
      <c r="HJ86" s="201"/>
      <c r="HK86" s="201"/>
      <c r="HL86" s="201"/>
      <c r="HM86" s="201"/>
      <c r="HN86" s="201"/>
      <c r="HO86" s="201"/>
      <c r="HP86" s="201"/>
      <c r="HQ86" s="201"/>
      <c r="HR86" s="201"/>
      <c r="HS86" s="201"/>
      <c r="HT86" s="201"/>
      <c r="HU86" s="201"/>
      <c r="HV86" s="201"/>
      <c r="HW86" s="201"/>
      <c r="HX86" s="201"/>
      <c r="HY86" s="201"/>
      <c r="HZ86" s="201"/>
      <c r="IA86" s="201"/>
      <c r="IB86" s="201"/>
      <c r="IC86" s="201"/>
      <c r="ID86" s="201"/>
      <c r="IE86" s="201"/>
      <c r="IF86" s="201"/>
      <c r="IG86" s="201"/>
      <c r="IH86" s="201"/>
      <c r="II86" s="201"/>
      <c r="IJ86" s="201"/>
      <c r="IK86" s="201"/>
      <c r="IL86" s="201"/>
      <c r="IM86" s="201"/>
      <c r="IN86" s="201"/>
      <c r="IO86" s="201"/>
      <c r="IP86" s="201"/>
      <c r="IQ86" s="201"/>
      <c r="IR86" s="201"/>
      <c r="IS86" s="201"/>
      <c r="IT86" s="201"/>
      <c r="IU86" s="201"/>
    </row>
    <row r="87" spans="1:255" s="359" customFormat="1" ht="13.8" x14ac:dyDescent="0.25">
      <c r="A87" s="361" t="s">
        <v>660</v>
      </c>
      <c r="B87" s="362"/>
      <c r="C87" s="362"/>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row>
    <row r="88" spans="1:255" s="359" customFormat="1" ht="13.8" x14ac:dyDescent="0.25">
      <c r="A88" s="361" t="s">
        <v>661</v>
      </c>
      <c r="B88" s="362"/>
      <c r="C88" s="362"/>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row>
    <row r="89" spans="1:255" s="359" customFormat="1" ht="13.8" x14ac:dyDescent="0.25">
      <c r="A89" s="361" t="s">
        <v>662</v>
      </c>
      <c r="B89" s="362"/>
      <c r="C89" s="362"/>
      <c r="D89" s="362"/>
      <c r="E89" s="362"/>
      <c r="F89" s="362"/>
      <c r="G89" s="362"/>
      <c r="H89" s="362"/>
      <c r="I89" s="362"/>
      <c r="J89" s="362"/>
      <c r="K89" s="362"/>
      <c r="L89" s="362"/>
      <c r="M89" s="362"/>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row>
    <row r="90" spans="1:255" s="359" customFormat="1" ht="13.8" x14ac:dyDescent="0.25">
      <c r="A90" s="363" t="s">
        <v>663</v>
      </c>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row>
    <row r="91" spans="1:255" s="359" customFormat="1" ht="13.2" x14ac:dyDescent="0.25">
      <c r="A91" s="360"/>
    </row>
    <row r="92" spans="1:255" s="359" customFormat="1" ht="13.2" x14ac:dyDescent="0.25">
      <c r="A92" s="360" t="s">
        <v>664</v>
      </c>
    </row>
    <row r="93" spans="1:255" s="197" customFormat="1" ht="15.75" customHeight="1" x14ac:dyDescent="0.3">
      <c r="A93" s="423" t="s">
        <v>177</v>
      </c>
      <c r="B93" s="429" t="s">
        <v>421</v>
      </c>
      <c r="C93" s="429"/>
      <c r="D93" s="429"/>
      <c r="E93" s="429"/>
      <c r="F93" s="429"/>
      <c r="G93" s="429"/>
      <c r="H93" s="429"/>
      <c r="I93" s="429"/>
      <c r="J93" s="430" t="s">
        <v>422</v>
      </c>
      <c r="K93" s="430"/>
      <c r="L93" s="430"/>
      <c r="M93" s="430"/>
      <c r="N93" s="430"/>
      <c r="O93" s="430"/>
      <c r="P93" s="430"/>
      <c r="Q93" s="430"/>
      <c r="R93" s="431" t="s">
        <v>423</v>
      </c>
      <c r="S93" s="431"/>
      <c r="T93" s="431"/>
      <c r="U93" s="431"/>
      <c r="V93" s="431"/>
      <c r="W93" s="431"/>
      <c r="X93" s="431"/>
      <c r="Y93" s="431"/>
      <c r="Z93" s="431"/>
      <c r="AA93" s="431"/>
      <c r="AB93" s="431"/>
      <c r="AC93" s="431"/>
      <c r="AD93" s="431"/>
      <c r="AE93" s="431"/>
      <c r="AF93" s="431"/>
      <c r="AG93" s="431"/>
      <c r="AH93" s="431"/>
      <c r="AI93" s="431"/>
      <c r="AJ93" s="431"/>
      <c r="AK93" s="431"/>
      <c r="AL93" s="431"/>
    </row>
    <row r="94" spans="1:255" s="197" customFormat="1" x14ac:dyDescent="0.3">
      <c r="A94" s="424"/>
      <c r="B94" s="429"/>
      <c r="C94" s="429"/>
      <c r="D94" s="429"/>
      <c r="E94" s="429"/>
      <c r="F94" s="429"/>
      <c r="G94" s="429"/>
      <c r="H94" s="429"/>
      <c r="I94" s="429"/>
      <c r="J94" s="430"/>
      <c r="K94" s="430"/>
      <c r="L94" s="430"/>
      <c r="M94" s="430"/>
      <c r="N94" s="430"/>
      <c r="O94" s="430"/>
      <c r="P94" s="430"/>
      <c r="Q94" s="430"/>
      <c r="R94" s="425" t="s">
        <v>320</v>
      </c>
      <c r="S94" s="425"/>
      <c r="T94" s="425"/>
      <c r="U94" s="432" t="s">
        <v>321</v>
      </c>
      <c r="V94" s="432"/>
      <c r="W94" s="432"/>
      <c r="X94" s="432" t="s">
        <v>322</v>
      </c>
      <c r="Y94" s="432"/>
      <c r="Z94" s="432"/>
      <c r="AA94" s="432" t="s">
        <v>323</v>
      </c>
      <c r="AB94" s="432"/>
      <c r="AC94" s="432"/>
      <c r="AD94" s="432" t="s">
        <v>324</v>
      </c>
      <c r="AE94" s="432"/>
      <c r="AF94" s="432"/>
      <c r="AG94" s="433" t="s">
        <v>325</v>
      </c>
      <c r="AH94" s="434"/>
      <c r="AI94" s="435"/>
      <c r="AJ94" s="436" t="s">
        <v>326</v>
      </c>
      <c r="AK94" s="436"/>
      <c r="AL94" s="436"/>
      <c r="AM94" s="201"/>
      <c r="AN94" s="201"/>
      <c r="AO94" s="201"/>
      <c r="AP94" s="201"/>
      <c r="AQ94" s="201"/>
      <c r="AR94" s="201"/>
      <c r="AS94" s="201"/>
      <c r="AT94" s="201"/>
      <c r="AU94" s="201"/>
      <c r="AV94" s="201"/>
      <c r="AW94" s="201"/>
      <c r="AX94" s="201"/>
      <c r="AY94" s="201"/>
      <c r="AZ94" s="201"/>
      <c r="BA94" s="201"/>
      <c r="BB94" s="201"/>
      <c r="BC94" s="201"/>
      <c r="BD94" s="201"/>
      <c r="BE94" s="201"/>
      <c r="BF94" s="201"/>
      <c r="BG94" s="201"/>
      <c r="BH94" s="201"/>
      <c r="BI94" s="201"/>
      <c r="BJ94" s="201"/>
      <c r="BK94" s="201"/>
      <c r="BL94" s="201"/>
      <c r="BM94" s="201"/>
      <c r="BN94" s="201"/>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row>
    <row r="95" spans="1:255" s="197" customFormat="1" ht="31.2" x14ac:dyDescent="0.3">
      <c r="A95" s="425"/>
      <c r="B95" s="336">
        <v>43830</v>
      </c>
      <c r="C95" s="336" t="s">
        <v>425</v>
      </c>
      <c r="D95" s="336" t="s">
        <v>426</v>
      </c>
      <c r="E95" s="336" t="s">
        <v>427</v>
      </c>
      <c r="F95" s="336" t="s">
        <v>428</v>
      </c>
      <c r="G95" s="336" t="s">
        <v>429</v>
      </c>
      <c r="H95" s="336" t="s">
        <v>430</v>
      </c>
      <c r="I95" s="336" t="s">
        <v>431</v>
      </c>
      <c r="J95" s="336">
        <v>43830</v>
      </c>
      <c r="K95" s="336" t="s">
        <v>425</v>
      </c>
      <c r="L95" s="336" t="s">
        <v>426</v>
      </c>
      <c r="M95" s="336" t="s">
        <v>427</v>
      </c>
      <c r="N95" s="336" t="s">
        <v>428</v>
      </c>
      <c r="O95" s="336" t="s">
        <v>429</v>
      </c>
      <c r="P95" s="336" t="s">
        <v>430</v>
      </c>
      <c r="Q95" s="336" t="s">
        <v>431</v>
      </c>
      <c r="R95" s="204" t="s">
        <v>432</v>
      </c>
      <c r="S95" s="204" t="s">
        <v>433</v>
      </c>
      <c r="T95" s="204" t="s">
        <v>434</v>
      </c>
      <c r="U95" s="204" t="s">
        <v>432</v>
      </c>
      <c r="V95" s="204" t="s">
        <v>433</v>
      </c>
      <c r="W95" s="204" t="s">
        <v>434</v>
      </c>
      <c r="X95" s="204" t="str">
        <f t="shared" si="7"/>
        <v>в тыс. руб.</v>
      </c>
      <c r="Y95" s="204" t="str">
        <f t="shared" si="8"/>
        <v>темп прироста, %</v>
      </c>
      <c r="Z95" s="204" t="str">
        <f t="shared" si="9"/>
        <v>в структуре, %</v>
      </c>
      <c r="AA95" s="204" t="str">
        <f t="shared" si="10"/>
        <v>в тыс. руб.</v>
      </c>
      <c r="AB95" s="204" t="str">
        <f t="shared" si="11"/>
        <v>темп прироста, %</v>
      </c>
      <c r="AC95" s="204" t="str">
        <f t="shared" si="12"/>
        <v>в структуре, %</v>
      </c>
      <c r="AD95" s="204" t="str">
        <f t="shared" si="13"/>
        <v>в тыс. руб.</v>
      </c>
      <c r="AE95" s="204" t="str">
        <f t="shared" si="14"/>
        <v>темп прироста, %</v>
      </c>
      <c r="AF95" s="204" t="str">
        <f t="shared" si="15"/>
        <v>в структуре, %</v>
      </c>
      <c r="AG95" s="204" t="str">
        <f t="shared" si="16"/>
        <v>в тыс. руб.</v>
      </c>
      <c r="AH95" s="204" t="str">
        <f t="shared" si="17"/>
        <v>темп прироста, %</v>
      </c>
      <c r="AI95" s="204" t="str">
        <f t="shared" si="18"/>
        <v>в структуре, %</v>
      </c>
      <c r="AJ95" s="204" t="str">
        <f t="shared" si="19"/>
        <v>в тыс. руб.</v>
      </c>
      <c r="AK95" s="204" t="str">
        <f t="shared" si="20"/>
        <v>темп прироста, %</v>
      </c>
      <c r="AL95" s="204" t="str">
        <f t="shared" si="21"/>
        <v>в структуре, %</v>
      </c>
      <c r="AM95" s="201"/>
      <c r="AN95" s="201"/>
      <c r="AO95" s="201"/>
      <c r="AP95" s="201"/>
      <c r="AQ95" s="201"/>
      <c r="AR95" s="201"/>
      <c r="AS95" s="201"/>
      <c r="AT95" s="201"/>
      <c r="AU95" s="201"/>
      <c r="AV95" s="201"/>
      <c r="AW95" s="201"/>
      <c r="AX95" s="201"/>
      <c r="AY95" s="201"/>
      <c r="AZ95" s="201"/>
      <c r="BA95" s="201"/>
      <c r="BB95" s="201"/>
      <c r="BC95" s="201"/>
      <c r="BD95" s="201"/>
      <c r="BE95" s="201"/>
      <c r="BF95" s="201"/>
      <c r="BG95" s="201"/>
      <c r="BH95" s="201"/>
      <c r="BI95" s="201"/>
      <c r="BJ95" s="201"/>
      <c r="BK95" s="201"/>
      <c r="BL95" s="201"/>
      <c r="BM95" s="201"/>
      <c r="BN95" s="201"/>
      <c r="BO95" s="201"/>
      <c r="BP95" s="201"/>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c r="EX95" s="201"/>
      <c r="EY95" s="201"/>
      <c r="EZ95" s="201"/>
      <c r="FA95" s="201"/>
      <c r="FB95" s="201"/>
      <c r="FC95" s="201"/>
      <c r="FD95" s="201"/>
      <c r="FE95" s="201"/>
      <c r="FF95" s="201"/>
      <c r="FG95" s="201"/>
      <c r="FH95" s="201"/>
      <c r="FI95" s="201"/>
      <c r="FJ95" s="201"/>
      <c r="FK95" s="201"/>
      <c r="FL95" s="201"/>
      <c r="FM95" s="201"/>
      <c r="FN95" s="201"/>
      <c r="FO95" s="201"/>
      <c r="FP95" s="201"/>
      <c r="FQ95" s="201"/>
      <c r="FR95" s="201"/>
      <c r="FS95" s="201"/>
      <c r="FT95" s="201"/>
      <c r="FU95" s="201"/>
      <c r="FV95" s="201"/>
      <c r="FW95" s="201"/>
      <c r="FX95" s="201"/>
      <c r="FY95" s="201"/>
      <c r="FZ95" s="201"/>
      <c r="GA95" s="201"/>
      <c r="GB95" s="201"/>
      <c r="GC95" s="201"/>
      <c r="GD95" s="201"/>
      <c r="GE95" s="201"/>
      <c r="GF95" s="201"/>
      <c r="GG95" s="201"/>
      <c r="GH95" s="201"/>
      <c r="GI95" s="201"/>
      <c r="GJ95" s="201"/>
      <c r="GK95" s="201"/>
      <c r="GL95" s="201"/>
      <c r="GM95" s="201"/>
      <c r="GN95" s="201"/>
      <c r="GO95" s="201"/>
      <c r="GP95" s="201"/>
      <c r="GQ95" s="201"/>
      <c r="GR95" s="201"/>
      <c r="GS95" s="201"/>
      <c r="GT95" s="201"/>
      <c r="GU95" s="201"/>
      <c r="GV95" s="201"/>
      <c r="GW95" s="201"/>
      <c r="GX95" s="201"/>
      <c r="GY95" s="201"/>
      <c r="GZ95" s="201"/>
      <c r="HA95" s="201"/>
      <c r="HB95" s="201"/>
      <c r="HC95" s="201"/>
      <c r="HD95" s="201"/>
      <c r="HE95" s="201"/>
      <c r="HF95" s="201"/>
      <c r="HG95" s="201"/>
      <c r="HH95" s="201"/>
      <c r="HI95" s="201"/>
      <c r="HJ95" s="201"/>
      <c r="HK95" s="201"/>
      <c r="HL95" s="201"/>
      <c r="HM95" s="201"/>
      <c r="HN95" s="201"/>
      <c r="HO95" s="201"/>
      <c r="HP95" s="201"/>
      <c r="HQ95" s="201"/>
      <c r="HR95" s="201"/>
      <c r="HS95" s="201"/>
      <c r="HT95" s="201"/>
      <c r="HU95" s="201"/>
      <c r="HV95" s="201"/>
      <c r="HW95" s="201"/>
      <c r="HX95" s="201"/>
      <c r="HY95" s="201"/>
      <c r="HZ95" s="201"/>
      <c r="IA95" s="201"/>
      <c r="IB95" s="201"/>
      <c r="IC95" s="201"/>
      <c r="ID95" s="201"/>
      <c r="IE95" s="201"/>
      <c r="IF95" s="201"/>
      <c r="IG95" s="201"/>
      <c r="IH95" s="201"/>
      <c r="II95" s="201"/>
      <c r="IJ95" s="201"/>
      <c r="IK95" s="201"/>
      <c r="IL95" s="201"/>
      <c r="IM95" s="201"/>
      <c r="IN95" s="201"/>
      <c r="IO95" s="201"/>
      <c r="IP95" s="201"/>
      <c r="IQ95" s="201"/>
      <c r="IR95" s="201"/>
      <c r="IS95" s="201"/>
      <c r="IT95" s="201"/>
      <c r="IU95" s="201"/>
    </row>
    <row r="96" spans="1:255" s="359" customFormat="1" ht="13.8" x14ac:dyDescent="0.25">
      <c r="A96" s="361" t="s">
        <v>660</v>
      </c>
      <c r="B96" s="362"/>
      <c r="C96" s="362"/>
      <c r="D96" s="362"/>
      <c r="E96" s="362"/>
      <c r="F96" s="362"/>
      <c r="G96" s="362"/>
      <c r="H96" s="362"/>
      <c r="I96" s="362"/>
      <c r="J96" s="362"/>
      <c r="K96" s="362"/>
      <c r="L96" s="362"/>
      <c r="M96" s="362"/>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row>
    <row r="97" spans="1:255" s="359" customFormat="1" ht="13.8" x14ac:dyDescent="0.25">
      <c r="A97" s="361" t="s">
        <v>661</v>
      </c>
      <c r="B97" s="362"/>
      <c r="C97" s="362"/>
      <c r="D97" s="362"/>
      <c r="E97" s="362"/>
      <c r="F97" s="362"/>
      <c r="G97" s="362"/>
      <c r="H97" s="362"/>
      <c r="I97" s="362"/>
      <c r="J97" s="362"/>
      <c r="K97" s="362"/>
      <c r="L97" s="362"/>
      <c r="M97" s="362"/>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row>
    <row r="98" spans="1:255" s="359" customFormat="1" ht="13.8" x14ac:dyDescent="0.25">
      <c r="A98" s="363" t="s">
        <v>665</v>
      </c>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row>
    <row r="99" spans="1:255" s="359" customFormat="1" ht="13.2" x14ac:dyDescent="0.25">
      <c r="A99" s="360"/>
    </row>
    <row r="100" spans="1:255" s="359" customFormat="1" ht="13.2" x14ac:dyDescent="0.25">
      <c r="A100" s="360" t="s">
        <v>666</v>
      </c>
    </row>
    <row r="101" spans="1:255" s="197" customFormat="1" ht="15.75" customHeight="1" x14ac:dyDescent="0.3">
      <c r="A101" s="423" t="s">
        <v>177</v>
      </c>
      <c r="B101" s="429" t="s">
        <v>421</v>
      </c>
      <c r="C101" s="429"/>
      <c r="D101" s="429"/>
      <c r="E101" s="429"/>
      <c r="F101" s="429"/>
      <c r="G101" s="429"/>
      <c r="H101" s="429"/>
      <c r="I101" s="429"/>
      <c r="J101" s="430" t="s">
        <v>422</v>
      </c>
      <c r="K101" s="430"/>
      <c r="L101" s="430"/>
      <c r="M101" s="430"/>
      <c r="N101" s="430"/>
      <c r="O101" s="430"/>
      <c r="P101" s="430"/>
      <c r="Q101" s="430"/>
      <c r="R101" s="431" t="s">
        <v>423</v>
      </c>
      <c r="S101" s="431"/>
      <c r="T101" s="431"/>
      <c r="U101" s="431"/>
      <c r="V101" s="431"/>
      <c r="W101" s="431"/>
      <c r="X101" s="431"/>
      <c r="Y101" s="431"/>
      <c r="Z101" s="431"/>
      <c r="AA101" s="431"/>
      <c r="AB101" s="431"/>
      <c r="AC101" s="431"/>
      <c r="AD101" s="431"/>
      <c r="AE101" s="431"/>
      <c r="AF101" s="431"/>
      <c r="AG101" s="431"/>
      <c r="AH101" s="431"/>
      <c r="AI101" s="431"/>
      <c r="AJ101" s="431"/>
      <c r="AK101" s="431"/>
      <c r="AL101" s="431"/>
    </row>
    <row r="102" spans="1:255" s="197" customFormat="1" x14ac:dyDescent="0.3">
      <c r="A102" s="424"/>
      <c r="B102" s="429"/>
      <c r="C102" s="429"/>
      <c r="D102" s="429"/>
      <c r="E102" s="429"/>
      <c r="F102" s="429"/>
      <c r="G102" s="429"/>
      <c r="H102" s="429"/>
      <c r="I102" s="429"/>
      <c r="J102" s="430"/>
      <c r="K102" s="430"/>
      <c r="L102" s="430"/>
      <c r="M102" s="430"/>
      <c r="N102" s="430"/>
      <c r="O102" s="430"/>
      <c r="P102" s="430"/>
      <c r="Q102" s="430"/>
      <c r="R102" s="425" t="s">
        <v>320</v>
      </c>
      <c r="S102" s="425"/>
      <c r="T102" s="425"/>
      <c r="U102" s="432" t="s">
        <v>321</v>
      </c>
      <c r="V102" s="432"/>
      <c r="W102" s="432"/>
      <c r="X102" s="432" t="s">
        <v>322</v>
      </c>
      <c r="Y102" s="432"/>
      <c r="Z102" s="432"/>
      <c r="AA102" s="432" t="s">
        <v>323</v>
      </c>
      <c r="AB102" s="432"/>
      <c r="AC102" s="432"/>
      <c r="AD102" s="432" t="s">
        <v>324</v>
      </c>
      <c r="AE102" s="432"/>
      <c r="AF102" s="432"/>
      <c r="AG102" s="433" t="s">
        <v>325</v>
      </c>
      <c r="AH102" s="434"/>
      <c r="AI102" s="435"/>
      <c r="AJ102" s="436" t="s">
        <v>326</v>
      </c>
      <c r="AK102" s="436"/>
      <c r="AL102" s="436"/>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c r="BP102" s="201"/>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c r="EX102" s="201"/>
      <c r="EY102" s="201"/>
      <c r="EZ102" s="201"/>
      <c r="FA102" s="201"/>
      <c r="FB102" s="201"/>
      <c r="FC102" s="201"/>
      <c r="FD102" s="201"/>
      <c r="FE102" s="201"/>
      <c r="FF102" s="201"/>
      <c r="FG102" s="201"/>
      <c r="FH102" s="201"/>
      <c r="FI102" s="201"/>
      <c r="FJ102" s="201"/>
      <c r="FK102" s="201"/>
      <c r="FL102" s="201"/>
      <c r="FM102" s="201"/>
      <c r="FN102" s="201"/>
      <c r="FO102" s="201"/>
      <c r="FP102" s="201"/>
      <c r="FQ102" s="201"/>
      <c r="FR102" s="201"/>
      <c r="FS102" s="201"/>
      <c r="FT102" s="201"/>
      <c r="FU102" s="201"/>
      <c r="FV102" s="201"/>
      <c r="FW102" s="201"/>
      <c r="FX102" s="201"/>
      <c r="FY102" s="201"/>
      <c r="FZ102" s="201"/>
      <c r="GA102" s="201"/>
      <c r="GB102" s="201"/>
      <c r="GC102" s="201"/>
      <c r="GD102" s="201"/>
      <c r="GE102" s="201"/>
      <c r="GF102" s="201"/>
      <c r="GG102" s="201"/>
      <c r="GH102" s="201"/>
      <c r="GI102" s="201"/>
      <c r="GJ102" s="201"/>
      <c r="GK102" s="201"/>
      <c r="GL102" s="201"/>
      <c r="GM102" s="201"/>
      <c r="GN102" s="201"/>
      <c r="GO102" s="201"/>
      <c r="GP102" s="201"/>
      <c r="GQ102" s="201"/>
      <c r="GR102" s="201"/>
      <c r="GS102" s="201"/>
      <c r="GT102" s="201"/>
      <c r="GU102" s="201"/>
      <c r="GV102" s="201"/>
      <c r="GW102" s="201"/>
      <c r="GX102" s="201"/>
      <c r="GY102" s="201"/>
      <c r="GZ102" s="201"/>
      <c r="HA102" s="201"/>
      <c r="HB102" s="201"/>
      <c r="HC102" s="201"/>
      <c r="HD102" s="201"/>
      <c r="HE102" s="201"/>
      <c r="HF102" s="201"/>
      <c r="HG102" s="201"/>
      <c r="HH102" s="201"/>
      <c r="HI102" s="201"/>
      <c r="HJ102" s="201"/>
      <c r="HK102" s="201"/>
      <c r="HL102" s="201"/>
      <c r="HM102" s="201"/>
      <c r="HN102" s="201"/>
      <c r="HO102" s="201"/>
      <c r="HP102" s="201"/>
      <c r="HQ102" s="201"/>
      <c r="HR102" s="201"/>
      <c r="HS102" s="201"/>
      <c r="HT102" s="201"/>
      <c r="HU102" s="201"/>
      <c r="HV102" s="201"/>
      <c r="HW102" s="201"/>
      <c r="HX102" s="201"/>
      <c r="HY102" s="201"/>
      <c r="HZ102" s="201"/>
      <c r="IA102" s="201"/>
      <c r="IB102" s="201"/>
      <c r="IC102" s="201"/>
      <c r="ID102" s="201"/>
      <c r="IE102" s="201"/>
      <c r="IF102" s="201"/>
      <c r="IG102" s="201"/>
      <c r="IH102" s="201"/>
      <c r="II102" s="201"/>
      <c r="IJ102" s="201"/>
      <c r="IK102" s="201"/>
      <c r="IL102" s="201"/>
      <c r="IM102" s="201"/>
      <c r="IN102" s="201"/>
      <c r="IO102" s="201"/>
      <c r="IP102" s="201"/>
      <c r="IQ102" s="201"/>
      <c r="IR102" s="201"/>
      <c r="IS102" s="201"/>
      <c r="IT102" s="201"/>
      <c r="IU102" s="201"/>
    </row>
    <row r="103" spans="1:255" s="197" customFormat="1" ht="31.2" x14ac:dyDescent="0.3">
      <c r="A103" s="425"/>
      <c r="B103" s="336">
        <v>43830</v>
      </c>
      <c r="C103" s="336" t="s">
        <v>425</v>
      </c>
      <c r="D103" s="336" t="s">
        <v>426</v>
      </c>
      <c r="E103" s="336" t="s">
        <v>427</v>
      </c>
      <c r="F103" s="336" t="s">
        <v>428</v>
      </c>
      <c r="G103" s="336" t="s">
        <v>429</v>
      </c>
      <c r="H103" s="336" t="s">
        <v>430</v>
      </c>
      <c r="I103" s="336" t="s">
        <v>431</v>
      </c>
      <c r="J103" s="336">
        <v>43830</v>
      </c>
      <c r="K103" s="336" t="s">
        <v>425</v>
      </c>
      <c r="L103" s="336" t="s">
        <v>426</v>
      </c>
      <c r="M103" s="336" t="s">
        <v>427</v>
      </c>
      <c r="N103" s="336" t="s">
        <v>428</v>
      </c>
      <c r="O103" s="336" t="s">
        <v>429</v>
      </c>
      <c r="P103" s="336" t="s">
        <v>430</v>
      </c>
      <c r="Q103" s="336" t="s">
        <v>431</v>
      </c>
      <c r="R103" s="204" t="s">
        <v>432</v>
      </c>
      <c r="S103" s="204" t="s">
        <v>433</v>
      </c>
      <c r="T103" s="204" t="s">
        <v>434</v>
      </c>
      <c r="U103" s="204" t="s">
        <v>432</v>
      </c>
      <c r="V103" s="204" t="s">
        <v>433</v>
      </c>
      <c r="W103" s="204" t="s">
        <v>434</v>
      </c>
      <c r="X103" s="204" t="str">
        <f t="shared" ref="X103:X121" si="22">U103</f>
        <v>в тыс. руб.</v>
      </c>
      <c r="Y103" s="204" t="str">
        <f t="shared" ref="Y103:Y121" si="23">V103</f>
        <v>темп прироста, %</v>
      </c>
      <c r="Z103" s="204" t="str">
        <f t="shared" ref="Z103:Z121" si="24">W103</f>
        <v>в структуре, %</v>
      </c>
      <c r="AA103" s="204" t="str">
        <f t="shared" ref="AA103:AA121" si="25">X103</f>
        <v>в тыс. руб.</v>
      </c>
      <c r="AB103" s="204" t="str">
        <f t="shared" ref="AB103:AB121" si="26">Y103</f>
        <v>темп прироста, %</v>
      </c>
      <c r="AC103" s="204" t="str">
        <f t="shared" ref="AC103:AC121" si="27">Z103</f>
        <v>в структуре, %</v>
      </c>
      <c r="AD103" s="204" t="str">
        <f t="shared" ref="AD103:AD121" si="28">AA103</f>
        <v>в тыс. руб.</v>
      </c>
      <c r="AE103" s="204" t="str">
        <f t="shared" ref="AE103:AE121" si="29">AB103</f>
        <v>темп прироста, %</v>
      </c>
      <c r="AF103" s="204" t="str">
        <f t="shared" ref="AF103:AF121" si="30">AC103</f>
        <v>в структуре, %</v>
      </c>
      <c r="AG103" s="204" t="str">
        <f t="shared" ref="AG103:AG121" si="31">AD103</f>
        <v>в тыс. руб.</v>
      </c>
      <c r="AH103" s="204" t="str">
        <f t="shared" ref="AH103:AH121" si="32">AE103</f>
        <v>темп прироста, %</v>
      </c>
      <c r="AI103" s="204" t="str">
        <f t="shared" ref="AI103:AI121" si="33">AF103</f>
        <v>в структуре, %</v>
      </c>
      <c r="AJ103" s="204" t="str">
        <f t="shared" ref="AJ103:AJ121" si="34">AG103</f>
        <v>в тыс. руб.</v>
      </c>
      <c r="AK103" s="204" t="str">
        <f t="shared" ref="AK103:AK121" si="35">AH103</f>
        <v>темп прироста, %</v>
      </c>
      <c r="AL103" s="204" t="str">
        <f t="shared" ref="AL103:AL121" si="36">AI103</f>
        <v>в структуре, %</v>
      </c>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c r="EX103" s="201"/>
      <c r="EY103" s="201"/>
      <c r="EZ103" s="201"/>
      <c r="FA103" s="201"/>
      <c r="FB103" s="201"/>
      <c r="FC103" s="201"/>
      <c r="FD103" s="201"/>
      <c r="FE103" s="201"/>
      <c r="FF103" s="201"/>
      <c r="FG103" s="201"/>
      <c r="FH103" s="201"/>
      <c r="FI103" s="201"/>
      <c r="FJ103" s="201"/>
      <c r="FK103" s="201"/>
      <c r="FL103" s="201"/>
      <c r="FM103" s="201"/>
      <c r="FN103" s="201"/>
      <c r="FO103" s="201"/>
      <c r="FP103" s="201"/>
      <c r="FQ103" s="201"/>
      <c r="FR103" s="201"/>
      <c r="FS103" s="201"/>
      <c r="FT103" s="201"/>
      <c r="FU103" s="201"/>
      <c r="FV103" s="201"/>
      <c r="FW103" s="201"/>
      <c r="FX103" s="201"/>
      <c r="FY103" s="201"/>
      <c r="FZ103" s="201"/>
      <c r="GA103" s="201"/>
      <c r="GB103" s="201"/>
      <c r="GC103" s="201"/>
      <c r="GD103" s="201"/>
      <c r="GE103" s="201"/>
      <c r="GF103" s="201"/>
      <c r="GG103" s="201"/>
      <c r="GH103" s="201"/>
      <c r="GI103" s="201"/>
      <c r="GJ103" s="201"/>
      <c r="GK103" s="201"/>
      <c r="GL103" s="201"/>
      <c r="GM103" s="201"/>
      <c r="GN103" s="201"/>
      <c r="GO103" s="201"/>
      <c r="GP103" s="201"/>
      <c r="GQ103" s="201"/>
      <c r="GR103" s="201"/>
      <c r="GS103" s="201"/>
      <c r="GT103" s="201"/>
      <c r="GU103" s="201"/>
      <c r="GV103" s="201"/>
      <c r="GW103" s="201"/>
      <c r="GX103" s="201"/>
      <c r="GY103" s="201"/>
      <c r="GZ103" s="201"/>
      <c r="HA103" s="201"/>
      <c r="HB103" s="201"/>
      <c r="HC103" s="201"/>
      <c r="HD103" s="201"/>
      <c r="HE103" s="201"/>
      <c r="HF103" s="201"/>
      <c r="HG103" s="201"/>
      <c r="HH103" s="201"/>
      <c r="HI103" s="201"/>
      <c r="HJ103" s="201"/>
      <c r="HK103" s="201"/>
      <c r="HL103" s="201"/>
      <c r="HM103" s="201"/>
      <c r="HN103" s="201"/>
      <c r="HO103" s="201"/>
      <c r="HP103" s="201"/>
      <c r="HQ103" s="201"/>
      <c r="HR103" s="201"/>
      <c r="HS103" s="201"/>
      <c r="HT103" s="201"/>
      <c r="HU103" s="201"/>
      <c r="HV103" s="201"/>
      <c r="HW103" s="201"/>
      <c r="HX103" s="201"/>
      <c r="HY103" s="201"/>
      <c r="HZ103" s="201"/>
      <c r="IA103" s="201"/>
      <c r="IB103" s="201"/>
      <c r="IC103" s="201"/>
      <c r="ID103" s="201"/>
      <c r="IE103" s="201"/>
      <c r="IF103" s="201"/>
      <c r="IG103" s="201"/>
      <c r="IH103" s="201"/>
      <c r="II103" s="201"/>
      <c r="IJ103" s="201"/>
      <c r="IK103" s="201"/>
      <c r="IL103" s="201"/>
      <c r="IM103" s="201"/>
      <c r="IN103" s="201"/>
      <c r="IO103" s="201"/>
      <c r="IP103" s="201"/>
      <c r="IQ103" s="201"/>
      <c r="IR103" s="201"/>
      <c r="IS103" s="201"/>
      <c r="IT103" s="201"/>
      <c r="IU103" s="201"/>
    </row>
    <row r="104" spans="1:255" s="359" customFormat="1" ht="13.8" x14ac:dyDescent="0.25">
      <c r="A104" s="361" t="s">
        <v>667</v>
      </c>
      <c r="B104" s="362"/>
      <c r="C104" s="362"/>
      <c r="D104" s="362"/>
      <c r="E104" s="362"/>
      <c r="F104" s="362"/>
      <c r="G104" s="362"/>
      <c r="H104" s="362"/>
      <c r="I104" s="362"/>
      <c r="J104" s="362"/>
      <c r="K104" s="362"/>
      <c r="L104" s="362"/>
      <c r="M104" s="362"/>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row>
    <row r="105" spans="1:255" s="359" customFormat="1" ht="13.8" x14ac:dyDescent="0.25">
      <c r="A105" s="361" t="s">
        <v>668</v>
      </c>
      <c r="B105" s="362"/>
      <c r="C105" s="362"/>
      <c r="D105" s="362"/>
      <c r="E105" s="362"/>
      <c r="F105" s="362"/>
      <c r="G105" s="362"/>
      <c r="H105" s="362"/>
      <c r="I105" s="362"/>
      <c r="J105" s="362"/>
      <c r="K105" s="362"/>
      <c r="L105" s="362"/>
      <c r="M105" s="362"/>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row>
    <row r="106" spans="1:255" s="359" customFormat="1" ht="13.8" x14ac:dyDescent="0.25">
      <c r="A106" s="363" t="s">
        <v>669</v>
      </c>
      <c r="B106" s="362"/>
      <c r="C106" s="362"/>
      <c r="D106" s="362"/>
      <c r="E106" s="362"/>
      <c r="F106" s="362"/>
      <c r="G106" s="362"/>
      <c r="H106" s="362"/>
      <c r="I106" s="362"/>
      <c r="J106" s="362"/>
      <c r="K106" s="362"/>
      <c r="L106" s="362"/>
      <c r="M106" s="362"/>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row>
    <row r="107" spans="1:255" s="359" customFormat="1" ht="13.2" x14ac:dyDescent="0.25">
      <c r="A107" s="360"/>
      <c r="B107" s="364"/>
      <c r="C107" s="364"/>
      <c r="D107" s="364"/>
      <c r="E107" s="364"/>
    </row>
    <row r="108" spans="1:255" s="359" customFormat="1" ht="13.2" x14ac:dyDescent="0.25">
      <c r="A108" s="360" t="s">
        <v>670</v>
      </c>
    </row>
    <row r="109" spans="1:255" s="197" customFormat="1" ht="15.75" customHeight="1" x14ac:dyDescent="0.3">
      <c r="A109" s="423" t="s">
        <v>177</v>
      </c>
      <c r="B109" s="429" t="s">
        <v>421</v>
      </c>
      <c r="C109" s="429"/>
      <c r="D109" s="429"/>
      <c r="E109" s="429"/>
      <c r="F109" s="429"/>
      <c r="G109" s="429"/>
      <c r="H109" s="429"/>
      <c r="I109" s="429"/>
      <c r="J109" s="430" t="s">
        <v>422</v>
      </c>
      <c r="K109" s="430"/>
      <c r="L109" s="430"/>
      <c r="M109" s="430"/>
      <c r="N109" s="430"/>
      <c r="O109" s="430"/>
      <c r="P109" s="430"/>
      <c r="Q109" s="430"/>
      <c r="R109" s="431" t="s">
        <v>423</v>
      </c>
      <c r="S109" s="431"/>
      <c r="T109" s="431"/>
      <c r="U109" s="431"/>
      <c r="V109" s="431"/>
      <c r="W109" s="431"/>
      <c r="X109" s="431"/>
      <c r="Y109" s="431"/>
      <c r="Z109" s="431"/>
      <c r="AA109" s="431"/>
      <c r="AB109" s="431"/>
      <c r="AC109" s="431"/>
      <c r="AD109" s="431"/>
      <c r="AE109" s="431"/>
      <c r="AF109" s="431"/>
      <c r="AG109" s="431"/>
      <c r="AH109" s="431"/>
      <c r="AI109" s="431"/>
      <c r="AJ109" s="431"/>
      <c r="AK109" s="431"/>
      <c r="AL109" s="431"/>
    </row>
    <row r="110" spans="1:255" s="197" customFormat="1" x14ac:dyDescent="0.3">
      <c r="A110" s="424"/>
      <c r="B110" s="429"/>
      <c r="C110" s="429"/>
      <c r="D110" s="429"/>
      <c r="E110" s="429"/>
      <c r="F110" s="429"/>
      <c r="G110" s="429"/>
      <c r="H110" s="429"/>
      <c r="I110" s="429"/>
      <c r="J110" s="430"/>
      <c r="K110" s="430"/>
      <c r="L110" s="430"/>
      <c r="M110" s="430"/>
      <c r="N110" s="430"/>
      <c r="O110" s="430"/>
      <c r="P110" s="430"/>
      <c r="Q110" s="430"/>
      <c r="R110" s="425" t="s">
        <v>320</v>
      </c>
      <c r="S110" s="425"/>
      <c r="T110" s="425"/>
      <c r="U110" s="432" t="s">
        <v>321</v>
      </c>
      <c r="V110" s="432"/>
      <c r="W110" s="432"/>
      <c r="X110" s="432" t="s">
        <v>322</v>
      </c>
      <c r="Y110" s="432"/>
      <c r="Z110" s="432"/>
      <c r="AA110" s="432" t="s">
        <v>323</v>
      </c>
      <c r="AB110" s="432"/>
      <c r="AC110" s="432"/>
      <c r="AD110" s="432" t="s">
        <v>324</v>
      </c>
      <c r="AE110" s="432"/>
      <c r="AF110" s="432"/>
      <c r="AG110" s="433" t="s">
        <v>325</v>
      </c>
      <c r="AH110" s="434"/>
      <c r="AI110" s="435"/>
      <c r="AJ110" s="436" t="s">
        <v>326</v>
      </c>
      <c r="AK110" s="436"/>
      <c r="AL110" s="436"/>
      <c r="AM110" s="201"/>
      <c r="AN110" s="201"/>
      <c r="AO110" s="201"/>
      <c r="AP110" s="201"/>
      <c r="AQ110" s="201"/>
      <c r="AR110" s="201"/>
      <c r="AS110" s="201"/>
      <c r="AT110" s="201"/>
      <c r="AU110" s="201"/>
      <c r="AV110" s="201"/>
      <c r="AW110" s="201"/>
      <c r="AX110" s="201"/>
      <c r="AY110" s="201"/>
      <c r="AZ110" s="201"/>
      <c r="BA110" s="201"/>
      <c r="BB110" s="201"/>
      <c r="BC110" s="201"/>
      <c r="BD110" s="201"/>
      <c r="BE110" s="201"/>
      <c r="BF110" s="201"/>
      <c r="BG110" s="201"/>
      <c r="BH110" s="201"/>
      <c r="BI110" s="201"/>
      <c r="BJ110" s="201"/>
      <c r="BK110" s="201"/>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row>
    <row r="111" spans="1:255" s="197" customFormat="1" ht="31.2" x14ac:dyDescent="0.3">
      <c r="A111" s="425"/>
      <c r="B111" s="336">
        <v>43830</v>
      </c>
      <c r="C111" s="336" t="s">
        <v>425</v>
      </c>
      <c r="D111" s="336" t="s">
        <v>426</v>
      </c>
      <c r="E111" s="336" t="s">
        <v>427</v>
      </c>
      <c r="F111" s="336" t="s">
        <v>428</v>
      </c>
      <c r="G111" s="336" t="s">
        <v>429</v>
      </c>
      <c r="H111" s="336" t="s">
        <v>430</v>
      </c>
      <c r="I111" s="336" t="s">
        <v>431</v>
      </c>
      <c r="J111" s="336">
        <v>43830</v>
      </c>
      <c r="K111" s="336" t="s">
        <v>425</v>
      </c>
      <c r="L111" s="336" t="s">
        <v>426</v>
      </c>
      <c r="M111" s="336" t="s">
        <v>427</v>
      </c>
      <c r="N111" s="336" t="s">
        <v>428</v>
      </c>
      <c r="O111" s="336" t="s">
        <v>429</v>
      </c>
      <c r="P111" s="336" t="s">
        <v>430</v>
      </c>
      <c r="Q111" s="336" t="s">
        <v>431</v>
      </c>
      <c r="R111" s="204" t="s">
        <v>432</v>
      </c>
      <c r="S111" s="204" t="s">
        <v>433</v>
      </c>
      <c r="T111" s="204" t="s">
        <v>434</v>
      </c>
      <c r="U111" s="204" t="s">
        <v>432</v>
      </c>
      <c r="V111" s="204" t="s">
        <v>433</v>
      </c>
      <c r="W111" s="204" t="s">
        <v>434</v>
      </c>
      <c r="X111" s="204" t="str">
        <f t="shared" si="22"/>
        <v>в тыс. руб.</v>
      </c>
      <c r="Y111" s="204" t="str">
        <f t="shared" si="23"/>
        <v>темп прироста, %</v>
      </c>
      <c r="Z111" s="204" t="str">
        <f t="shared" si="24"/>
        <v>в структуре, %</v>
      </c>
      <c r="AA111" s="204" t="str">
        <f t="shared" si="25"/>
        <v>в тыс. руб.</v>
      </c>
      <c r="AB111" s="204" t="str">
        <f t="shared" si="26"/>
        <v>темп прироста, %</v>
      </c>
      <c r="AC111" s="204" t="str">
        <f t="shared" si="27"/>
        <v>в структуре, %</v>
      </c>
      <c r="AD111" s="204" t="str">
        <f t="shared" si="28"/>
        <v>в тыс. руб.</v>
      </c>
      <c r="AE111" s="204" t="str">
        <f t="shared" si="29"/>
        <v>темп прироста, %</v>
      </c>
      <c r="AF111" s="204" t="str">
        <f t="shared" si="30"/>
        <v>в структуре, %</v>
      </c>
      <c r="AG111" s="204" t="str">
        <f t="shared" si="31"/>
        <v>в тыс. руб.</v>
      </c>
      <c r="AH111" s="204" t="str">
        <f t="shared" si="32"/>
        <v>темп прироста, %</v>
      </c>
      <c r="AI111" s="204" t="str">
        <f t="shared" si="33"/>
        <v>в структуре, %</v>
      </c>
      <c r="AJ111" s="204" t="str">
        <f t="shared" si="34"/>
        <v>в тыс. руб.</v>
      </c>
      <c r="AK111" s="204" t="str">
        <f t="shared" si="35"/>
        <v>темп прироста, %</v>
      </c>
      <c r="AL111" s="204" t="str">
        <f t="shared" si="36"/>
        <v>в структуре, %</v>
      </c>
      <c r="AM111" s="201"/>
      <c r="AN111" s="201"/>
      <c r="AO111" s="201"/>
      <c r="AP111" s="201"/>
      <c r="AQ111" s="201"/>
      <c r="AR111" s="201"/>
      <c r="AS111" s="201"/>
      <c r="AT111" s="201"/>
      <c r="AU111" s="201"/>
      <c r="AV111" s="201"/>
      <c r="AW111" s="201"/>
      <c r="AX111" s="201"/>
      <c r="AY111" s="201"/>
      <c r="AZ111" s="201"/>
      <c r="BA111" s="201"/>
      <c r="BB111" s="201"/>
      <c r="BC111" s="201"/>
      <c r="BD111" s="201"/>
      <c r="BE111" s="201"/>
      <c r="BF111" s="201"/>
      <c r="BG111" s="201"/>
      <c r="BH111" s="201"/>
      <c r="BI111" s="201"/>
      <c r="BJ111" s="201"/>
      <c r="BK111" s="201"/>
      <c r="BL111" s="201"/>
      <c r="BM111" s="201"/>
      <c r="BN111" s="201"/>
      <c r="BO111" s="201"/>
      <c r="BP111" s="201"/>
      <c r="BQ111" s="201"/>
      <c r="BR111" s="201"/>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c r="EX111" s="201"/>
      <c r="EY111" s="201"/>
      <c r="EZ111" s="201"/>
      <c r="FA111" s="201"/>
      <c r="FB111" s="201"/>
      <c r="FC111" s="201"/>
      <c r="FD111" s="201"/>
      <c r="FE111" s="201"/>
      <c r="FF111" s="201"/>
      <c r="FG111" s="201"/>
      <c r="FH111" s="201"/>
      <c r="FI111" s="201"/>
      <c r="FJ111" s="201"/>
      <c r="FK111" s="201"/>
      <c r="FL111" s="201"/>
      <c r="FM111" s="201"/>
      <c r="FN111" s="201"/>
      <c r="FO111" s="201"/>
      <c r="FP111" s="201"/>
      <c r="FQ111" s="201"/>
      <c r="FR111" s="201"/>
      <c r="FS111" s="201"/>
      <c r="FT111" s="201"/>
      <c r="FU111" s="201"/>
      <c r="FV111" s="201"/>
      <c r="FW111" s="201"/>
      <c r="FX111" s="201"/>
      <c r="FY111" s="201"/>
      <c r="FZ111" s="201"/>
      <c r="GA111" s="201"/>
      <c r="GB111" s="201"/>
      <c r="GC111" s="201"/>
      <c r="GD111" s="201"/>
      <c r="GE111" s="201"/>
      <c r="GF111" s="201"/>
      <c r="GG111" s="201"/>
      <c r="GH111" s="201"/>
      <c r="GI111" s="201"/>
      <c r="GJ111" s="201"/>
      <c r="GK111" s="201"/>
      <c r="GL111" s="201"/>
      <c r="GM111" s="201"/>
      <c r="GN111" s="201"/>
      <c r="GO111" s="201"/>
      <c r="GP111" s="201"/>
      <c r="GQ111" s="201"/>
      <c r="GR111" s="201"/>
      <c r="GS111" s="201"/>
      <c r="GT111" s="201"/>
      <c r="GU111" s="201"/>
      <c r="GV111" s="201"/>
      <c r="GW111" s="201"/>
      <c r="GX111" s="201"/>
      <c r="GY111" s="201"/>
      <c r="GZ111" s="201"/>
      <c r="HA111" s="201"/>
      <c r="HB111" s="201"/>
      <c r="HC111" s="201"/>
      <c r="HD111" s="201"/>
      <c r="HE111" s="201"/>
      <c r="HF111" s="201"/>
      <c r="HG111" s="201"/>
      <c r="HH111" s="201"/>
      <c r="HI111" s="201"/>
      <c r="HJ111" s="201"/>
      <c r="HK111" s="201"/>
      <c r="HL111" s="201"/>
      <c r="HM111" s="201"/>
      <c r="HN111" s="201"/>
      <c r="HO111" s="201"/>
      <c r="HP111" s="201"/>
      <c r="HQ111" s="201"/>
      <c r="HR111" s="201"/>
      <c r="HS111" s="201"/>
      <c r="HT111" s="201"/>
      <c r="HU111" s="201"/>
      <c r="HV111" s="201"/>
      <c r="HW111" s="201"/>
      <c r="HX111" s="201"/>
      <c r="HY111" s="201"/>
      <c r="HZ111" s="201"/>
      <c r="IA111" s="201"/>
      <c r="IB111" s="201"/>
      <c r="IC111" s="201"/>
      <c r="ID111" s="201"/>
      <c r="IE111" s="201"/>
      <c r="IF111" s="201"/>
      <c r="IG111" s="201"/>
      <c r="IH111" s="201"/>
      <c r="II111" s="201"/>
      <c r="IJ111" s="201"/>
      <c r="IK111" s="201"/>
      <c r="IL111" s="201"/>
      <c r="IM111" s="201"/>
      <c r="IN111" s="201"/>
      <c r="IO111" s="201"/>
      <c r="IP111" s="201"/>
      <c r="IQ111" s="201"/>
      <c r="IR111" s="201"/>
      <c r="IS111" s="201"/>
      <c r="IT111" s="201"/>
      <c r="IU111" s="201"/>
    </row>
    <row r="112" spans="1:255" s="359" customFormat="1" ht="13.8" x14ac:dyDescent="0.25">
      <c r="A112" s="361" t="s">
        <v>671</v>
      </c>
      <c r="B112" s="362"/>
      <c r="C112" s="362"/>
      <c r="D112" s="362"/>
      <c r="E112" s="362"/>
      <c r="F112" s="362"/>
      <c r="G112" s="362"/>
      <c r="H112" s="362"/>
      <c r="I112" s="362"/>
      <c r="J112" s="362"/>
      <c r="K112" s="362"/>
      <c r="L112" s="362"/>
      <c r="M112" s="362"/>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row>
    <row r="113" spans="1:255" s="359" customFormat="1" ht="13.8" x14ac:dyDescent="0.25">
      <c r="A113" s="361" t="s">
        <v>672</v>
      </c>
      <c r="B113" s="362"/>
      <c r="C113" s="362"/>
      <c r="D113" s="362"/>
      <c r="E113" s="362"/>
      <c r="F113" s="362"/>
      <c r="G113" s="362"/>
      <c r="H113" s="362"/>
      <c r="I113" s="362"/>
      <c r="J113" s="362"/>
      <c r="K113" s="362"/>
      <c r="L113" s="362"/>
      <c r="M113" s="362"/>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row>
    <row r="114" spans="1:255" s="359" customFormat="1" ht="13.8" x14ac:dyDescent="0.25">
      <c r="A114" s="361" t="s">
        <v>673</v>
      </c>
      <c r="B114" s="362"/>
      <c r="C114" s="362"/>
      <c r="D114" s="362"/>
      <c r="E114" s="362"/>
      <c r="F114" s="362"/>
      <c r="G114" s="362"/>
      <c r="H114" s="362"/>
      <c r="I114" s="362"/>
      <c r="J114" s="362"/>
      <c r="K114" s="362"/>
      <c r="L114" s="362"/>
      <c r="M114" s="362"/>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row>
    <row r="115" spans="1:255" s="359" customFormat="1" ht="13.8" x14ac:dyDescent="0.25">
      <c r="A115" s="363" t="s">
        <v>663</v>
      </c>
      <c r="B115" s="362"/>
      <c r="C115" s="362"/>
      <c r="D115" s="362"/>
      <c r="E115" s="362"/>
      <c r="F115" s="362"/>
      <c r="G115" s="362"/>
      <c r="H115" s="362"/>
      <c r="I115" s="362"/>
      <c r="J115" s="362"/>
      <c r="K115" s="362"/>
      <c r="L115" s="362"/>
      <c r="M115" s="362"/>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row>
    <row r="116" spans="1:255" s="359" customFormat="1" ht="13.2" x14ac:dyDescent="0.25">
      <c r="A116" s="360"/>
      <c r="B116" s="364"/>
      <c r="C116" s="364"/>
      <c r="D116" s="364"/>
      <c r="E116" s="364"/>
    </row>
    <row r="117" spans="1:255" s="359" customFormat="1" ht="13.2" x14ac:dyDescent="0.25">
      <c r="A117" s="360"/>
    </row>
    <row r="118" spans="1:255" s="359" customFormat="1" ht="13.2" x14ac:dyDescent="0.25">
      <c r="A118" s="360" t="s">
        <v>674</v>
      </c>
    </row>
    <row r="119" spans="1:255" s="197" customFormat="1" ht="15.75" customHeight="1" x14ac:dyDescent="0.3">
      <c r="A119" s="423" t="s">
        <v>177</v>
      </c>
      <c r="B119" s="429" t="s">
        <v>421</v>
      </c>
      <c r="C119" s="429"/>
      <c r="D119" s="429"/>
      <c r="E119" s="429"/>
      <c r="F119" s="429"/>
      <c r="G119" s="429"/>
      <c r="H119" s="429"/>
      <c r="I119" s="429"/>
      <c r="J119" s="430" t="s">
        <v>422</v>
      </c>
      <c r="K119" s="430"/>
      <c r="L119" s="430"/>
      <c r="M119" s="430"/>
      <c r="N119" s="430"/>
      <c r="O119" s="430"/>
      <c r="P119" s="430"/>
      <c r="Q119" s="430"/>
      <c r="R119" s="431" t="s">
        <v>423</v>
      </c>
      <c r="S119" s="431"/>
      <c r="T119" s="431"/>
      <c r="U119" s="431"/>
      <c r="V119" s="431"/>
      <c r="W119" s="431"/>
      <c r="X119" s="431"/>
      <c r="Y119" s="431"/>
      <c r="Z119" s="431"/>
      <c r="AA119" s="431"/>
      <c r="AB119" s="431"/>
      <c r="AC119" s="431"/>
      <c r="AD119" s="431"/>
      <c r="AE119" s="431"/>
      <c r="AF119" s="431"/>
      <c r="AG119" s="431"/>
      <c r="AH119" s="431"/>
      <c r="AI119" s="431"/>
      <c r="AJ119" s="431"/>
      <c r="AK119" s="431"/>
      <c r="AL119" s="431"/>
    </row>
    <row r="120" spans="1:255" s="197" customFormat="1" x14ac:dyDescent="0.3">
      <c r="A120" s="424"/>
      <c r="B120" s="429"/>
      <c r="C120" s="429"/>
      <c r="D120" s="429"/>
      <c r="E120" s="429"/>
      <c r="F120" s="429"/>
      <c r="G120" s="429"/>
      <c r="H120" s="429"/>
      <c r="I120" s="429"/>
      <c r="J120" s="430"/>
      <c r="K120" s="430"/>
      <c r="L120" s="430"/>
      <c r="M120" s="430"/>
      <c r="N120" s="430"/>
      <c r="O120" s="430"/>
      <c r="P120" s="430"/>
      <c r="Q120" s="430"/>
      <c r="R120" s="425" t="s">
        <v>320</v>
      </c>
      <c r="S120" s="425"/>
      <c r="T120" s="425"/>
      <c r="U120" s="432" t="s">
        <v>321</v>
      </c>
      <c r="V120" s="432"/>
      <c r="W120" s="432"/>
      <c r="X120" s="432" t="s">
        <v>322</v>
      </c>
      <c r="Y120" s="432"/>
      <c r="Z120" s="432"/>
      <c r="AA120" s="432" t="s">
        <v>323</v>
      </c>
      <c r="AB120" s="432"/>
      <c r="AC120" s="432"/>
      <c r="AD120" s="432" t="s">
        <v>324</v>
      </c>
      <c r="AE120" s="432"/>
      <c r="AF120" s="432"/>
      <c r="AG120" s="433" t="s">
        <v>325</v>
      </c>
      <c r="AH120" s="434"/>
      <c r="AI120" s="435"/>
      <c r="AJ120" s="436" t="s">
        <v>326</v>
      </c>
      <c r="AK120" s="436"/>
      <c r="AL120" s="436"/>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row>
    <row r="121" spans="1:255" s="197" customFormat="1" ht="31.2" x14ac:dyDescent="0.3">
      <c r="A121" s="425"/>
      <c r="B121" s="336">
        <v>43830</v>
      </c>
      <c r="C121" s="336" t="s">
        <v>425</v>
      </c>
      <c r="D121" s="336" t="s">
        <v>426</v>
      </c>
      <c r="E121" s="336" t="s">
        <v>427</v>
      </c>
      <c r="F121" s="336" t="s">
        <v>428</v>
      </c>
      <c r="G121" s="336" t="s">
        <v>429</v>
      </c>
      <c r="H121" s="336" t="s">
        <v>430</v>
      </c>
      <c r="I121" s="336" t="s">
        <v>431</v>
      </c>
      <c r="J121" s="336">
        <v>43830</v>
      </c>
      <c r="K121" s="336" t="s">
        <v>425</v>
      </c>
      <c r="L121" s="336" t="s">
        <v>426</v>
      </c>
      <c r="M121" s="336" t="s">
        <v>427</v>
      </c>
      <c r="N121" s="336" t="s">
        <v>428</v>
      </c>
      <c r="O121" s="336" t="s">
        <v>429</v>
      </c>
      <c r="P121" s="336" t="s">
        <v>430</v>
      </c>
      <c r="Q121" s="336" t="s">
        <v>431</v>
      </c>
      <c r="R121" s="204" t="s">
        <v>432</v>
      </c>
      <c r="S121" s="204" t="s">
        <v>433</v>
      </c>
      <c r="T121" s="204" t="s">
        <v>434</v>
      </c>
      <c r="U121" s="204" t="s">
        <v>432</v>
      </c>
      <c r="V121" s="204" t="s">
        <v>433</v>
      </c>
      <c r="W121" s="204" t="s">
        <v>434</v>
      </c>
      <c r="X121" s="204" t="str">
        <f t="shared" si="22"/>
        <v>в тыс. руб.</v>
      </c>
      <c r="Y121" s="204" t="str">
        <f t="shared" si="23"/>
        <v>темп прироста, %</v>
      </c>
      <c r="Z121" s="204" t="str">
        <f t="shared" si="24"/>
        <v>в структуре, %</v>
      </c>
      <c r="AA121" s="204" t="str">
        <f t="shared" si="25"/>
        <v>в тыс. руб.</v>
      </c>
      <c r="AB121" s="204" t="str">
        <f t="shared" si="26"/>
        <v>темп прироста, %</v>
      </c>
      <c r="AC121" s="204" t="str">
        <f t="shared" si="27"/>
        <v>в структуре, %</v>
      </c>
      <c r="AD121" s="204" t="str">
        <f t="shared" si="28"/>
        <v>в тыс. руб.</v>
      </c>
      <c r="AE121" s="204" t="str">
        <f t="shared" si="29"/>
        <v>темп прироста, %</v>
      </c>
      <c r="AF121" s="204" t="str">
        <f t="shared" si="30"/>
        <v>в структуре, %</v>
      </c>
      <c r="AG121" s="204" t="str">
        <f t="shared" si="31"/>
        <v>в тыс. руб.</v>
      </c>
      <c r="AH121" s="204" t="str">
        <f t="shared" si="32"/>
        <v>темп прироста, %</v>
      </c>
      <c r="AI121" s="204" t="str">
        <f t="shared" si="33"/>
        <v>в структуре, %</v>
      </c>
      <c r="AJ121" s="204" t="str">
        <f t="shared" si="34"/>
        <v>в тыс. руб.</v>
      </c>
      <c r="AK121" s="204" t="str">
        <f t="shared" si="35"/>
        <v>темп прироста, %</v>
      </c>
      <c r="AL121" s="204" t="str">
        <f t="shared" si="36"/>
        <v>в структуре, %</v>
      </c>
      <c r="AM121" s="201"/>
      <c r="AN121" s="201"/>
      <c r="AO121" s="201"/>
      <c r="AP121" s="201"/>
      <c r="AQ121" s="201"/>
      <c r="AR121" s="201"/>
      <c r="AS121" s="201"/>
      <c r="AT121" s="201"/>
      <c r="AU121" s="201"/>
      <c r="AV121" s="201"/>
      <c r="AW121" s="201"/>
      <c r="AX121" s="201"/>
      <c r="AY121" s="201"/>
      <c r="AZ121" s="201"/>
      <c r="BA121" s="201"/>
      <c r="BB121" s="201"/>
      <c r="BC121" s="201"/>
      <c r="BD121" s="201"/>
      <c r="BE121" s="201"/>
      <c r="BF121" s="201"/>
      <c r="BG121" s="201"/>
      <c r="BH121" s="201"/>
      <c r="BI121" s="201"/>
      <c r="BJ121" s="201"/>
      <c r="BK121" s="201"/>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row>
    <row r="122" spans="1:255" s="359" customFormat="1" ht="13.8" x14ac:dyDescent="0.25">
      <c r="A122" s="361" t="s">
        <v>671</v>
      </c>
      <c r="B122" s="362"/>
      <c r="C122" s="362"/>
      <c r="D122" s="362"/>
      <c r="E122" s="362"/>
      <c r="F122" s="362"/>
      <c r="G122" s="362"/>
      <c r="H122" s="362"/>
      <c r="I122" s="362"/>
      <c r="J122" s="362"/>
      <c r="K122" s="362"/>
      <c r="L122" s="362"/>
      <c r="M122" s="362"/>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row>
    <row r="123" spans="1:255" s="359" customFormat="1" ht="13.8" x14ac:dyDescent="0.25">
      <c r="A123" s="361" t="s">
        <v>672</v>
      </c>
      <c r="B123" s="362"/>
      <c r="C123" s="362"/>
      <c r="D123" s="362"/>
      <c r="E123" s="362"/>
      <c r="F123" s="362"/>
      <c r="G123" s="362"/>
      <c r="H123" s="362"/>
      <c r="I123" s="362"/>
      <c r="J123" s="362"/>
      <c r="K123" s="362"/>
      <c r="L123" s="362"/>
      <c r="M123" s="362"/>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row>
    <row r="124" spans="1:255" s="359" customFormat="1" ht="13.8" x14ac:dyDescent="0.25">
      <c r="A124" s="361" t="s">
        <v>673</v>
      </c>
      <c r="B124" s="362"/>
      <c r="C124" s="362"/>
      <c r="D124" s="362"/>
      <c r="E124" s="362"/>
      <c r="F124" s="362"/>
      <c r="G124" s="362"/>
      <c r="H124" s="362"/>
      <c r="I124" s="362"/>
      <c r="J124" s="362"/>
      <c r="K124" s="362"/>
      <c r="L124" s="362"/>
      <c r="M124" s="362"/>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row>
    <row r="125" spans="1:255" s="359" customFormat="1" ht="13.8" x14ac:dyDescent="0.25">
      <c r="A125" s="363" t="s">
        <v>665</v>
      </c>
      <c r="B125" s="362"/>
      <c r="C125" s="362"/>
      <c r="D125" s="362"/>
      <c r="E125" s="362"/>
      <c r="F125" s="362"/>
      <c r="G125" s="362"/>
      <c r="H125" s="362"/>
      <c r="I125" s="362"/>
      <c r="J125" s="362"/>
      <c r="K125" s="362"/>
      <c r="L125" s="362"/>
      <c r="M125" s="362"/>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row>
  </sheetData>
  <mergeCells count="124">
    <mergeCell ref="J119:Q120"/>
    <mergeCell ref="R119:AL119"/>
    <mergeCell ref="R120:T120"/>
    <mergeCell ref="U120:W120"/>
    <mergeCell ref="X120:Z120"/>
    <mergeCell ref="AA120:AC120"/>
    <mergeCell ref="AD120:AF120"/>
    <mergeCell ref="AG120:AI120"/>
    <mergeCell ref="AJ120:AL120"/>
    <mergeCell ref="J109:Q110"/>
    <mergeCell ref="R109:AL109"/>
    <mergeCell ref="R110:T110"/>
    <mergeCell ref="U110:W110"/>
    <mergeCell ref="X110:Z110"/>
    <mergeCell ref="AA110:AC110"/>
    <mergeCell ref="AD110:AF110"/>
    <mergeCell ref="AG110:AI110"/>
    <mergeCell ref="AJ110:AL110"/>
    <mergeCell ref="J101:Q102"/>
    <mergeCell ref="R101:AL101"/>
    <mergeCell ref="R102:T102"/>
    <mergeCell ref="U102:W102"/>
    <mergeCell ref="X102:Z102"/>
    <mergeCell ref="AA102:AC102"/>
    <mergeCell ref="AD102:AF102"/>
    <mergeCell ref="AG102:AI102"/>
    <mergeCell ref="AJ102:AL102"/>
    <mergeCell ref="J93:Q94"/>
    <mergeCell ref="R93:AL93"/>
    <mergeCell ref="R94:T94"/>
    <mergeCell ref="U94:W94"/>
    <mergeCell ref="X94:Z94"/>
    <mergeCell ref="AA94:AC94"/>
    <mergeCell ref="AD94:AF94"/>
    <mergeCell ref="AG94:AI94"/>
    <mergeCell ref="AJ94:AL94"/>
    <mergeCell ref="J84:Q85"/>
    <mergeCell ref="R84:AL84"/>
    <mergeCell ref="R85:T85"/>
    <mergeCell ref="U85:W85"/>
    <mergeCell ref="X85:Z85"/>
    <mergeCell ref="AA85:AC85"/>
    <mergeCell ref="AD85:AF85"/>
    <mergeCell ref="AG85:AI85"/>
    <mergeCell ref="AJ85:AL85"/>
    <mergeCell ref="A84:A86"/>
    <mergeCell ref="B84:I85"/>
    <mergeCell ref="A93:A95"/>
    <mergeCell ref="B93:I94"/>
    <mergeCell ref="A101:A103"/>
    <mergeCell ref="B101:I102"/>
    <mergeCell ref="A109:A111"/>
    <mergeCell ref="B109:I110"/>
    <mergeCell ref="A119:A121"/>
    <mergeCell ref="B119:I120"/>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4:A6"/>
    <mergeCell ref="R5:T5"/>
    <mergeCell ref="U5:W5"/>
    <mergeCell ref="X5:Z5"/>
    <mergeCell ref="AA5:AC5"/>
    <mergeCell ref="B4:I5"/>
    <mergeCell ref="J4:Q5"/>
    <mergeCell ref="R4:AL4"/>
    <mergeCell ref="AG5:AI5"/>
    <mergeCell ref="AJ5:AL5"/>
    <mergeCell ref="AD5:AF5"/>
    <mergeCell ref="X26:Z26"/>
    <mergeCell ref="AA26:AC26"/>
    <mergeCell ref="R40:AL40"/>
    <mergeCell ref="R41:T41"/>
    <mergeCell ref="U41:W41"/>
    <mergeCell ref="X41:Z41"/>
    <mergeCell ref="AA41:AC41"/>
    <mergeCell ref="AD26:AF26"/>
    <mergeCell ref="R25:AL25"/>
    <mergeCell ref="AG26:AI26"/>
    <mergeCell ref="AJ26:AL26"/>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K53"/>
  <sheetViews>
    <sheetView zoomScale="60" workbookViewId="0">
      <selection activeCell="O37" sqref="O37"/>
    </sheetView>
  </sheetViews>
  <sheetFormatPr defaultRowHeight="15.6" x14ac:dyDescent="0.3"/>
  <cols>
    <col min="1" max="1" width="55.6640625" style="64" customWidth="1"/>
    <col min="2" max="8" width="18.6640625" style="64" customWidth="1"/>
    <col min="9" max="9" width="12.109375" style="64" customWidth="1"/>
    <col min="10" max="256" width="9.109375" style="64"/>
    <col min="257" max="257" width="28.5546875" style="64" customWidth="1"/>
    <col min="258" max="258" width="17.5546875" style="64" customWidth="1"/>
    <col min="259" max="259" width="17" style="64" customWidth="1"/>
    <col min="260" max="260" width="19.109375" style="64" customWidth="1"/>
    <col min="261" max="261" width="16.33203125" style="64" customWidth="1"/>
    <col min="262" max="262" width="11.6640625" style="64" bestFit="1" customWidth="1"/>
    <col min="263" max="264" width="10.44140625" style="64" bestFit="1" customWidth="1"/>
    <col min="265" max="265" width="12.109375" style="64" customWidth="1"/>
    <col min="266" max="512" width="9.109375" style="64"/>
    <col min="513" max="513" width="28.5546875" style="64" customWidth="1"/>
    <col min="514" max="514" width="17.5546875" style="64" customWidth="1"/>
    <col min="515" max="515" width="17" style="64" customWidth="1"/>
    <col min="516" max="516" width="19.109375" style="64" customWidth="1"/>
    <col min="517" max="517" width="16.33203125" style="64" customWidth="1"/>
    <col min="518" max="518" width="11.6640625" style="64" bestFit="1" customWidth="1"/>
    <col min="519" max="520" width="10.44140625" style="64" bestFit="1" customWidth="1"/>
    <col min="521" max="521" width="12.109375" style="64" customWidth="1"/>
    <col min="522" max="768" width="9.109375" style="64"/>
    <col min="769" max="769" width="28.5546875" style="64" customWidth="1"/>
    <col min="770" max="770" width="17.5546875" style="64" customWidth="1"/>
    <col min="771" max="771" width="17" style="64" customWidth="1"/>
    <col min="772" max="772" width="19.109375" style="64" customWidth="1"/>
    <col min="773" max="773" width="16.33203125" style="64" customWidth="1"/>
    <col min="774" max="774" width="11.6640625" style="64" bestFit="1" customWidth="1"/>
    <col min="775" max="776" width="10.44140625" style="64" bestFit="1" customWidth="1"/>
    <col min="777" max="777" width="12.109375" style="64" customWidth="1"/>
    <col min="778" max="1024" width="9.109375" style="64"/>
    <col min="1025" max="1025" width="28.5546875" style="64" customWidth="1"/>
    <col min="1026" max="1026" width="17.5546875" style="64" customWidth="1"/>
    <col min="1027" max="1027" width="17" style="64" customWidth="1"/>
    <col min="1028" max="1028" width="19.109375" style="64" customWidth="1"/>
    <col min="1029" max="1029" width="16.33203125" style="64" customWidth="1"/>
    <col min="1030" max="1030" width="11.6640625" style="64" bestFit="1" customWidth="1"/>
    <col min="1031" max="1032" width="10.44140625" style="64" bestFit="1" customWidth="1"/>
    <col min="1033" max="1033" width="12.109375" style="64" customWidth="1"/>
    <col min="1034" max="1280" width="9.109375" style="64"/>
    <col min="1281" max="1281" width="28.5546875" style="64" customWidth="1"/>
    <col min="1282" max="1282" width="17.5546875" style="64" customWidth="1"/>
    <col min="1283" max="1283" width="17" style="64" customWidth="1"/>
    <col min="1284" max="1284" width="19.109375" style="64" customWidth="1"/>
    <col min="1285" max="1285" width="16.33203125" style="64" customWidth="1"/>
    <col min="1286" max="1286" width="11.6640625" style="64" bestFit="1" customWidth="1"/>
    <col min="1287" max="1288" width="10.44140625" style="64" bestFit="1" customWidth="1"/>
    <col min="1289" max="1289" width="12.109375" style="64" customWidth="1"/>
    <col min="1290" max="1536" width="9.109375" style="64"/>
    <col min="1537" max="1537" width="28.5546875" style="64" customWidth="1"/>
    <col min="1538" max="1538" width="17.5546875" style="64" customWidth="1"/>
    <col min="1539" max="1539" width="17" style="64" customWidth="1"/>
    <col min="1540" max="1540" width="19.109375" style="64" customWidth="1"/>
    <col min="1541" max="1541" width="16.33203125" style="64" customWidth="1"/>
    <col min="1542" max="1542" width="11.6640625" style="64" bestFit="1" customWidth="1"/>
    <col min="1543" max="1544" width="10.44140625" style="64" bestFit="1" customWidth="1"/>
    <col min="1545" max="1545" width="12.109375" style="64" customWidth="1"/>
    <col min="1546" max="1792" width="9.109375" style="64"/>
    <col min="1793" max="1793" width="28.5546875" style="64" customWidth="1"/>
    <col min="1794" max="1794" width="17.5546875" style="64" customWidth="1"/>
    <col min="1795" max="1795" width="17" style="64" customWidth="1"/>
    <col min="1796" max="1796" width="19.109375" style="64" customWidth="1"/>
    <col min="1797" max="1797" width="16.33203125" style="64" customWidth="1"/>
    <col min="1798" max="1798" width="11.6640625" style="64" bestFit="1" customWidth="1"/>
    <col min="1799" max="1800" width="10.44140625" style="64" bestFit="1" customWidth="1"/>
    <col min="1801" max="1801" width="12.109375" style="64" customWidth="1"/>
    <col min="1802" max="2048" width="9.109375" style="64"/>
    <col min="2049" max="2049" width="28.5546875" style="64" customWidth="1"/>
    <col min="2050" max="2050" width="17.5546875" style="64" customWidth="1"/>
    <col min="2051" max="2051" width="17" style="64" customWidth="1"/>
    <col min="2052" max="2052" width="19.109375" style="64" customWidth="1"/>
    <col min="2053" max="2053" width="16.33203125" style="64" customWidth="1"/>
    <col min="2054" max="2054" width="11.6640625" style="64" bestFit="1" customWidth="1"/>
    <col min="2055" max="2056" width="10.44140625" style="64" bestFit="1" customWidth="1"/>
    <col min="2057" max="2057" width="12.109375" style="64" customWidth="1"/>
    <col min="2058" max="2304" width="9.109375" style="64"/>
    <col min="2305" max="2305" width="28.5546875" style="64" customWidth="1"/>
    <col min="2306" max="2306" width="17.5546875" style="64" customWidth="1"/>
    <col min="2307" max="2307" width="17" style="64" customWidth="1"/>
    <col min="2308" max="2308" width="19.109375" style="64" customWidth="1"/>
    <col min="2309" max="2309" width="16.33203125" style="64" customWidth="1"/>
    <col min="2310" max="2310" width="11.6640625" style="64" bestFit="1" customWidth="1"/>
    <col min="2311" max="2312" width="10.44140625" style="64" bestFit="1" customWidth="1"/>
    <col min="2313" max="2313" width="12.109375" style="64" customWidth="1"/>
    <col min="2314" max="2560" width="9.109375" style="64"/>
    <col min="2561" max="2561" width="28.5546875" style="64" customWidth="1"/>
    <col min="2562" max="2562" width="17.5546875" style="64" customWidth="1"/>
    <col min="2563" max="2563" width="17" style="64" customWidth="1"/>
    <col min="2564" max="2564" width="19.109375" style="64" customWidth="1"/>
    <col min="2565" max="2565" width="16.33203125" style="64" customWidth="1"/>
    <col min="2566" max="2566" width="11.6640625" style="64" bestFit="1" customWidth="1"/>
    <col min="2567" max="2568" width="10.44140625" style="64" bestFit="1" customWidth="1"/>
    <col min="2569" max="2569" width="12.109375" style="64" customWidth="1"/>
    <col min="2570" max="2816" width="9.109375" style="64"/>
    <col min="2817" max="2817" width="28.5546875" style="64" customWidth="1"/>
    <col min="2818" max="2818" width="17.5546875" style="64" customWidth="1"/>
    <col min="2819" max="2819" width="17" style="64" customWidth="1"/>
    <col min="2820" max="2820" width="19.109375" style="64" customWidth="1"/>
    <col min="2821" max="2821" width="16.33203125" style="64" customWidth="1"/>
    <col min="2822" max="2822" width="11.6640625" style="64" bestFit="1" customWidth="1"/>
    <col min="2823" max="2824" width="10.44140625" style="64" bestFit="1" customWidth="1"/>
    <col min="2825" max="2825" width="12.109375" style="64" customWidth="1"/>
    <col min="2826" max="3072" width="9.109375" style="64"/>
    <col min="3073" max="3073" width="28.5546875" style="64" customWidth="1"/>
    <col min="3074" max="3074" width="17.5546875" style="64" customWidth="1"/>
    <col min="3075" max="3075" width="17" style="64" customWidth="1"/>
    <col min="3076" max="3076" width="19.109375" style="64" customWidth="1"/>
    <col min="3077" max="3077" width="16.33203125" style="64" customWidth="1"/>
    <col min="3078" max="3078" width="11.6640625" style="64" bestFit="1" customWidth="1"/>
    <col min="3079" max="3080" width="10.44140625" style="64" bestFit="1" customWidth="1"/>
    <col min="3081" max="3081" width="12.109375" style="64" customWidth="1"/>
    <col min="3082" max="3328" width="9.109375" style="64"/>
    <col min="3329" max="3329" width="28.5546875" style="64" customWidth="1"/>
    <col min="3330" max="3330" width="17.5546875" style="64" customWidth="1"/>
    <col min="3331" max="3331" width="17" style="64" customWidth="1"/>
    <col min="3332" max="3332" width="19.109375" style="64" customWidth="1"/>
    <col min="3333" max="3333" width="16.33203125" style="64" customWidth="1"/>
    <col min="3334" max="3334" width="11.6640625" style="64" bestFit="1" customWidth="1"/>
    <col min="3335" max="3336" width="10.44140625" style="64" bestFit="1" customWidth="1"/>
    <col min="3337" max="3337" width="12.109375" style="64" customWidth="1"/>
    <col min="3338" max="3584" width="9.109375" style="64"/>
    <col min="3585" max="3585" width="28.5546875" style="64" customWidth="1"/>
    <col min="3586" max="3586" width="17.5546875" style="64" customWidth="1"/>
    <col min="3587" max="3587" width="17" style="64" customWidth="1"/>
    <col min="3588" max="3588" width="19.109375" style="64" customWidth="1"/>
    <col min="3589" max="3589" width="16.33203125" style="64" customWidth="1"/>
    <col min="3590" max="3590" width="11.6640625" style="64" bestFit="1" customWidth="1"/>
    <col min="3591" max="3592" width="10.44140625" style="64" bestFit="1" customWidth="1"/>
    <col min="3593" max="3593" width="12.109375" style="64" customWidth="1"/>
    <col min="3594" max="3840" width="9.109375" style="64"/>
    <col min="3841" max="3841" width="28.5546875" style="64" customWidth="1"/>
    <col min="3842" max="3842" width="17.5546875" style="64" customWidth="1"/>
    <col min="3843" max="3843" width="17" style="64" customWidth="1"/>
    <col min="3844" max="3844" width="19.109375" style="64" customWidth="1"/>
    <col min="3845" max="3845" width="16.33203125" style="64" customWidth="1"/>
    <col min="3846" max="3846" width="11.6640625" style="64" bestFit="1" customWidth="1"/>
    <col min="3847" max="3848" width="10.44140625" style="64" bestFit="1" customWidth="1"/>
    <col min="3849" max="3849" width="12.109375" style="64" customWidth="1"/>
    <col min="3850" max="4096" width="9.109375" style="64"/>
    <col min="4097" max="4097" width="28.5546875" style="64" customWidth="1"/>
    <col min="4098" max="4098" width="17.5546875" style="64" customWidth="1"/>
    <col min="4099" max="4099" width="17" style="64" customWidth="1"/>
    <col min="4100" max="4100" width="19.109375" style="64" customWidth="1"/>
    <col min="4101" max="4101" width="16.33203125" style="64" customWidth="1"/>
    <col min="4102" max="4102" width="11.6640625" style="64" bestFit="1" customWidth="1"/>
    <col min="4103" max="4104" width="10.44140625" style="64" bestFit="1" customWidth="1"/>
    <col min="4105" max="4105" width="12.109375" style="64" customWidth="1"/>
    <col min="4106" max="4352" width="9.109375" style="64"/>
    <col min="4353" max="4353" width="28.5546875" style="64" customWidth="1"/>
    <col min="4354" max="4354" width="17.5546875" style="64" customWidth="1"/>
    <col min="4355" max="4355" width="17" style="64" customWidth="1"/>
    <col min="4356" max="4356" width="19.109375" style="64" customWidth="1"/>
    <col min="4357" max="4357" width="16.33203125" style="64" customWidth="1"/>
    <col min="4358" max="4358" width="11.6640625" style="64" bestFit="1" customWidth="1"/>
    <col min="4359" max="4360" width="10.44140625" style="64" bestFit="1" customWidth="1"/>
    <col min="4361" max="4361" width="12.109375" style="64" customWidth="1"/>
    <col min="4362" max="4608" width="9.109375" style="64"/>
    <col min="4609" max="4609" width="28.5546875" style="64" customWidth="1"/>
    <col min="4610" max="4610" width="17.5546875" style="64" customWidth="1"/>
    <col min="4611" max="4611" width="17" style="64" customWidth="1"/>
    <col min="4612" max="4612" width="19.109375" style="64" customWidth="1"/>
    <col min="4613" max="4613" width="16.33203125" style="64" customWidth="1"/>
    <col min="4614" max="4614" width="11.6640625" style="64" bestFit="1" customWidth="1"/>
    <col min="4615" max="4616" width="10.44140625" style="64" bestFit="1" customWidth="1"/>
    <col min="4617" max="4617" width="12.109375" style="64" customWidth="1"/>
    <col min="4618" max="4864" width="9.109375" style="64"/>
    <col min="4865" max="4865" width="28.5546875" style="64" customWidth="1"/>
    <col min="4866" max="4866" width="17.5546875" style="64" customWidth="1"/>
    <col min="4867" max="4867" width="17" style="64" customWidth="1"/>
    <col min="4868" max="4868" width="19.109375" style="64" customWidth="1"/>
    <col min="4869" max="4869" width="16.33203125" style="64" customWidth="1"/>
    <col min="4870" max="4870" width="11.6640625" style="64" bestFit="1" customWidth="1"/>
    <col min="4871" max="4872" width="10.44140625" style="64" bestFit="1" customWidth="1"/>
    <col min="4873" max="4873" width="12.109375" style="64" customWidth="1"/>
    <col min="4874" max="5120" width="9.109375" style="64"/>
    <col min="5121" max="5121" width="28.5546875" style="64" customWidth="1"/>
    <col min="5122" max="5122" width="17.5546875" style="64" customWidth="1"/>
    <col min="5123" max="5123" width="17" style="64" customWidth="1"/>
    <col min="5124" max="5124" width="19.109375" style="64" customWidth="1"/>
    <col min="5125" max="5125" width="16.33203125" style="64" customWidth="1"/>
    <col min="5126" max="5126" width="11.6640625" style="64" bestFit="1" customWidth="1"/>
    <col min="5127" max="5128" width="10.44140625" style="64" bestFit="1" customWidth="1"/>
    <col min="5129" max="5129" width="12.109375" style="64" customWidth="1"/>
    <col min="5130" max="5376" width="9.109375" style="64"/>
    <col min="5377" max="5377" width="28.5546875" style="64" customWidth="1"/>
    <col min="5378" max="5378" width="17.5546875" style="64" customWidth="1"/>
    <col min="5379" max="5379" width="17" style="64" customWidth="1"/>
    <col min="5380" max="5380" width="19.109375" style="64" customWidth="1"/>
    <col min="5381" max="5381" width="16.33203125" style="64" customWidth="1"/>
    <col min="5382" max="5382" width="11.6640625" style="64" bestFit="1" customWidth="1"/>
    <col min="5383" max="5384" width="10.44140625" style="64" bestFit="1" customWidth="1"/>
    <col min="5385" max="5385" width="12.109375" style="64" customWidth="1"/>
    <col min="5386" max="5632" width="9.109375" style="64"/>
    <col min="5633" max="5633" width="28.5546875" style="64" customWidth="1"/>
    <col min="5634" max="5634" width="17.5546875" style="64" customWidth="1"/>
    <col min="5635" max="5635" width="17" style="64" customWidth="1"/>
    <col min="5636" max="5636" width="19.109375" style="64" customWidth="1"/>
    <col min="5637" max="5637" width="16.33203125" style="64" customWidth="1"/>
    <col min="5638" max="5638" width="11.6640625" style="64" bestFit="1" customWidth="1"/>
    <col min="5639" max="5640" width="10.44140625" style="64" bestFit="1" customWidth="1"/>
    <col min="5641" max="5641" width="12.109375" style="64" customWidth="1"/>
    <col min="5642" max="5888" width="9.109375" style="64"/>
    <col min="5889" max="5889" width="28.5546875" style="64" customWidth="1"/>
    <col min="5890" max="5890" width="17.5546875" style="64" customWidth="1"/>
    <col min="5891" max="5891" width="17" style="64" customWidth="1"/>
    <col min="5892" max="5892" width="19.109375" style="64" customWidth="1"/>
    <col min="5893" max="5893" width="16.33203125" style="64" customWidth="1"/>
    <col min="5894" max="5894" width="11.6640625" style="64" bestFit="1" customWidth="1"/>
    <col min="5895" max="5896" width="10.44140625" style="64" bestFit="1" customWidth="1"/>
    <col min="5897" max="5897" width="12.109375" style="64" customWidth="1"/>
    <col min="5898" max="6144" width="9.109375" style="64"/>
    <col min="6145" max="6145" width="28.5546875" style="64" customWidth="1"/>
    <col min="6146" max="6146" width="17.5546875" style="64" customWidth="1"/>
    <col min="6147" max="6147" width="17" style="64" customWidth="1"/>
    <col min="6148" max="6148" width="19.109375" style="64" customWidth="1"/>
    <col min="6149" max="6149" width="16.33203125" style="64" customWidth="1"/>
    <col min="6150" max="6150" width="11.6640625" style="64" bestFit="1" customWidth="1"/>
    <col min="6151" max="6152" width="10.44140625" style="64" bestFit="1" customWidth="1"/>
    <col min="6153" max="6153" width="12.109375" style="64" customWidth="1"/>
    <col min="6154" max="6400" width="9.109375" style="64"/>
    <col min="6401" max="6401" width="28.5546875" style="64" customWidth="1"/>
    <col min="6402" max="6402" width="17.5546875" style="64" customWidth="1"/>
    <col min="6403" max="6403" width="17" style="64" customWidth="1"/>
    <col min="6404" max="6404" width="19.109375" style="64" customWidth="1"/>
    <col min="6405" max="6405" width="16.33203125" style="64" customWidth="1"/>
    <col min="6406" max="6406" width="11.6640625" style="64" bestFit="1" customWidth="1"/>
    <col min="6407" max="6408" width="10.44140625" style="64" bestFit="1" customWidth="1"/>
    <col min="6409" max="6409" width="12.109375" style="64" customWidth="1"/>
    <col min="6410" max="6656" width="9.109375" style="64"/>
    <col min="6657" max="6657" width="28.5546875" style="64" customWidth="1"/>
    <col min="6658" max="6658" width="17.5546875" style="64" customWidth="1"/>
    <col min="6659" max="6659" width="17" style="64" customWidth="1"/>
    <col min="6660" max="6660" width="19.109375" style="64" customWidth="1"/>
    <col min="6661" max="6661" width="16.33203125" style="64" customWidth="1"/>
    <col min="6662" max="6662" width="11.6640625" style="64" bestFit="1" customWidth="1"/>
    <col min="6663" max="6664" width="10.44140625" style="64" bestFit="1" customWidth="1"/>
    <col min="6665" max="6665" width="12.109375" style="64" customWidth="1"/>
    <col min="6666" max="6912" width="9.109375" style="64"/>
    <col min="6913" max="6913" width="28.5546875" style="64" customWidth="1"/>
    <col min="6914" max="6914" width="17.5546875" style="64" customWidth="1"/>
    <col min="6915" max="6915" width="17" style="64" customWidth="1"/>
    <col min="6916" max="6916" width="19.109375" style="64" customWidth="1"/>
    <col min="6917" max="6917" width="16.33203125" style="64" customWidth="1"/>
    <col min="6918" max="6918" width="11.6640625" style="64" bestFit="1" customWidth="1"/>
    <col min="6919" max="6920" width="10.44140625" style="64" bestFit="1" customWidth="1"/>
    <col min="6921" max="6921" width="12.109375" style="64" customWidth="1"/>
    <col min="6922" max="7168" width="9.109375" style="64"/>
    <col min="7169" max="7169" width="28.5546875" style="64" customWidth="1"/>
    <col min="7170" max="7170" width="17.5546875" style="64" customWidth="1"/>
    <col min="7171" max="7171" width="17" style="64" customWidth="1"/>
    <col min="7172" max="7172" width="19.109375" style="64" customWidth="1"/>
    <col min="7173" max="7173" width="16.33203125" style="64" customWidth="1"/>
    <col min="7174" max="7174" width="11.6640625" style="64" bestFit="1" customWidth="1"/>
    <col min="7175" max="7176" width="10.44140625" style="64" bestFit="1" customWidth="1"/>
    <col min="7177" max="7177" width="12.109375" style="64" customWidth="1"/>
    <col min="7178" max="7424" width="9.109375" style="64"/>
    <col min="7425" max="7425" width="28.5546875" style="64" customWidth="1"/>
    <col min="7426" max="7426" width="17.5546875" style="64" customWidth="1"/>
    <col min="7427" max="7427" width="17" style="64" customWidth="1"/>
    <col min="7428" max="7428" width="19.109375" style="64" customWidth="1"/>
    <col min="7429" max="7429" width="16.33203125" style="64" customWidth="1"/>
    <col min="7430" max="7430" width="11.6640625" style="64" bestFit="1" customWidth="1"/>
    <col min="7431" max="7432" width="10.44140625" style="64" bestFit="1" customWidth="1"/>
    <col min="7433" max="7433" width="12.109375" style="64" customWidth="1"/>
    <col min="7434" max="7680" width="9.109375" style="64"/>
    <col min="7681" max="7681" width="28.5546875" style="64" customWidth="1"/>
    <col min="7682" max="7682" width="17.5546875" style="64" customWidth="1"/>
    <col min="7683" max="7683" width="17" style="64" customWidth="1"/>
    <col min="7684" max="7684" width="19.109375" style="64" customWidth="1"/>
    <col min="7685" max="7685" width="16.33203125" style="64" customWidth="1"/>
    <col min="7686" max="7686" width="11.6640625" style="64" bestFit="1" customWidth="1"/>
    <col min="7687" max="7688" width="10.44140625" style="64" bestFit="1" customWidth="1"/>
    <col min="7689" max="7689" width="12.109375" style="64" customWidth="1"/>
    <col min="7690" max="7936" width="9.109375" style="64"/>
    <col min="7937" max="7937" width="28.5546875" style="64" customWidth="1"/>
    <col min="7938" max="7938" width="17.5546875" style="64" customWidth="1"/>
    <col min="7939" max="7939" width="17" style="64" customWidth="1"/>
    <col min="7940" max="7940" width="19.109375" style="64" customWidth="1"/>
    <col min="7941" max="7941" width="16.33203125" style="64" customWidth="1"/>
    <col min="7942" max="7942" width="11.6640625" style="64" bestFit="1" customWidth="1"/>
    <col min="7943" max="7944" width="10.44140625" style="64" bestFit="1" customWidth="1"/>
    <col min="7945" max="7945" width="12.109375" style="64" customWidth="1"/>
    <col min="7946" max="8192" width="9.109375" style="64"/>
    <col min="8193" max="8193" width="28.5546875" style="64" customWidth="1"/>
    <col min="8194" max="8194" width="17.5546875" style="64" customWidth="1"/>
    <col min="8195" max="8195" width="17" style="64" customWidth="1"/>
    <col min="8196" max="8196" width="19.109375" style="64" customWidth="1"/>
    <col min="8197" max="8197" width="16.33203125" style="64" customWidth="1"/>
    <col min="8198" max="8198" width="11.6640625" style="64" bestFit="1" customWidth="1"/>
    <col min="8199" max="8200" width="10.44140625" style="64" bestFit="1" customWidth="1"/>
    <col min="8201" max="8201" width="12.109375" style="64" customWidth="1"/>
    <col min="8202" max="8448" width="9.109375" style="64"/>
    <col min="8449" max="8449" width="28.5546875" style="64" customWidth="1"/>
    <col min="8450" max="8450" width="17.5546875" style="64" customWidth="1"/>
    <col min="8451" max="8451" width="17" style="64" customWidth="1"/>
    <col min="8452" max="8452" width="19.109375" style="64" customWidth="1"/>
    <col min="8453" max="8453" width="16.33203125" style="64" customWidth="1"/>
    <col min="8454" max="8454" width="11.6640625" style="64" bestFit="1" customWidth="1"/>
    <col min="8455" max="8456" width="10.44140625" style="64" bestFit="1" customWidth="1"/>
    <col min="8457" max="8457" width="12.109375" style="64" customWidth="1"/>
    <col min="8458" max="8704" width="9.109375" style="64"/>
    <col min="8705" max="8705" width="28.5546875" style="64" customWidth="1"/>
    <col min="8706" max="8706" width="17.5546875" style="64" customWidth="1"/>
    <col min="8707" max="8707" width="17" style="64" customWidth="1"/>
    <col min="8708" max="8708" width="19.109375" style="64" customWidth="1"/>
    <col min="8709" max="8709" width="16.33203125" style="64" customWidth="1"/>
    <col min="8710" max="8710" width="11.6640625" style="64" bestFit="1" customWidth="1"/>
    <col min="8711" max="8712" width="10.44140625" style="64" bestFit="1" customWidth="1"/>
    <col min="8713" max="8713" width="12.109375" style="64" customWidth="1"/>
    <col min="8714" max="8960" width="9.109375" style="64"/>
    <col min="8961" max="8961" width="28.5546875" style="64" customWidth="1"/>
    <col min="8962" max="8962" width="17.5546875" style="64" customWidth="1"/>
    <col min="8963" max="8963" width="17" style="64" customWidth="1"/>
    <col min="8964" max="8964" width="19.109375" style="64" customWidth="1"/>
    <col min="8965" max="8965" width="16.33203125" style="64" customWidth="1"/>
    <col min="8966" max="8966" width="11.6640625" style="64" bestFit="1" customWidth="1"/>
    <col min="8967" max="8968" width="10.44140625" style="64" bestFit="1" customWidth="1"/>
    <col min="8969" max="8969" width="12.109375" style="64" customWidth="1"/>
    <col min="8970" max="9216" width="9.109375" style="64"/>
    <col min="9217" max="9217" width="28.5546875" style="64" customWidth="1"/>
    <col min="9218" max="9218" width="17.5546875" style="64" customWidth="1"/>
    <col min="9219" max="9219" width="17" style="64" customWidth="1"/>
    <col min="9220" max="9220" width="19.109375" style="64" customWidth="1"/>
    <col min="9221" max="9221" width="16.33203125" style="64" customWidth="1"/>
    <col min="9222" max="9222" width="11.6640625" style="64" bestFit="1" customWidth="1"/>
    <col min="9223" max="9224" width="10.44140625" style="64" bestFit="1" customWidth="1"/>
    <col min="9225" max="9225" width="12.109375" style="64" customWidth="1"/>
    <col min="9226" max="9472" width="9.109375" style="64"/>
    <col min="9473" max="9473" width="28.5546875" style="64" customWidth="1"/>
    <col min="9474" max="9474" width="17.5546875" style="64" customWidth="1"/>
    <col min="9475" max="9475" width="17" style="64" customWidth="1"/>
    <col min="9476" max="9476" width="19.109375" style="64" customWidth="1"/>
    <col min="9477" max="9477" width="16.33203125" style="64" customWidth="1"/>
    <col min="9478" max="9478" width="11.6640625" style="64" bestFit="1" customWidth="1"/>
    <col min="9479" max="9480" width="10.44140625" style="64" bestFit="1" customWidth="1"/>
    <col min="9481" max="9481" width="12.109375" style="64" customWidth="1"/>
    <col min="9482" max="9728" width="9.109375" style="64"/>
    <col min="9729" max="9729" width="28.5546875" style="64" customWidth="1"/>
    <col min="9730" max="9730" width="17.5546875" style="64" customWidth="1"/>
    <col min="9731" max="9731" width="17" style="64" customWidth="1"/>
    <col min="9732" max="9732" width="19.109375" style="64" customWidth="1"/>
    <col min="9733" max="9733" width="16.33203125" style="64" customWidth="1"/>
    <col min="9734" max="9734" width="11.6640625" style="64" bestFit="1" customWidth="1"/>
    <col min="9735" max="9736" width="10.44140625" style="64" bestFit="1" customWidth="1"/>
    <col min="9737" max="9737" width="12.109375" style="64" customWidth="1"/>
    <col min="9738" max="9984" width="9.109375" style="64"/>
    <col min="9985" max="9985" width="28.5546875" style="64" customWidth="1"/>
    <col min="9986" max="9986" width="17.5546875" style="64" customWidth="1"/>
    <col min="9987" max="9987" width="17" style="64" customWidth="1"/>
    <col min="9988" max="9988" width="19.109375" style="64" customWidth="1"/>
    <col min="9989" max="9989" width="16.33203125" style="64" customWidth="1"/>
    <col min="9990" max="9990" width="11.6640625" style="64" bestFit="1" customWidth="1"/>
    <col min="9991" max="9992" width="10.44140625" style="64" bestFit="1" customWidth="1"/>
    <col min="9993" max="9993" width="12.109375" style="64" customWidth="1"/>
    <col min="9994" max="10240" width="9.109375" style="64"/>
    <col min="10241" max="10241" width="28.5546875" style="64" customWidth="1"/>
    <col min="10242" max="10242" width="17.5546875" style="64" customWidth="1"/>
    <col min="10243" max="10243" width="17" style="64" customWidth="1"/>
    <col min="10244" max="10244" width="19.109375" style="64" customWidth="1"/>
    <col min="10245" max="10245" width="16.33203125" style="64" customWidth="1"/>
    <col min="10246" max="10246" width="11.6640625" style="64" bestFit="1" customWidth="1"/>
    <col min="10247" max="10248" width="10.44140625" style="64" bestFit="1" customWidth="1"/>
    <col min="10249" max="10249" width="12.109375" style="64" customWidth="1"/>
    <col min="10250" max="10496" width="9.109375" style="64"/>
    <col min="10497" max="10497" width="28.5546875" style="64" customWidth="1"/>
    <col min="10498" max="10498" width="17.5546875" style="64" customWidth="1"/>
    <col min="10499" max="10499" width="17" style="64" customWidth="1"/>
    <col min="10500" max="10500" width="19.109375" style="64" customWidth="1"/>
    <col min="10501" max="10501" width="16.33203125" style="64" customWidth="1"/>
    <col min="10502" max="10502" width="11.6640625" style="64" bestFit="1" customWidth="1"/>
    <col min="10503" max="10504" width="10.44140625" style="64" bestFit="1" customWidth="1"/>
    <col min="10505" max="10505" width="12.109375" style="64" customWidth="1"/>
    <col min="10506" max="10752" width="9.109375" style="64"/>
    <col min="10753" max="10753" width="28.5546875" style="64" customWidth="1"/>
    <col min="10754" max="10754" width="17.5546875" style="64" customWidth="1"/>
    <col min="10755" max="10755" width="17" style="64" customWidth="1"/>
    <col min="10756" max="10756" width="19.109375" style="64" customWidth="1"/>
    <col min="10757" max="10757" width="16.33203125" style="64" customWidth="1"/>
    <col min="10758" max="10758" width="11.6640625" style="64" bestFit="1" customWidth="1"/>
    <col min="10759" max="10760" width="10.44140625" style="64" bestFit="1" customWidth="1"/>
    <col min="10761" max="10761" width="12.109375" style="64" customWidth="1"/>
    <col min="10762" max="11008" width="9.109375" style="64"/>
    <col min="11009" max="11009" width="28.5546875" style="64" customWidth="1"/>
    <col min="11010" max="11010" width="17.5546875" style="64" customWidth="1"/>
    <col min="11011" max="11011" width="17" style="64" customWidth="1"/>
    <col min="11012" max="11012" width="19.109375" style="64" customWidth="1"/>
    <col min="11013" max="11013" width="16.33203125" style="64" customWidth="1"/>
    <col min="11014" max="11014" width="11.6640625" style="64" bestFit="1" customWidth="1"/>
    <col min="11015" max="11016" width="10.44140625" style="64" bestFit="1" customWidth="1"/>
    <col min="11017" max="11017" width="12.109375" style="64" customWidth="1"/>
    <col min="11018" max="11264" width="9.109375" style="64"/>
    <col min="11265" max="11265" width="28.5546875" style="64" customWidth="1"/>
    <col min="11266" max="11266" width="17.5546875" style="64" customWidth="1"/>
    <col min="11267" max="11267" width="17" style="64" customWidth="1"/>
    <col min="11268" max="11268" width="19.109375" style="64" customWidth="1"/>
    <col min="11269" max="11269" width="16.33203125" style="64" customWidth="1"/>
    <col min="11270" max="11270" width="11.6640625" style="64" bestFit="1" customWidth="1"/>
    <col min="11271" max="11272" width="10.44140625" style="64" bestFit="1" customWidth="1"/>
    <col min="11273" max="11273" width="12.109375" style="64" customWidth="1"/>
    <col min="11274" max="11520" width="9.109375" style="64"/>
    <col min="11521" max="11521" width="28.5546875" style="64" customWidth="1"/>
    <col min="11522" max="11522" width="17.5546875" style="64" customWidth="1"/>
    <col min="11523" max="11523" width="17" style="64" customWidth="1"/>
    <col min="11524" max="11524" width="19.109375" style="64" customWidth="1"/>
    <col min="11525" max="11525" width="16.33203125" style="64" customWidth="1"/>
    <col min="11526" max="11526" width="11.6640625" style="64" bestFit="1" customWidth="1"/>
    <col min="11527" max="11528" width="10.44140625" style="64" bestFit="1" customWidth="1"/>
    <col min="11529" max="11529" width="12.109375" style="64" customWidth="1"/>
    <col min="11530" max="11776" width="9.109375" style="64"/>
    <col min="11777" max="11777" width="28.5546875" style="64" customWidth="1"/>
    <col min="11778" max="11778" width="17.5546875" style="64" customWidth="1"/>
    <col min="11779" max="11779" width="17" style="64" customWidth="1"/>
    <col min="11780" max="11780" width="19.109375" style="64" customWidth="1"/>
    <col min="11781" max="11781" width="16.33203125" style="64" customWidth="1"/>
    <col min="11782" max="11782" width="11.6640625" style="64" bestFit="1" customWidth="1"/>
    <col min="11783" max="11784" width="10.44140625" style="64" bestFit="1" customWidth="1"/>
    <col min="11785" max="11785" width="12.109375" style="64" customWidth="1"/>
    <col min="11786" max="12032" width="9.109375" style="64"/>
    <col min="12033" max="12033" width="28.5546875" style="64" customWidth="1"/>
    <col min="12034" max="12034" width="17.5546875" style="64" customWidth="1"/>
    <col min="12035" max="12035" width="17" style="64" customWidth="1"/>
    <col min="12036" max="12036" width="19.109375" style="64" customWidth="1"/>
    <col min="12037" max="12037" width="16.33203125" style="64" customWidth="1"/>
    <col min="12038" max="12038" width="11.6640625" style="64" bestFit="1" customWidth="1"/>
    <col min="12039" max="12040" width="10.44140625" style="64" bestFit="1" customWidth="1"/>
    <col min="12041" max="12041" width="12.109375" style="64" customWidth="1"/>
    <col min="12042" max="12288" width="9.109375" style="64"/>
    <col min="12289" max="12289" width="28.5546875" style="64" customWidth="1"/>
    <col min="12290" max="12290" width="17.5546875" style="64" customWidth="1"/>
    <col min="12291" max="12291" width="17" style="64" customWidth="1"/>
    <col min="12292" max="12292" width="19.109375" style="64" customWidth="1"/>
    <col min="12293" max="12293" width="16.33203125" style="64" customWidth="1"/>
    <col min="12294" max="12294" width="11.6640625" style="64" bestFit="1" customWidth="1"/>
    <col min="12295" max="12296" width="10.44140625" style="64" bestFit="1" customWidth="1"/>
    <col min="12297" max="12297" width="12.109375" style="64" customWidth="1"/>
    <col min="12298" max="12544" width="9.109375" style="64"/>
    <col min="12545" max="12545" width="28.5546875" style="64" customWidth="1"/>
    <col min="12546" max="12546" width="17.5546875" style="64" customWidth="1"/>
    <col min="12547" max="12547" width="17" style="64" customWidth="1"/>
    <col min="12548" max="12548" width="19.109375" style="64" customWidth="1"/>
    <col min="12549" max="12549" width="16.33203125" style="64" customWidth="1"/>
    <col min="12550" max="12550" width="11.6640625" style="64" bestFit="1" customWidth="1"/>
    <col min="12551" max="12552" width="10.44140625" style="64" bestFit="1" customWidth="1"/>
    <col min="12553" max="12553" width="12.109375" style="64" customWidth="1"/>
    <col min="12554" max="12800" width="9.109375" style="64"/>
    <col min="12801" max="12801" width="28.5546875" style="64" customWidth="1"/>
    <col min="12802" max="12802" width="17.5546875" style="64" customWidth="1"/>
    <col min="12803" max="12803" width="17" style="64" customWidth="1"/>
    <col min="12804" max="12804" width="19.109375" style="64" customWidth="1"/>
    <col min="12805" max="12805" width="16.33203125" style="64" customWidth="1"/>
    <col min="12806" max="12806" width="11.6640625" style="64" bestFit="1" customWidth="1"/>
    <col min="12807" max="12808" width="10.44140625" style="64" bestFit="1" customWidth="1"/>
    <col min="12809" max="12809" width="12.109375" style="64" customWidth="1"/>
    <col min="12810" max="13056" width="9.109375" style="64"/>
    <col min="13057" max="13057" width="28.5546875" style="64" customWidth="1"/>
    <col min="13058" max="13058" width="17.5546875" style="64" customWidth="1"/>
    <col min="13059" max="13059" width="17" style="64" customWidth="1"/>
    <col min="13060" max="13060" width="19.109375" style="64" customWidth="1"/>
    <col min="13061" max="13061" width="16.33203125" style="64" customWidth="1"/>
    <col min="13062" max="13062" width="11.6640625" style="64" bestFit="1" customWidth="1"/>
    <col min="13063" max="13064" width="10.44140625" style="64" bestFit="1" customWidth="1"/>
    <col min="13065" max="13065" width="12.109375" style="64" customWidth="1"/>
    <col min="13066" max="13312" width="9.109375" style="64"/>
    <col min="13313" max="13313" width="28.5546875" style="64" customWidth="1"/>
    <col min="13314" max="13314" width="17.5546875" style="64" customWidth="1"/>
    <col min="13315" max="13315" width="17" style="64" customWidth="1"/>
    <col min="13316" max="13316" width="19.109375" style="64" customWidth="1"/>
    <col min="13317" max="13317" width="16.33203125" style="64" customWidth="1"/>
    <col min="13318" max="13318" width="11.6640625" style="64" bestFit="1" customWidth="1"/>
    <col min="13319" max="13320" width="10.44140625" style="64" bestFit="1" customWidth="1"/>
    <col min="13321" max="13321" width="12.109375" style="64" customWidth="1"/>
    <col min="13322" max="13568" width="9.109375" style="64"/>
    <col min="13569" max="13569" width="28.5546875" style="64" customWidth="1"/>
    <col min="13570" max="13570" width="17.5546875" style="64" customWidth="1"/>
    <col min="13571" max="13571" width="17" style="64" customWidth="1"/>
    <col min="13572" max="13572" width="19.109375" style="64" customWidth="1"/>
    <col min="13573" max="13573" width="16.33203125" style="64" customWidth="1"/>
    <col min="13574" max="13574" width="11.6640625" style="64" bestFit="1" customWidth="1"/>
    <col min="13575" max="13576" width="10.44140625" style="64" bestFit="1" customWidth="1"/>
    <col min="13577" max="13577" width="12.109375" style="64" customWidth="1"/>
    <col min="13578" max="13824" width="9.109375" style="64"/>
    <col min="13825" max="13825" width="28.5546875" style="64" customWidth="1"/>
    <col min="13826" max="13826" width="17.5546875" style="64" customWidth="1"/>
    <col min="13827" max="13827" width="17" style="64" customWidth="1"/>
    <col min="13828" max="13828" width="19.109375" style="64" customWidth="1"/>
    <col min="13829" max="13829" width="16.33203125" style="64" customWidth="1"/>
    <col min="13830" max="13830" width="11.6640625" style="64" bestFit="1" customWidth="1"/>
    <col min="13831" max="13832" width="10.44140625" style="64" bestFit="1" customWidth="1"/>
    <col min="13833" max="13833" width="12.109375" style="64" customWidth="1"/>
    <col min="13834" max="14080" width="9.109375" style="64"/>
    <col min="14081" max="14081" width="28.5546875" style="64" customWidth="1"/>
    <col min="14082" max="14082" width="17.5546875" style="64" customWidth="1"/>
    <col min="14083" max="14083" width="17" style="64" customWidth="1"/>
    <col min="14084" max="14084" width="19.109375" style="64" customWidth="1"/>
    <col min="14085" max="14085" width="16.33203125" style="64" customWidth="1"/>
    <col min="14086" max="14086" width="11.6640625" style="64" bestFit="1" customWidth="1"/>
    <col min="14087" max="14088" width="10.44140625" style="64" bestFit="1" customWidth="1"/>
    <col min="14089" max="14089" width="12.109375" style="64" customWidth="1"/>
    <col min="14090" max="14336" width="9.109375" style="64"/>
    <col min="14337" max="14337" width="28.5546875" style="64" customWidth="1"/>
    <col min="14338" max="14338" width="17.5546875" style="64" customWidth="1"/>
    <col min="14339" max="14339" width="17" style="64" customWidth="1"/>
    <col min="14340" max="14340" width="19.109375" style="64" customWidth="1"/>
    <col min="14341" max="14341" width="16.33203125" style="64" customWidth="1"/>
    <col min="14342" max="14342" width="11.6640625" style="64" bestFit="1" customWidth="1"/>
    <col min="14343" max="14344" width="10.44140625" style="64" bestFit="1" customWidth="1"/>
    <col min="14345" max="14345" width="12.109375" style="64" customWidth="1"/>
    <col min="14346" max="14592" width="9.109375" style="64"/>
    <col min="14593" max="14593" width="28.5546875" style="64" customWidth="1"/>
    <col min="14594" max="14594" width="17.5546875" style="64" customWidth="1"/>
    <col min="14595" max="14595" width="17" style="64" customWidth="1"/>
    <col min="14596" max="14596" width="19.109375" style="64" customWidth="1"/>
    <col min="14597" max="14597" width="16.33203125" style="64" customWidth="1"/>
    <col min="14598" max="14598" width="11.6640625" style="64" bestFit="1" customWidth="1"/>
    <col min="14599" max="14600" width="10.44140625" style="64" bestFit="1" customWidth="1"/>
    <col min="14601" max="14601" width="12.109375" style="64" customWidth="1"/>
    <col min="14602" max="14848" width="9.109375" style="64"/>
    <col min="14849" max="14849" width="28.5546875" style="64" customWidth="1"/>
    <col min="14850" max="14850" width="17.5546875" style="64" customWidth="1"/>
    <col min="14851" max="14851" width="17" style="64" customWidth="1"/>
    <col min="14852" max="14852" width="19.109375" style="64" customWidth="1"/>
    <col min="14853" max="14853" width="16.33203125" style="64" customWidth="1"/>
    <col min="14854" max="14854" width="11.6640625" style="64" bestFit="1" customWidth="1"/>
    <col min="14855" max="14856" width="10.44140625" style="64" bestFit="1" customWidth="1"/>
    <col min="14857" max="14857" width="12.109375" style="64" customWidth="1"/>
    <col min="14858" max="15104" width="9.109375" style="64"/>
    <col min="15105" max="15105" width="28.5546875" style="64" customWidth="1"/>
    <col min="15106" max="15106" width="17.5546875" style="64" customWidth="1"/>
    <col min="15107" max="15107" width="17" style="64" customWidth="1"/>
    <col min="15108" max="15108" width="19.109375" style="64" customWidth="1"/>
    <col min="15109" max="15109" width="16.33203125" style="64" customWidth="1"/>
    <col min="15110" max="15110" width="11.6640625" style="64" bestFit="1" customWidth="1"/>
    <col min="15111" max="15112" width="10.44140625" style="64" bestFit="1" customWidth="1"/>
    <col min="15113" max="15113" width="12.109375" style="64" customWidth="1"/>
    <col min="15114" max="15360" width="9.109375" style="64"/>
    <col min="15361" max="15361" width="28.5546875" style="64" customWidth="1"/>
    <col min="15362" max="15362" width="17.5546875" style="64" customWidth="1"/>
    <col min="15363" max="15363" width="17" style="64" customWidth="1"/>
    <col min="15364" max="15364" width="19.109375" style="64" customWidth="1"/>
    <col min="15365" max="15365" width="16.33203125" style="64" customWidth="1"/>
    <col min="15366" max="15366" width="11.6640625" style="64" bestFit="1" customWidth="1"/>
    <col min="15367" max="15368" width="10.44140625" style="64" bestFit="1" customWidth="1"/>
    <col min="15369" max="15369" width="12.109375" style="64" customWidth="1"/>
    <col min="15370" max="15616" width="9.109375" style="64"/>
    <col min="15617" max="15617" width="28.5546875" style="64" customWidth="1"/>
    <col min="15618" max="15618" width="17.5546875" style="64" customWidth="1"/>
    <col min="15619" max="15619" width="17" style="64" customWidth="1"/>
    <col min="15620" max="15620" width="19.109375" style="64" customWidth="1"/>
    <col min="15621" max="15621" width="16.33203125" style="64" customWidth="1"/>
    <col min="15622" max="15622" width="11.6640625" style="64" bestFit="1" customWidth="1"/>
    <col min="15623" max="15624" width="10.44140625" style="64" bestFit="1" customWidth="1"/>
    <col min="15625" max="15625" width="12.109375" style="64" customWidth="1"/>
    <col min="15626" max="15872" width="9.109375" style="64"/>
    <col min="15873" max="15873" width="28.5546875" style="64" customWidth="1"/>
    <col min="15874" max="15874" width="17.5546875" style="64" customWidth="1"/>
    <col min="15875" max="15875" width="17" style="64" customWidth="1"/>
    <col min="15876" max="15876" width="19.109375" style="64" customWidth="1"/>
    <col min="15877" max="15877" width="16.33203125" style="64" customWidth="1"/>
    <col min="15878" max="15878" width="11.6640625" style="64" bestFit="1" customWidth="1"/>
    <col min="15879" max="15880" width="10.44140625" style="64" bestFit="1" customWidth="1"/>
    <col min="15881" max="15881" width="12.109375" style="64" customWidth="1"/>
    <col min="15882" max="16128" width="9.109375" style="64"/>
    <col min="16129" max="16129" width="28.5546875" style="64" customWidth="1"/>
    <col min="16130" max="16130" width="17.5546875" style="64" customWidth="1"/>
    <col min="16131" max="16131" width="17" style="64" customWidth="1"/>
    <col min="16132" max="16132" width="19.109375" style="64" customWidth="1"/>
    <col min="16133" max="16133" width="16.33203125" style="64" customWidth="1"/>
    <col min="16134" max="16134" width="11.6640625" style="64" bestFit="1" customWidth="1"/>
    <col min="16135" max="16136" width="10.44140625" style="64" bestFit="1" customWidth="1"/>
    <col min="16137" max="16137" width="12.109375" style="64" customWidth="1"/>
    <col min="16138" max="16384" width="9.109375" style="64"/>
  </cols>
  <sheetData>
    <row r="1" spans="1:11" x14ac:dyDescent="0.3">
      <c r="A1" s="66" t="s">
        <v>675</v>
      </c>
      <c r="B1" s="171"/>
      <c r="C1" s="171"/>
      <c r="D1" s="171"/>
      <c r="E1" s="171"/>
      <c r="F1" s="171"/>
      <c r="G1" s="171"/>
      <c r="H1" s="171"/>
    </row>
    <row r="2" spans="1:11" s="365" customFormat="1" x14ac:dyDescent="0.3">
      <c r="A2" s="366" t="s">
        <v>676</v>
      </c>
      <c r="B2" s="367"/>
      <c r="C2" s="367"/>
      <c r="D2" s="367"/>
      <c r="E2" s="367"/>
      <c r="F2" s="367"/>
      <c r="G2" s="367"/>
      <c r="H2" s="367"/>
    </row>
    <row r="3" spans="1:11" s="365" customFormat="1" x14ac:dyDescent="0.3">
      <c r="A3" s="366"/>
      <c r="B3" s="367"/>
      <c r="C3" s="367"/>
      <c r="D3" s="367"/>
      <c r="E3" s="367"/>
      <c r="F3" s="367"/>
      <c r="G3" s="367"/>
      <c r="H3" s="367"/>
    </row>
    <row r="4" spans="1:11" x14ac:dyDescent="0.3">
      <c r="A4" s="66" t="s">
        <v>677</v>
      </c>
      <c r="B4" s="65"/>
    </row>
    <row r="5" spans="1:11" x14ac:dyDescent="0.3">
      <c r="A5" s="66" t="s">
        <v>678</v>
      </c>
      <c r="B5" s="65"/>
    </row>
    <row r="6" spans="1:11" x14ac:dyDescent="0.3">
      <c r="A6" s="368" t="s">
        <v>177</v>
      </c>
      <c r="B6" s="369" t="str">
        <f>аб!C23</f>
        <v>2019 год</v>
      </c>
      <c r="C6" s="369" t="str">
        <f>аб!D23</f>
        <v>2018 год</v>
      </c>
      <c r="D6" s="369" t="str">
        <f>аб!E23</f>
        <v>2017 год</v>
      </c>
      <c r="E6" s="369" t="str">
        <f>аб!F23</f>
        <v>2016 год</v>
      </c>
      <c r="F6" s="369" t="str">
        <f>аб!G23</f>
        <v>2015 год</v>
      </c>
      <c r="G6" s="369" t="str">
        <f>аб!H23</f>
        <v>2014 год</v>
      </c>
      <c r="H6" s="369" t="str">
        <f>аб!I23</f>
        <v>2013 год</v>
      </c>
    </row>
    <row r="7" spans="1:11" x14ac:dyDescent="0.3">
      <c r="A7" s="370" t="s">
        <v>96</v>
      </c>
      <c r="B7" s="80"/>
      <c r="C7" s="80"/>
      <c r="D7" s="80"/>
      <c r="E7" s="80"/>
      <c r="F7" s="80"/>
      <c r="G7" s="80"/>
      <c r="H7" s="80"/>
    </row>
    <row r="8" spans="1:11" x14ac:dyDescent="0.3">
      <c r="A8" s="370" t="s">
        <v>679</v>
      </c>
      <c r="B8" s="80"/>
      <c r="C8" s="151"/>
      <c r="D8" s="80"/>
      <c r="E8" s="151"/>
      <c r="F8" s="80"/>
      <c r="G8" s="151"/>
      <c r="H8" s="80"/>
    </row>
    <row r="9" spans="1:11" x14ac:dyDescent="0.3">
      <c r="A9" s="370" t="s">
        <v>680</v>
      </c>
      <c r="B9" s="80"/>
      <c r="C9" s="80"/>
      <c r="D9" s="80"/>
      <c r="E9" s="80"/>
      <c r="F9" s="80"/>
      <c r="G9" s="80"/>
      <c r="H9" s="80"/>
    </row>
    <row r="10" spans="1:11" x14ac:dyDescent="0.3">
      <c r="A10" s="370" t="s">
        <v>681</v>
      </c>
      <c r="B10" s="371"/>
      <c r="C10" s="371"/>
      <c r="D10" s="371"/>
      <c r="E10" s="371"/>
      <c r="F10" s="371"/>
      <c r="G10" s="371"/>
      <c r="H10" s="371"/>
    </row>
    <row r="11" spans="1:11" x14ac:dyDescent="0.3">
      <c r="A11" s="372" t="s">
        <v>682</v>
      </c>
      <c r="B11" s="373"/>
      <c r="C11" s="373"/>
      <c r="D11" s="373"/>
      <c r="E11" s="373"/>
      <c r="F11" s="373"/>
      <c r="G11" s="373"/>
      <c r="H11" s="373"/>
    </row>
    <row r="12" spans="1:11" x14ac:dyDescent="0.3">
      <c r="A12" s="374" t="s">
        <v>683</v>
      </c>
      <c r="B12" s="375"/>
      <c r="C12" s="375"/>
      <c r="D12" s="375"/>
      <c r="E12" s="375"/>
      <c r="F12" s="375"/>
      <c r="G12" s="375"/>
      <c r="H12" s="375"/>
      <c r="I12" s="376"/>
      <c r="J12" s="376"/>
      <c r="K12" s="376"/>
    </row>
    <row r="13" spans="1:11" x14ac:dyDescent="0.3">
      <c r="A13" s="370" t="s">
        <v>684</v>
      </c>
      <c r="B13" s="377"/>
      <c r="C13" s="377"/>
      <c r="D13" s="377"/>
      <c r="E13" s="377"/>
      <c r="F13" s="377"/>
      <c r="G13" s="377"/>
      <c r="H13" s="377"/>
    </row>
    <row r="14" spans="1:11" x14ac:dyDescent="0.3">
      <c r="A14" s="370" t="s">
        <v>685</v>
      </c>
      <c r="B14" s="377"/>
      <c r="C14" s="377"/>
      <c r="D14" s="377"/>
      <c r="E14" s="377"/>
      <c r="F14" s="377"/>
      <c r="G14" s="377"/>
      <c r="H14" s="377"/>
    </row>
    <row r="15" spans="1:11" x14ac:dyDescent="0.3">
      <c r="A15" s="370" t="s">
        <v>686</v>
      </c>
      <c r="B15" s="377"/>
      <c r="C15" s="377"/>
      <c r="D15" s="377"/>
      <c r="E15" s="377"/>
      <c r="F15" s="377"/>
      <c r="G15" s="377"/>
      <c r="H15" s="377"/>
    </row>
    <row r="16" spans="1:11" x14ac:dyDescent="0.3">
      <c r="A16" s="370" t="s">
        <v>687</v>
      </c>
      <c r="B16" s="377"/>
      <c r="C16" s="377"/>
      <c r="D16" s="377"/>
      <c r="E16" s="377"/>
      <c r="F16" s="377"/>
      <c r="G16" s="377"/>
      <c r="H16" s="377"/>
    </row>
    <row r="17" spans="1:8" x14ac:dyDescent="0.3">
      <c r="A17" s="378" t="s">
        <v>688</v>
      </c>
      <c r="B17" s="379"/>
      <c r="C17" s="379"/>
      <c r="D17" s="379"/>
      <c r="E17" s="379"/>
      <c r="F17" s="379"/>
      <c r="G17" s="379"/>
      <c r="H17" s="379"/>
    </row>
    <row r="18" spans="1:8" ht="31.2" x14ac:dyDescent="0.3">
      <c r="A18" s="380" t="s">
        <v>689</v>
      </c>
      <c r="B18" s="377"/>
      <c r="C18" s="377"/>
      <c r="D18" s="377"/>
      <c r="E18" s="377"/>
      <c r="F18" s="377"/>
      <c r="G18" s="377"/>
      <c r="H18" s="377"/>
    </row>
    <row r="19" spans="1:8" ht="31.2" x14ac:dyDescent="0.3">
      <c r="A19" s="380" t="s">
        <v>690</v>
      </c>
      <c r="B19" s="377"/>
      <c r="C19" s="377"/>
      <c r="D19" s="377"/>
      <c r="E19" s="377"/>
      <c r="F19" s="377"/>
      <c r="G19" s="377"/>
      <c r="H19" s="377"/>
    </row>
    <row r="20" spans="1:8" ht="31.2" x14ac:dyDescent="0.3">
      <c r="A20" s="380" t="s">
        <v>691</v>
      </c>
      <c r="B20" s="377"/>
      <c r="C20" s="377"/>
      <c r="D20" s="377"/>
      <c r="E20" s="377"/>
      <c r="F20" s="377"/>
      <c r="G20" s="377"/>
      <c r="H20" s="377"/>
    </row>
    <row r="21" spans="1:8" ht="31.2" x14ac:dyDescent="0.3">
      <c r="A21" s="370" t="s">
        <v>692</v>
      </c>
      <c r="B21" s="377"/>
      <c r="C21" s="377"/>
      <c r="D21" s="377"/>
      <c r="E21" s="377"/>
      <c r="F21" s="377"/>
      <c r="G21" s="377"/>
      <c r="H21" s="377"/>
    </row>
    <row r="22" spans="1:8" x14ac:dyDescent="0.3">
      <c r="A22" s="370" t="s">
        <v>693</v>
      </c>
      <c r="B22" s="377"/>
      <c r="C22" s="377"/>
      <c r="D22" s="377"/>
      <c r="E22" s="377"/>
      <c r="F22" s="377"/>
      <c r="G22" s="377"/>
      <c r="H22" s="377"/>
    </row>
    <row r="23" spans="1:8" x14ac:dyDescent="0.3">
      <c r="A23" s="372" t="s">
        <v>694</v>
      </c>
      <c r="B23" s="381"/>
      <c r="C23" s="381"/>
      <c r="D23" s="381"/>
      <c r="E23" s="381"/>
      <c r="F23" s="381"/>
      <c r="G23" s="381"/>
      <c r="H23" s="381"/>
    </row>
    <row r="24" spans="1:8" x14ac:dyDescent="0.3">
      <c r="A24" s="66" t="s">
        <v>562</v>
      </c>
    </row>
    <row r="25" spans="1:8" x14ac:dyDescent="0.3">
      <c r="A25" s="66"/>
    </row>
    <row r="26" spans="1:8" x14ac:dyDescent="0.3">
      <c r="A26" s="368" t="s">
        <v>177</v>
      </c>
      <c r="B26" s="369" t="str">
        <f>B6</f>
        <v>2019 год</v>
      </c>
      <c r="C26" s="369" t="str">
        <f t="shared" ref="C26:H26" si="0">C6</f>
        <v>2018 год</v>
      </c>
      <c r="D26" s="369" t="str">
        <f t="shared" si="0"/>
        <v>2017 год</v>
      </c>
      <c r="E26" s="369" t="str">
        <f t="shared" si="0"/>
        <v>2016 год</v>
      </c>
      <c r="F26" s="369" t="str">
        <f t="shared" si="0"/>
        <v>2015 год</v>
      </c>
      <c r="G26" s="369" t="str">
        <f t="shared" si="0"/>
        <v>2014 год</v>
      </c>
      <c r="H26" s="369" t="str">
        <f t="shared" si="0"/>
        <v>2013 год</v>
      </c>
    </row>
    <row r="27" spans="1:8" x14ac:dyDescent="0.3">
      <c r="A27" s="370" t="s">
        <v>695</v>
      </c>
      <c r="B27" s="371"/>
      <c r="C27" s="371"/>
      <c r="D27" s="371"/>
      <c r="E27" s="371"/>
      <c r="F27" s="371"/>
      <c r="G27" s="371"/>
      <c r="H27" s="371"/>
    </row>
    <row r="28" spans="1:8" x14ac:dyDescent="0.3">
      <c r="A28" s="370" t="s">
        <v>696</v>
      </c>
      <c r="B28" s="371"/>
      <c r="C28" s="371"/>
      <c r="D28" s="371"/>
      <c r="E28" s="371"/>
      <c r="F28" s="371"/>
      <c r="G28" s="371"/>
      <c r="H28" s="371"/>
    </row>
    <row r="29" spans="1:8" x14ac:dyDescent="0.3">
      <c r="A29" s="370" t="s">
        <v>697</v>
      </c>
      <c r="B29" s="371"/>
      <c r="C29" s="371"/>
      <c r="D29" s="371"/>
      <c r="E29" s="371"/>
      <c r="F29" s="371"/>
      <c r="G29" s="371"/>
      <c r="H29" s="371"/>
    </row>
    <row r="30" spans="1:8" x14ac:dyDescent="0.3">
      <c r="A30" s="370" t="s">
        <v>698</v>
      </c>
      <c r="B30" s="371"/>
      <c r="C30" s="371"/>
      <c r="D30" s="371"/>
      <c r="E30" s="371"/>
      <c r="F30" s="371"/>
      <c r="G30" s="371"/>
      <c r="H30" s="371"/>
    </row>
    <row r="31" spans="1:8" s="66" customFormat="1" x14ac:dyDescent="0.3">
      <c r="A31" s="370" t="s">
        <v>699</v>
      </c>
      <c r="B31" s="371"/>
      <c r="C31" s="371"/>
      <c r="D31" s="371"/>
      <c r="E31" s="371"/>
      <c r="F31" s="371"/>
      <c r="G31" s="371"/>
      <c r="H31" s="371"/>
    </row>
    <row r="32" spans="1:8" x14ac:dyDescent="0.3">
      <c r="A32" s="370" t="s">
        <v>700</v>
      </c>
      <c r="B32" s="371"/>
      <c r="C32" s="371"/>
      <c r="D32" s="371"/>
      <c r="E32" s="371"/>
      <c r="F32" s="371"/>
      <c r="G32" s="371"/>
      <c r="H32" s="371"/>
    </row>
    <row r="33" spans="1:8" x14ac:dyDescent="0.3">
      <c r="A33" s="370" t="s">
        <v>701</v>
      </c>
      <c r="B33" s="371"/>
      <c r="C33" s="371"/>
      <c r="D33" s="371"/>
      <c r="E33" s="371"/>
      <c r="F33" s="371"/>
      <c r="G33" s="371"/>
      <c r="H33" s="371"/>
    </row>
    <row r="34" spans="1:8" x14ac:dyDescent="0.3">
      <c r="A34" s="370" t="s">
        <v>702</v>
      </c>
      <c r="B34" s="371"/>
      <c r="C34" s="371"/>
      <c r="D34" s="371"/>
      <c r="E34" s="371"/>
      <c r="F34" s="371"/>
      <c r="G34" s="371"/>
      <c r="H34" s="371"/>
    </row>
    <row r="35" spans="1:8" x14ac:dyDescent="0.3">
      <c r="A35" s="370" t="s">
        <v>703</v>
      </c>
      <c r="B35" s="371"/>
      <c r="C35" s="371"/>
      <c r="D35" s="371"/>
      <c r="E35" s="371"/>
      <c r="F35" s="371"/>
      <c r="G35" s="371"/>
      <c r="H35" s="371"/>
    </row>
    <row r="36" spans="1:8" x14ac:dyDescent="0.3">
      <c r="A36" s="370" t="s">
        <v>396</v>
      </c>
      <c r="B36" s="371"/>
      <c r="C36" s="371"/>
      <c r="D36" s="371"/>
      <c r="E36" s="371"/>
      <c r="F36" s="371"/>
      <c r="G36" s="371"/>
      <c r="H36" s="371"/>
    </row>
    <row r="37" spans="1:8" x14ac:dyDescent="0.3">
      <c r="A37" s="370" t="s">
        <v>704</v>
      </c>
      <c r="B37" s="371"/>
      <c r="C37" s="371"/>
      <c r="D37" s="371"/>
      <c r="E37" s="371"/>
      <c r="F37" s="371"/>
      <c r="G37" s="371"/>
      <c r="H37" s="371"/>
    </row>
    <row r="38" spans="1:8" x14ac:dyDescent="0.3">
      <c r="A38" s="370" t="s">
        <v>705</v>
      </c>
      <c r="B38" s="371"/>
      <c r="C38" s="371"/>
      <c r="D38" s="371"/>
      <c r="E38" s="371"/>
      <c r="F38" s="371"/>
      <c r="G38" s="371"/>
      <c r="H38" s="371"/>
    </row>
    <row r="40" spans="1:8" x14ac:dyDescent="0.3">
      <c r="A40" s="66" t="s">
        <v>706</v>
      </c>
    </row>
    <row r="41" spans="1:8" s="66" customFormat="1" x14ac:dyDescent="0.3">
      <c r="A41" s="382" t="s">
        <v>177</v>
      </c>
      <c r="B41" s="382" t="str">
        <f>B6</f>
        <v>2019 год</v>
      </c>
      <c r="C41" s="382" t="str">
        <f t="shared" ref="C41:H41" si="1">C6</f>
        <v>2018 год</v>
      </c>
      <c r="D41" s="382" t="str">
        <f t="shared" si="1"/>
        <v>2017 год</v>
      </c>
      <c r="E41" s="382" t="str">
        <f t="shared" si="1"/>
        <v>2016 год</v>
      </c>
      <c r="F41" s="382" t="str">
        <f t="shared" si="1"/>
        <v>2015 год</v>
      </c>
      <c r="G41" s="382" t="str">
        <f t="shared" si="1"/>
        <v>2014 год</v>
      </c>
      <c r="H41" s="382" t="str">
        <f t="shared" si="1"/>
        <v>2013 год</v>
      </c>
    </row>
    <row r="42" spans="1:8" x14ac:dyDescent="0.3">
      <c r="A42" s="283" t="s">
        <v>396</v>
      </c>
      <c r="B42" s="383"/>
      <c r="C42" s="383"/>
      <c r="D42" s="383"/>
      <c r="E42" s="383"/>
      <c r="F42" s="383"/>
      <c r="G42" s="383"/>
      <c r="H42" s="383"/>
    </row>
    <row r="43" spans="1:8" s="66" customFormat="1" x14ac:dyDescent="0.3">
      <c r="A43" s="382" t="s">
        <v>466</v>
      </c>
      <c r="B43" s="84"/>
      <c r="C43" s="84"/>
      <c r="D43" s="84"/>
      <c r="E43" s="84"/>
      <c r="F43" s="84"/>
      <c r="G43" s="84"/>
      <c r="H43" s="84"/>
    </row>
    <row r="44" spans="1:8" ht="31.2" x14ac:dyDescent="0.3">
      <c r="A44" s="283" t="s">
        <v>707</v>
      </c>
      <c r="B44" s="79"/>
      <c r="C44" s="79"/>
      <c r="D44" s="79"/>
      <c r="E44" s="79"/>
      <c r="F44" s="79"/>
      <c r="G44" s="79"/>
      <c r="H44" s="79"/>
    </row>
    <row r="45" spans="1:8" s="66" customFormat="1" x14ac:dyDescent="0.3">
      <c r="A45" s="382" t="s">
        <v>466</v>
      </c>
      <c r="B45" s="84"/>
      <c r="C45" s="84"/>
      <c r="D45" s="84"/>
      <c r="E45" s="84"/>
      <c r="F45" s="84"/>
      <c r="G45" s="84"/>
      <c r="H45" s="84"/>
    </row>
    <row r="46" spans="1:8" ht="31.2" x14ac:dyDescent="0.3">
      <c r="A46" s="283" t="s">
        <v>708</v>
      </c>
      <c r="B46" s="344"/>
      <c r="C46" s="344"/>
      <c r="D46" s="344"/>
      <c r="E46" s="344"/>
      <c r="F46" s="344"/>
      <c r="G46" s="344"/>
      <c r="H46" s="344"/>
    </row>
    <row r="47" spans="1:8" s="66" customFormat="1" x14ac:dyDescent="0.3">
      <c r="A47" s="382" t="s">
        <v>466</v>
      </c>
      <c r="B47" s="84"/>
      <c r="C47" s="84"/>
      <c r="D47" s="84"/>
      <c r="E47" s="84"/>
      <c r="F47" s="84"/>
      <c r="G47" s="84"/>
      <c r="H47" s="84"/>
    </row>
    <row r="48" spans="1:8" x14ac:dyDescent="0.3">
      <c r="A48" s="283" t="s">
        <v>709</v>
      </c>
      <c r="B48" s="344"/>
      <c r="C48" s="344"/>
      <c r="D48" s="344"/>
      <c r="E48" s="344"/>
      <c r="F48" s="344"/>
      <c r="G48" s="344"/>
      <c r="H48" s="344"/>
    </row>
    <row r="49" spans="1:8" s="66" customFormat="1" x14ac:dyDescent="0.3">
      <c r="A49" s="382" t="s">
        <v>466</v>
      </c>
      <c r="B49" s="84"/>
      <c r="C49" s="84"/>
      <c r="D49" s="84"/>
      <c r="E49" s="84"/>
      <c r="F49" s="84"/>
      <c r="G49" s="84"/>
      <c r="H49" s="84"/>
    </row>
    <row r="50" spans="1:8" ht="31.2" x14ac:dyDescent="0.3">
      <c r="A50" s="384" t="s">
        <v>710</v>
      </c>
      <c r="B50" s="385"/>
      <c r="C50" s="385"/>
      <c r="D50" s="385"/>
      <c r="E50" s="385"/>
      <c r="F50" s="385"/>
      <c r="G50" s="385"/>
      <c r="H50" s="385"/>
    </row>
    <row r="51" spans="1:8" x14ac:dyDescent="0.3">
      <c r="A51" s="382" t="s">
        <v>466</v>
      </c>
      <c r="B51" s="84"/>
      <c r="C51" s="84"/>
      <c r="D51" s="84"/>
      <c r="E51" s="84"/>
      <c r="F51" s="84"/>
      <c r="G51" s="84"/>
      <c r="H51" s="84"/>
    </row>
    <row r="52" spans="1:8" x14ac:dyDescent="0.3">
      <c r="A52" s="283" t="s">
        <v>512</v>
      </c>
      <c r="B52" s="383"/>
      <c r="C52" s="383"/>
      <c r="D52" s="383"/>
      <c r="E52" s="383"/>
      <c r="F52" s="383"/>
      <c r="G52" s="383"/>
      <c r="H52" s="383"/>
    </row>
    <row r="53" spans="1:8" s="66" customFormat="1" x14ac:dyDescent="0.3">
      <c r="A53" s="382" t="s">
        <v>466</v>
      </c>
      <c r="B53" s="84"/>
      <c r="C53" s="84"/>
      <c r="D53" s="84"/>
      <c r="E53" s="84"/>
      <c r="F53" s="84"/>
      <c r="G53" s="84"/>
      <c r="H53" s="84"/>
    </row>
  </sheetData>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4">
    <tabColor indexed="45"/>
    <pageSetUpPr fitToPage="1"/>
  </sheetPr>
  <dimension ref="A1:L35"/>
  <sheetViews>
    <sheetView zoomScale="75" workbookViewId="0">
      <pane xSplit="1" topLeftCell="B1" activePane="topRight" state="frozen"/>
      <selection pane="topRight"/>
    </sheetView>
  </sheetViews>
  <sheetFormatPr defaultColWidth="17" defaultRowHeight="15.6" x14ac:dyDescent="0.25"/>
  <cols>
    <col min="1" max="1" width="39.44140625" style="31" customWidth="1"/>
    <col min="2" max="2" width="17" style="31"/>
    <col min="3" max="3" width="21.44140625" style="32" customWidth="1"/>
    <col min="4" max="4" width="21.44140625" style="33" customWidth="1"/>
    <col min="5" max="9" width="21.44140625" style="31" customWidth="1"/>
    <col min="10" max="16384" width="17" style="31"/>
  </cols>
  <sheetData>
    <row r="1" spans="1:9" x14ac:dyDescent="0.25">
      <c r="A1" s="31" t="s">
        <v>0</v>
      </c>
    </row>
    <row r="2" spans="1:9" x14ac:dyDescent="0.3">
      <c r="A2" s="6" t="str">
        <f>'1'!A2</f>
        <v xml:space="preserve">ПАО "ДОРОГОБУЖ" </v>
      </c>
      <c r="B2" s="7"/>
    </row>
    <row r="3" spans="1:9" ht="16.2" x14ac:dyDescent="0.25">
      <c r="A3" s="34" t="s">
        <v>56</v>
      </c>
      <c r="B3" s="35" t="str">
        <f>'1'!B3</f>
        <v xml:space="preserve">2013-2019 годы </v>
      </c>
      <c r="E3" s="36"/>
    </row>
    <row r="4" spans="1:9" ht="16.2" x14ac:dyDescent="0.25">
      <c r="A4" s="37" t="s">
        <v>4</v>
      </c>
      <c r="B4" s="38" t="s">
        <v>5</v>
      </c>
    </row>
    <row r="5" spans="1:9" s="37" customFormat="1" ht="31.2" x14ac:dyDescent="0.25">
      <c r="A5" s="39" t="s">
        <v>57</v>
      </c>
      <c r="B5" s="40" t="s">
        <v>58</v>
      </c>
      <c r="C5" s="12" t="s">
        <v>59</v>
      </c>
      <c r="D5" s="12" t="s">
        <v>60</v>
      </c>
      <c r="E5" s="12" t="s">
        <v>61</v>
      </c>
      <c r="F5" s="12" t="s">
        <v>62</v>
      </c>
      <c r="G5" s="12" t="s">
        <v>63</v>
      </c>
      <c r="H5" s="12" t="s">
        <v>64</v>
      </c>
      <c r="I5" s="12" t="s">
        <v>65</v>
      </c>
    </row>
    <row r="6" spans="1:9" ht="12.75" customHeight="1" x14ac:dyDescent="0.25">
      <c r="A6" s="39" t="s">
        <v>66</v>
      </c>
      <c r="B6" s="41"/>
      <c r="C6" s="42"/>
      <c r="D6" s="42"/>
      <c r="E6" s="42"/>
      <c r="F6" s="42"/>
      <c r="G6" s="42"/>
      <c r="H6" s="42"/>
      <c r="I6" s="42"/>
    </row>
    <row r="7" spans="1:9" s="33" customFormat="1" x14ac:dyDescent="0.25">
      <c r="A7" s="43" t="s">
        <v>67</v>
      </c>
      <c r="B7" s="44">
        <v>2110</v>
      </c>
      <c r="C7" s="44">
        <v>21650314</v>
      </c>
      <c r="D7" s="44">
        <v>27154819</v>
      </c>
      <c r="E7" s="44">
        <v>24000677</v>
      </c>
      <c r="F7" s="44">
        <v>23253619</v>
      </c>
      <c r="G7" s="44">
        <v>26654915</v>
      </c>
      <c r="H7" s="44">
        <v>16131092</v>
      </c>
      <c r="I7" s="44">
        <v>17359621</v>
      </c>
    </row>
    <row r="8" spans="1:9" x14ac:dyDescent="0.25">
      <c r="A8" s="45" t="s">
        <v>68</v>
      </c>
      <c r="B8" s="44">
        <v>2120</v>
      </c>
      <c r="C8" s="44">
        <v>-13418367</v>
      </c>
      <c r="D8" s="44">
        <v>-14616025</v>
      </c>
      <c r="E8" s="44">
        <v>-12781114</v>
      </c>
      <c r="F8" s="44">
        <v>-12937806</v>
      </c>
      <c r="G8" s="44">
        <v>-11257301</v>
      </c>
      <c r="H8" s="44">
        <v>-8937073</v>
      </c>
      <c r="I8" s="44">
        <v>-9560909</v>
      </c>
    </row>
    <row r="9" spans="1:9" s="37" customFormat="1" x14ac:dyDescent="0.25">
      <c r="A9" s="46" t="s">
        <v>69</v>
      </c>
      <c r="B9" s="47">
        <v>2100</v>
      </c>
      <c r="C9" s="47">
        <f t="shared" ref="C9:I9" si="0">C7+C8</f>
        <v>8231947</v>
      </c>
      <c r="D9" s="47">
        <f t="shared" si="0"/>
        <v>12538794</v>
      </c>
      <c r="E9" s="47">
        <f t="shared" si="0"/>
        <v>11219563</v>
      </c>
      <c r="F9" s="47">
        <f t="shared" si="0"/>
        <v>10315813</v>
      </c>
      <c r="G9" s="47">
        <f t="shared" si="0"/>
        <v>15397614</v>
      </c>
      <c r="H9" s="47">
        <f t="shared" si="0"/>
        <v>7194019</v>
      </c>
      <c r="I9" s="47">
        <f t="shared" si="0"/>
        <v>7798712</v>
      </c>
    </row>
    <row r="10" spans="1:9" x14ac:dyDescent="0.25">
      <c r="A10" s="45" t="s">
        <v>70</v>
      </c>
      <c r="B10" s="44">
        <v>2210</v>
      </c>
      <c r="C10" s="44">
        <v>-2751252</v>
      </c>
      <c r="D10" s="44">
        <v>-3080637</v>
      </c>
      <c r="E10" s="44">
        <v>-2719112</v>
      </c>
      <c r="F10" s="44">
        <v>-2388888</v>
      </c>
      <c r="G10" s="44">
        <v>-2064941</v>
      </c>
      <c r="H10" s="44">
        <v>-1715664</v>
      </c>
      <c r="I10" s="44">
        <v>-2082936</v>
      </c>
    </row>
    <row r="11" spans="1:9" x14ac:dyDescent="0.25">
      <c r="A11" s="45" t="s">
        <v>71</v>
      </c>
      <c r="B11" s="44">
        <v>2220</v>
      </c>
      <c r="C11" s="44">
        <v>-2173083</v>
      </c>
      <c r="D11" s="44">
        <v>-2047745</v>
      </c>
      <c r="E11" s="44">
        <v>-1814290</v>
      </c>
      <c r="F11" s="44">
        <v>-2227779</v>
      </c>
      <c r="G11" s="44">
        <v>-1712792</v>
      </c>
      <c r="H11" s="44">
        <v>-1391250</v>
      </c>
      <c r="I11" s="44">
        <v>-1250271</v>
      </c>
    </row>
    <row r="12" spans="1:9" s="37" customFormat="1" x14ac:dyDescent="0.25">
      <c r="A12" s="46" t="s">
        <v>72</v>
      </c>
      <c r="B12" s="47">
        <v>2200</v>
      </c>
      <c r="C12" s="47">
        <f t="shared" ref="C12:I12" si="1">C9+C10+C11</f>
        <v>3307612</v>
      </c>
      <c r="D12" s="47">
        <f t="shared" si="1"/>
        <v>7410412</v>
      </c>
      <c r="E12" s="47">
        <f t="shared" si="1"/>
        <v>6686161</v>
      </c>
      <c r="F12" s="47">
        <f t="shared" si="1"/>
        <v>5699146</v>
      </c>
      <c r="G12" s="47">
        <f t="shared" si="1"/>
        <v>11619881</v>
      </c>
      <c r="H12" s="47">
        <f t="shared" si="1"/>
        <v>4087105</v>
      </c>
      <c r="I12" s="47">
        <f t="shared" si="1"/>
        <v>4465505</v>
      </c>
    </row>
    <row r="13" spans="1:9" x14ac:dyDescent="0.25">
      <c r="A13" s="39" t="s">
        <v>73</v>
      </c>
      <c r="B13" s="44"/>
      <c r="C13" s="44"/>
      <c r="D13" s="44"/>
      <c r="E13" s="44"/>
      <c r="F13" s="44"/>
      <c r="G13" s="44"/>
      <c r="H13" s="44"/>
      <c r="I13" s="44"/>
    </row>
    <row r="14" spans="1:9" ht="31.2" x14ac:dyDescent="0.25">
      <c r="A14" s="45" t="s">
        <v>74</v>
      </c>
      <c r="B14" s="44">
        <v>2310</v>
      </c>
      <c r="C14" s="44">
        <v>813755</v>
      </c>
      <c r="D14" s="44">
        <v>476987</v>
      </c>
      <c r="E14" s="44">
        <v>289688</v>
      </c>
      <c r="F14" s="44">
        <v>160729</v>
      </c>
      <c r="G14" s="44">
        <v>51224</v>
      </c>
      <c r="H14" s="44"/>
      <c r="I14" s="44">
        <v>1088</v>
      </c>
    </row>
    <row r="15" spans="1:9" x14ac:dyDescent="0.25">
      <c r="A15" s="45" t="s">
        <v>75</v>
      </c>
      <c r="B15" s="44">
        <v>2320</v>
      </c>
      <c r="C15" s="44">
        <v>1578176</v>
      </c>
      <c r="D15" s="44">
        <v>2026212</v>
      </c>
      <c r="E15" s="44">
        <v>3097686</v>
      </c>
      <c r="F15" s="44">
        <v>3730206</v>
      </c>
      <c r="G15" s="44">
        <v>3530157</v>
      </c>
      <c r="H15" s="44">
        <v>2116170</v>
      </c>
      <c r="I15" s="44">
        <v>1721971</v>
      </c>
    </row>
    <row r="16" spans="1:9" x14ac:dyDescent="0.25">
      <c r="A16" s="45" t="s">
        <v>76</v>
      </c>
      <c r="B16" s="44">
        <v>2330</v>
      </c>
      <c r="C16" s="44"/>
      <c r="D16" s="44">
        <v>-45991</v>
      </c>
      <c r="E16" s="44">
        <v>-329136</v>
      </c>
      <c r="F16" s="44">
        <v>-774458</v>
      </c>
      <c r="G16" s="44">
        <v>-877327</v>
      </c>
      <c r="H16" s="44">
        <v>-430471</v>
      </c>
      <c r="I16" s="44">
        <v>-419765</v>
      </c>
    </row>
    <row r="17" spans="1:12" x14ac:dyDescent="0.25">
      <c r="A17" s="45" t="s">
        <v>77</v>
      </c>
      <c r="B17" s="44">
        <v>2340</v>
      </c>
      <c r="C17" s="44">
        <v>898216</v>
      </c>
      <c r="D17" s="44">
        <v>14716570</v>
      </c>
      <c r="E17" s="44">
        <v>1089682</v>
      </c>
      <c r="F17" s="44">
        <v>1951065</v>
      </c>
      <c r="G17" s="44">
        <v>982583</v>
      </c>
      <c r="H17" s="44">
        <v>986800</v>
      </c>
      <c r="I17" s="44">
        <v>2657807</v>
      </c>
      <c r="J17" s="48"/>
      <c r="K17" s="48"/>
      <c r="L17" s="49"/>
    </row>
    <row r="18" spans="1:12" x14ac:dyDescent="0.25">
      <c r="A18" s="45" t="s">
        <v>78</v>
      </c>
      <c r="B18" s="44">
        <v>2350</v>
      </c>
      <c r="C18" s="44">
        <v>-2130237</v>
      </c>
      <c r="D18" s="44">
        <v>-17398570</v>
      </c>
      <c r="E18" s="44">
        <v>-792416</v>
      </c>
      <c r="F18" s="44">
        <v>-1377711</v>
      </c>
      <c r="G18" s="44">
        <v>-3912599</v>
      </c>
      <c r="H18" s="44">
        <v>-6194082</v>
      </c>
      <c r="I18" s="44">
        <v>-3331305</v>
      </c>
    </row>
    <row r="19" spans="1:12" s="37" customFormat="1" ht="31.2" x14ac:dyDescent="0.25">
      <c r="A19" s="46" t="s">
        <v>79</v>
      </c>
      <c r="B19" s="47">
        <v>2300</v>
      </c>
      <c r="C19" s="47">
        <f t="shared" ref="C19:I19" si="2">C12+C14+C15+C16+C17+C18</f>
        <v>4467522</v>
      </c>
      <c r="D19" s="47">
        <f t="shared" si="2"/>
        <v>7185620</v>
      </c>
      <c r="E19" s="47">
        <f t="shared" si="2"/>
        <v>10041665</v>
      </c>
      <c r="F19" s="47">
        <f t="shared" si="2"/>
        <v>9388977</v>
      </c>
      <c r="G19" s="47">
        <f t="shared" si="2"/>
        <v>11393919</v>
      </c>
      <c r="H19" s="47">
        <f t="shared" si="2"/>
        <v>565522</v>
      </c>
      <c r="I19" s="47">
        <f t="shared" si="2"/>
        <v>5095301</v>
      </c>
    </row>
    <row r="20" spans="1:12" x14ac:dyDescent="0.25">
      <c r="A20" s="45" t="s">
        <v>80</v>
      </c>
      <c r="B20" s="50">
        <v>2410</v>
      </c>
      <c r="C20" s="51">
        <v>-655018</v>
      </c>
      <c r="D20" s="51">
        <v>-2302336</v>
      </c>
      <c r="E20" s="51">
        <v>-1823795</v>
      </c>
      <c r="F20" s="51">
        <v>-1959181</v>
      </c>
      <c r="G20" s="51">
        <v>-2218641</v>
      </c>
      <c r="H20" s="51">
        <v>-190864</v>
      </c>
      <c r="I20" s="51">
        <v>-1066641</v>
      </c>
    </row>
    <row r="21" spans="1:12" ht="31.2" x14ac:dyDescent="0.25">
      <c r="A21" s="45" t="s">
        <v>81</v>
      </c>
      <c r="B21" s="50">
        <v>2421</v>
      </c>
      <c r="C21" s="51">
        <v>-110315</v>
      </c>
      <c r="D21" s="51">
        <v>1005937</v>
      </c>
      <c r="E21" s="51">
        <v>-18381</v>
      </c>
      <c r="F21" s="51">
        <v>57475</v>
      </c>
      <c r="G21" s="51">
        <v>42824</v>
      </c>
      <c r="H21" s="51">
        <v>39720</v>
      </c>
      <c r="I21" s="51">
        <v>45380</v>
      </c>
    </row>
    <row r="22" spans="1:12" ht="31.2" x14ac:dyDescent="0.25">
      <c r="A22" s="45" t="s">
        <v>82</v>
      </c>
      <c r="B22" s="50">
        <v>2430</v>
      </c>
      <c r="C22" s="51">
        <v>-130663</v>
      </c>
      <c r="D22" s="51">
        <v>-132207</v>
      </c>
      <c r="E22" s="51">
        <v>-158331</v>
      </c>
      <c r="F22" s="51">
        <v>13955</v>
      </c>
      <c r="G22" s="51">
        <v>-113768</v>
      </c>
      <c r="H22" s="51">
        <v>-37221</v>
      </c>
      <c r="I22" s="51">
        <v>-11228</v>
      </c>
    </row>
    <row r="23" spans="1:12" ht="31.2" x14ac:dyDescent="0.25">
      <c r="A23" s="45" t="s">
        <v>83</v>
      </c>
      <c r="B23" s="50">
        <v>2450</v>
      </c>
      <c r="C23" s="51">
        <v>2492</v>
      </c>
      <c r="D23" s="51">
        <v>-8518</v>
      </c>
      <c r="E23" s="51">
        <v>-7826</v>
      </c>
      <c r="F23" s="51">
        <v>9955</v>
      </c>
      <c r="G23" s="51">
        <v>10801</v>
      </c>
      <c r="H23" s="51">
        <v>75260</v>
      </c>
      <c r="I23" s="51">
        <v>11107</v>
      </c>
    </row>
    <row r="24" spans="1:12" x14ac:dyDescent="0.25">
      <c r="A24" s="41" t="s">
        <v>84</v>
      </c>
      <c r="B24" s="41">
        <v>2460</v>
      </c>
      <c r="C24" s="50">
        <v>3650</v>
      </c>
      <c r="D24" s="50">
        <v>3421</v>
      </c>
      <c r="E24" s="50">
        <v>4594</v>
      </c>
      <c r="F24" s="50">
        <v>5292</v>
      </c>
      <c r="G24" s="50">
        <v>2083</v>
      </c>
      <c r="H24" s="50">
        <v>-209</v>
      </c>
      <c r="I24" s="50">
        <v>-99</v>
      </c>
    </row>
    <row r="25" spans="1:12" s="37" customFormat="1" x14ac:dyDescent="0.25">
      <c r="A25" s="46" t="s">
        <v>85</v>
      </c>
      <c r="B25" s="40">
        <v>2400</v>
      </c>
      <c r="C25" s="52">
        <f>C19+C20+C22+C23+C24</f>
        <v>3687983</v>
      </c>
      <c r="D25" s="52">
        <f t="shared" ref="D25:I25" si="3">D19+D20+D22+D23+D24</f>
        <v>4745980</v>
      </c>
      <c r="E25" s="52">
        <f t="shared" si="3"/>
        <v>8056307</v>
      </c>
      <c r="F25" s="52">
        <f t="shared" si="3"/>
        <v>7458998</v>
      </c>
      <c r="G25" s="52">
        <f t="shared" si="3"/>
        <v>9074394</v>
      </c>
      <c r="H25" s="52">
        <f t="shared" si="3"/>
        <v>412488</v>
      </c>
      <c r="I25" s="52">
        <f t="shared" si="3"/>
        <v>4028440</v>
      </c>
    </row>
    <row r="26" spans="1:12" x14ac:dyDescent="0.25">
      <c r="C26" s="31"/>
      <c r="D26" s="31"/>
    </row>
    <row r="27" spans="1:12" x14ac:dyDescent="0.25">
      <c r="C27" s="31"/>
      <c r="D27" s="31"/>
      <c r="G27" s="53"/>
      <c r="H27" s="53"/>
    </row>
    <row r="28" spans="1:12" x14ac:dyDescent="0.25">
      <c r="C28" s="31"/>
      <c r="D28" s="31"/>
    </row>
    <row r="29" spans="1:12" ht="31.2" x14ac:dyDescent="0.25">
      <c r="A29" s="39" t="s">
        <v>86</v>
      </c>
      <c r="B29" s="40" t="s">
        <v>58</v>
      </c>
      <c r="C29" s="54" t="str">
        <f t="shared" ref="C29:I29" si="4">C5</f>
        <v>за январь-декабрь 2019 года</v>
      </c>
      <c r="D29" s="54" t="str">
        <f t="shared" si="4"/>
        <v>за январь-декабрь 2018 года</v>
      </c>
      <c r="E29" s="54" t="str">
        <f t="shared" si="4"/>
        <v>за январь-декабрь 2017 года</v>
      </c>
      <c r="F29" s="54" t="str">
        <f t="shared" si="4"/>
        <v>за январь-декабрь 2016 года</v>
      </c>
      <c r="G29" s="54" t="str">
        <f t="shared" si="4"/>
        <v>за январь-декабрь 2015 года</v>
      </c>
      <c r="H29" s="54" t="str">
        <f t="shared" si="4"/>
        <v>за январь-декабрь 2014 года</v>
      </c>
      <c r="I29" s="54" t="str">
        <f t="shared" si="4"/>
        <v>за январь-декабрь 2013 года</v>
      </c>
    </row>
    <row r="30" spans="1:12" x14ac:dyDescent="0.25">
      <c r="A30" s="55" t="s">
        <v>87</v>
      </c>
      <c r="B30" s="56"/>
      <c r="C30" s="57"/>
      <c r="D30" s="57"/>
      <c r="E30" s="57"/>
      <c r="F30" s="57"/>
      <c r="G30" s="57"/>
      <c r="H30" s="57"/>
      <c r="I30" s="57"/>
    </row>
    <row r="31" spans="1:12" ht="53.25" customHeight="1" x14ac:dyDescent="0.25">
      <c r="A31" s="45" t="s">
        <v>88</v>
      </c>
      <c r="B31" s="50">
        <v>2510</v>
      </c>
      <c r="C31" s="58"/>
      <c r="D31" s="58"/>
      <c r="E31" s="58"/>
      <c r="F31" s="58"/>
      <c r="G31" s="58"/>
      <c r="H31" s="58"/>
      <c r="I31" s="58"/>
    </row>
    <row r="32" spans="1:12" ht="46.8" x14ac:dyDescent="0.25">
      <c r="A32" s="45" t="s">
        <v>89</v>
      </c>
      <c r="B32" s="50">
        <v>2520</v>
      </c>
      <c r="C32" s="59"/>
      <c r="D32" s="59"/>
      <c r="E32" s="59"/>
      <c r="F32" s="59"/>
      <c r="G32" s="59"/>
      <c r="H32" s="59"/>
      <c r="I32" s="59"/>
      <c r="J32" s="60"/>
      <c r="K32" s="60"/>
      <c r="L32" s="60"/>
    </row>
    <row r="33" spans="1:9" ht="31.2" x14ac:dyDescent="0.25">
      <c r="A33" s="45" t="s">
        <v>90</v>
      </c>
      <c r="B33" s="41">
        <v>2500</v>
      </c>
      <c r="C33" s="61">
        <v>3687983</v>
      </c>
      <c r="D33" s="61">
        <v>4745980</v>
      </c>
      <c r="E33" s="61">
        <v>8056307</v>
      </c>
      <c r="F33" s="61">
        <v>7458998</v>
      </c>
      <c r="G33" s="61">
        <v>9074394</v>
      </c>
      <c r="H33" s="61">
        <v>412488</v>
      </c>
      <c r="I33" s="61">
        <v>4028440</v>
      </c>
    </row>
    <row r="34" spans="1:9" ht="31.2" x14ac:dyDescent="0.25">
      <c r="A34" s="45" t="s">
        <v>91</v>
      </c>
      <c r="B34" s="41">
        <v>2900</v>
      </c>
      <c r="C34" s="62">
        <v>4.2100000000000002E-3</v>
      </c>
      <c r="D34" s="62">
        <v>5.4200000000000003E-3</v>
      </c>
      <c r="E34" s="62">
        <v>9.1999999999999998E-3</v>
      </c>
      <c r="F34" s="62">
        <v>8.5299999999999994E-3</v>
      </c>
      <c r="G34" s="62">
        <v>1.133E-2</v>
      </c>
      <c r="H34" s="63"/>
      <c r="I34" s="63"/>
    </row>
    <row r="35" spans="1:9" ht="31.2" x14ac:dyDescent="0.25">
      <c r="A35" s="45" t="s">
        <v>92</v>
      </c>
      <c r="B35" s="41">
        <v>2910</v>
      </c>
      <c r="C35" s="63"/>
      <c r="D35" s="63"/>
      <c r="E35" s="63"/>
      <c r="F35" s="62"/>
      <c r="G35" s="62">
        <v>1.0370000000000001E-2</v>
      </c>
      <c r="H35" s="63"/>
      <c r="I35" s="63"/>
    </row>
  </sheetData>
  <pageMargins left="0.75" right="0.75" top="0.51000000000000023" bottom="0.51000000000000023" header="0.5" footer="0.5"/>
  <pageSetup paperSize="9" scale="38"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5">
    <tabColor indexed="45"/>
    <pageSetUpPr fitToPage="1"/>
  </sheetPr>
  <dimension ref="A1:K142"/>
  <sheetViews>
    <sheetView topLeftCell="A124" zoomScale="75" workbookViewId="0">
      <selection activeCell="G147" sqref="G147"/>
    </sheetView>
  </sheetViews>
  <sheetFormatPr defaultColWidth="9.109375" defaultRowHeight="15.6" x14ac:dyDescent="0.3"/>
  <cols>
    <col min="1" max="1" width="44" style="64" customWidth="1"/>
    <col min="2" max="2" width="9.109375" style="65"/>
    <col min="3" max="7" width="15.44140625" style="65" customWidth="1"/>
    <col min="8" max="9" width="15.44140625" style="64" customWidth="1"/>
    <col min="10" max="10" width="15.5546875" style="64" customWidth="1"/>
    <col min="11" max="13" width="12.5546875" style="64" customWidth="1"/>
    <col min="14" max="16384" width="9.109375" style="64"/>
  </cols>
  <sheetData>
    <row r="1" spans="1:10" x14ac:dyDescent="0.3">
      <c r="A1" s="64" t="s">
        <v>0</v>
      </c>
      <c r="F1" s="64"/>
      <c r="G1" s="64"/>
    </row>
    <row r="2" spans="1:10" x14ac:dyDescent="0.3">
      <c r="A2" s="6" t="str">
        <f>'1'!A2</f>
        <v xml:space="preserve">ПАО "ДОРОГОБУЖ" </v>
      </c>
      <c r="B2" s="7"/>
      <c r="C2" s="33"/>
      <c r="D2" s="33"/>
      <c r="E2" s="31"/>
      <c r="F2" s="64"/>
      <c r="G2" s="64"/>
    </row>
    <row r="3" spans="1:10" x14ac:dyDescent="0.3">
      <c r="A3" s="66" t="s">
        <v>93</v>
      </c>
      <c r="B3" s="67" t="str">
        <f>'1'!B3</f>
        <v xml:space="preserve">2013-2019 годы </v>
      </c>
    </row>
    <row r="4" spans="1:10" ht="16.2" x14ac:dyDescent="0.35">
      <c r="A4" s="37" t="s">
        <v>4</v>
      </c>
      <c r="B4" s="8" t="s">
        <v>5</v>
      </c>
    </row>
    <row r="5" spans="1:10" x14ac:dyDescent="0.3">
      <c r="A5" s="66"/>
      <c r="B5" s="68" t="s">
        <v>94</v>
      </c>
    </row>
    <row r="6" spans="1:10" s="33" customFormat="1" ht="78.75" customHeight="1" x14ac:dyDescent="0.25">
      <c r="A6" s="50" t="s">
        <v>57</v>
      </c>
      <c r="B6" s="50" t="s">
        <v>95</v>
      </c>
      <c r="C6" s="69" t="s">
        <v>96</v>
      </c>
      <c r="D6" s="69" t="s">
        <v>39</v>
      </c>
      <c r="E6" s="69" t="s">
        <v>97</v>
      </c>
      <c r="F6" s="69" t="s">
        <v>42</v>
      </c>
      <c r="G6" s="69" t="s">
        <v>43</v>
      </c>
      <c r="H6" s="69" t="s">
        <v>98</v>
      </c>
    </row>
    <row r="7" spans="1:10" s="70" customFormat="1" x14ac:dyDescent="0.25">
      <c r="A7" s="46" t="s">
        <v>99</v>
      </c>
      <c r="B7" s="71">
        <v>3100</v>
      </c>
      <c r="C7" s="46">
        <v>218860</v>
      </c>
      <c r="D7" s="47"/>
      <c r="E7" s="46">
        <v>647922</v>
      </c>
      <c r="F7" s="46">
        <v>32829</v>
      </c>
      <c r="G7" s="46">
        <v>21162720</v>
      </c>
      <c r="H7" s="47">
        <f t="shared" ref="H7:H8" si="0">C7+D7+E7+F7+G7</f>
        <v>22062331</v>
      </c>
    </row>
    <row r="8" spans="1:10" s="72" customFormat="1" x14ac:dyDescent="0.25">
      <c r="A8" s="73" t="s">
        <v>100</v>
      </c>
      <c r="B8" s="74"/>
      <c r="C8" s="75"/>
      <c r="D8" s="75"/>
      <c r="E8" s="75"/>
      <c r="F8" s="75"/>
      <c r="G8" s="45"/>
      <c r="H8" s="44">
        <f t="shared" si="0"/>
        <v>0</v>
      </c>
    </row>
    <row r="9" spans="1:10" s="70" customFormat="1" x14ac:dyDescent="0.25">
      <c r="A9" s="76" t="s">
        <v>101</v>
      </c>
      <c r="B9" s="71">
        <v>3210</v>
      </c>
      <c r="C9" s="54"/>
      <c r="D9" s="54">
        <v>0</v>
      </c>
      <c r="E9" s="54">
        <f>E11</f>
        <v>0</v>
      </c>
      <c r="F9" s="54" t="s">
        <v>102</v>
      </c>
      <c r="G9" s="54">
        <f>G10+G11</f>
        <v>4028859</v>
      </c>
      <c r="H9" s="47">
        <f>C9+D9+E9+G9</f>
        <v>4028859</v>
      </c>
      <c r="J9" s="72"/>
    </row>
    <row r="10" spans="1:10" s="72" customFormat="1" x14ac:dyDescent="0.25">
      <c r="A10" s="45" t="s">
        <v>103</v>
      </c>
      <c r="B10" s="74">
        <v>3211</v>
      </c>
      <c r="C10" s="75" t="s">
        <v>102</v>
      </c>
      <c r="D10" s="75" t="s">
        <v>102</v>
      </c>
      <c r="E10" s="75" t="s">
        <v>102</v>
      </c>
      <c r="F10" s="75" t="s">
        <v>102</v>
      </c>
      <c r="G10" s="75">
        <v>4028859</v>
      </c>
      <c r="H10" s="47">
        <f>G10</f>
        <v>4028859</v>
      </c>
    </row>
    <row r="11" spans="1:10" s="72" customFormat="1" x14ac:dyDescent="0.25">
      <c r="A11" s="45" t="s">
        <v>104</v>
      </c>
      <c r="B11" s="74">
        <v>3212</v>
      </c>
      <c r="C11" s="75" t="s">
        <v>102</v>
      </c>
      <c r="D11" s="75" t="s">
        <v>102</v>
      </c>
      <c r="E11" s="75"/>
      <c r="F11" s="75" t="s">
        <v>102</v>
      </c>
      <c r="G11" s="45"/>
      <c r="H11" s="44"/>
    </row>
    <row r="12" spans="1:10" s="72" customFormat="1" ht="31.2" x14ac:dyDescent="0.25">
      <c r="A12" s="45" t="s">
        <v>105</v>
      </c>
      <c r="B12" s="74">
        <v>3213</v>
      </c>
      <c r="C12" s="75" t="s">
        <v>102</v>
      </c>
      <c r="D12" s="75" t="s">
        <v>102</v>
      </c>
      <c r="E12" s="75"/>
      <c r="F12" s="75" t="s">
        <v>102</v>
      </c>
      <c r="G12" s="75">
        <v>419</v>
      </c>
      <c r="H12" s="44">
        <f>E12+G12</f>
        <v>419</v>
      </c>
    </row>
    <row r="13" spans="1:10" s="72" customFormat="1" x14ac:dyDescent="0.25">
      <c r="A13" s="45" t="s">
        <v>106</v>
      </c>
      <c r="B13" s="74">
        <v>3214</v>
      </c>
      <c r="C13" s="44"/>
      <c r="D13" s="44"/>
      <c r="E13" s="44"/>
      <c r="F13" s="75" t="s">
        <v>102</v>
      </c>
      <c r="G13" s="75" t="s">
        <v>102</v>
      </c>
      <c r="H13" s="44">
        <f>C13+D13+E13</f>
        <v>0</v>
      </c>
    </row>
    <row r="14" spans="1:10" s="72" customFormat="1" ht="17.25" customHeight="1" x14ac:dyDescent="0.25">
      <c r="A14" s="45" t="s">
        <v>107</v>
      </c>
      <c r="B14" s="74">
        <v>3215</v>
      </c>
      <c r="C14" s="44"/>
      <c r="D14" s="44"/>
      <c r="E14" s="44"/>
      <c r="F14" s="75" t="s">
        <v>102</v>
      </c>
      <c r="G14" s="75" t="s">
        <v>108</v>
      </c>
      <c r="H14" s="44" t="s">
        <v>102</v>
      </c>
    </row>
    <row r="15" spans="1:10" s="72" customFormat="1" x14ac:dyDescent="0.25">
      <c r="A15" s="45" t="s">
        <v>109</v>
      </c>
      <c r="B15" s="74">
        <v>3216</v>
      </c>
      <c r="C15" s="75"/>
      <c r="D15" s="75"/>
      <c r="E15" s="75"/>
      <c r="F15" s="75"/>
      <c r="G15" s="75"/>
      <c r="H15" s="44">
        <f>C15+D15+E15+F15+G15</f>
        <v>0</v>
      </c>
    </row>
    <row r="16" spans="1:10" s="77" customFormat="1" x14ac:dyDescent="0.3">
      <c r="A16" s="76" t="s">
        <v>110</v>
      </c>
      <c r="B16" s="71">
        <v>3220</v>
      </c>
      <c r="C16" s="54"/>
      <c r="D16" s="54">
        <v>0</v>
      </c>
      <c r="E16" s="54">
        <f>E18</f>
        <v>0</v>
      </c>
      <c r="F16" s="54" t="s">
        <v>102</v>
      </c>
      <c r="G16" s="54">
        <f>G19+G23</f>
        <v>-185108</v>
      </c>
      <c r="H16" s="47">
        <f>C16+D16+E16+G16</f>
        <v>-185108</v>
      </c>
    </row>
    <row r="17" spans="1:11" s="78" customFormat="1" x14ac:dyDescent="0.3">
      <c r="A17" s="45" t="s">
        <v>111</v>
      </c>
      <c r="B17" s="74">
        <v>3221</v>
      </c>
      <c r="C17" s="75" t="s">
        <v>102</v>
      </c>
      <c r="D17" s="75" t="s">
        <v>102</v>
      </c>
      <c r="E17" s="75" t="s">
        <v>102</v>
      </c>
      <c r="F17" s="75" t="s">
        <v>102</v>
      </c>
      <c r="G17" s="75"/>
      <c r="H17" s="44">
        <f>G17</f>
        <v>0</v>
      </c>
    </row>
    <row r="18" spans="1:11" s="78" customFormat="1" x14ac:dyDescent="0.3">
      <c r="A18" s="45" t="s">
        <v>104</v>
      </c>
      <c r="B18" s="74">
        <v>3222</v>
      </c>
      <c r="C18" s="75" t="s">
        <v>102</v>
      </c>
      <c r="D18" s="75" t="s">
        <v>102</v>
      </c>
      <c r="E18" s="75"/>
      <c r="F18" s="75" t="s">
        <v>102</v>
      </c>
      <c r="G18" s="45"/>
      <c r="H18" s="44">
        <f>E18+G18</f>
        <v>0</v>
      </c>
    </row>
    <row r="19" spans="1:11" s="78" customFormat="1" ht="31.2" x14ac:dyDescent="0.3">
      <c r="A19" s="45" t="s">
        <v>112</v>
      </c>
      <c r="B19" s="74">
        <v>3223</v>
      </c>
      <c r="C19" s="75" t="s">
        <v>102</v>
      </c>
      <c r="D19" s="75" t="s">
        <v>102</v>
      </c>
      <c r="E19" s="75"/>
      <c r="F19" s="75" t="s">
        <v>102</v>
      </c>
      <c r="G19" s="75">
        <v>0</v>
      </c>
      <c r="H19" s="44">
        <f>G19</f>
        <v>0</v>
      </c>
    </row>
    <row r="20" spans="1:11" s="78" customFormat="1" ht="20.25" customHeight="1" x14ac:dyDescent="0.3">
      <c r="A20" s="45" t="s">
        <v>113</v>
      </c>
      <c r="B20" s="74">
        <v>3224</v>
      </c>
      <c r="C20" s="75"/>
      <c r="D20" s="75"/>
      <c r="E20" s="75"/>
      <c r="F20" s="75"/>
      <c r="G20" s="75"/>
      <c r="H20" s="44"/>
    </row>
    <row r="21" spans="1:11" s="78" customFormat="1" x14ac:dyDescent="0.3">
      <c r="A21" s="45" t="s">
        <v>114</v>
      </c>
      <c r="B21" s="74">
        <v>3225</v>
      </c>
      <c r="C21" s="44"/>
      <c r="D21" s="44"/>
      <c r="E21" s="44"/>
      <c r="F21" s="75" t="s">
        <v>102</v>
      </c>
      <c r="G21" s="75" t="s">
        <v>102</v>
      </c>
      <c r="H21" s="44">
        <f>C21+D21+E21</f>
        <v>0</v>
      </c>
    </row>
    <row r="22" spans="1:11" s="78" customFormat="1" x14ac:dyDescent="0.3">
      <c r="A22" s="45" t="s">
        <v>109</v>
      </c>
      <c r="B22" s="74">
        <v>3226</v>
      </c>
      <c r="C22" s="75"/>
      <c r="D22" s="75"/>
      <c r="E22" s="75"/>
      <c r="F22" s="75"/>
      <c r="G22" s="75"/>
      <c r="H22" s="44">
        <f>C22+D22+E22+F22+G22</f>
        <v>0</v>
      </c>
    </row>
    <row r="23" spans="1:11" s="78" customFormat="1" x14ac:dyDescent="0.3">
      <c r="A23" s="79" t="s">
        <v>115</v>
      </c>
      <c r="B23" s="74">
        <v>3227</v>
      </c>
      <c r="C23" s="80"/>
      <c r="D23" s="80"/>
      <c r="E23" s="80"/>
      <c r="F23" s="81"/>
      <c r="G23" s="81">
        <v>-185108</v>
      </c>
      <c r="H23" s="44">
        <f>G23</f>
        <v>-185108</v>
      </c>
    </row>
    <row r="24" spans="1:11" s="78" customFormat="1" x14ac:dyDescent="0.3">
      <c r="A24" s="79" t="s">
        <v>116</v>
      </c>
      <c r="B24" s="82">
        <v>3230</v>
      </c>
      <c r="C24" s="80"/>
      <c r="D24" s="80"/>
      <c r="E24" s="80">
        <v>-20801</v>
      </c>
      <c r="F24" s="80"/>
      <c r="G24" s="80">
        <f>-E24</f>
        <v>20801</v>
      </c>
      <c r="H24" s="80" t="s">
        <v>102</v>
      </c>
    </row>
    <row r="25" spans="1:11" s="78" customFormat="1" x14ac:dyDescent="0.3">
      <c r="A25" s="79" t="s">
        <v>117</v>
      </c>
      <c r="B25" s="82">
        <v>3240</v>
      </c>
      <c r="C25" s="80"/>
      <c r="D25" s="80"/>
      <c r="E25" s="80"/>
      <c r="F25" s="80"/>
      <c r="G25" s="80"/>
      <c r="H25" s="83"/>
    </row>
    <row r="26" spans="1:11" s="78" customFormat="1" x14ac:dyDescent="0.3">
      <c r="A26" s="84" t="s">
        <v>118</v>
      </c>
      <c r="B26" s="82">
        <v>3200</v>
      </c>
      <c r="C26" s="85">
        <f>C7+C9+C16</f>
        <v>218860</v>
      </c>
      <c r="D26" s="85">
        <f>D7+D9+D16</f>
        <v>0</v>
      </c>
      <c r="E26" s="85">
        <f>E7+E9+E16+E24</f>
        <v>627121</v>
      </c>
      <c r="F26" s="85">
        <f>F7+F25</f>
        <v>32829</v>
      </c>
      <c r="G26" s="85">
        <f>G7+G9+G16+G25+G24</f>
        <v>25027272</v>
      </c>
      <c r="H26" s="85">
        <f>H7+H9+H16</f>
        <v>25906082</v>
      </c>
      <c r="I26" s="78">
        <f>H26-'1'!D37</f>
        <v>-19837952</v>
      </c>
    </row>
    <row r="27" spans="1:11" s="78" customFormat="1" x14ac:dyDescent="0.3">
      <c r="A27" s="73" t="s">
        <v>119</v>
      </c>
      <c r="B27" s="74"/>
      <c r="C27" s="75"/>
      <c r="D27" s="75"/>
      <c r="E27" s="75"/>
      <c r="F27" s="75"/>
      <c r="G27" s="45"/>
      <c r="H27" s="44">
        <f>C27+D27+E27+F27+G27</f>
        <v>0</v>
      </c>
    </row>
    <row r="28" spans="1:11" s="77" customFormat="1" x14ac:dyDescent="0.3">
      <c r="A28" s="76" t="s">
        <v>101</v>
      </c>
      <c r="B28" s="71">
        <v>3310</v>
      </c>
      <c r="C28" s="54"/>
      <c r="D28" s="54"/>
      <c r="E28" s="54">
        <f>SUM(E29:E33)</f>
        <v>0</v>
      </c>
      <c r="F28" s="54" t="s">
        <v>102</v>
      </c>
      <c r="G28" s="54">
        <f>SUM(G29:G33)</f>
        <v>414506</v>
      </c>
      <c r="H28" s="47">
        <f>C28+D28+E28+G28</f>
        <v>414506</v>
      </c>
      <c r="K28" s="86"/>
    </row>
    <row r="29" spans="1:11" s="78" customFormat="1" x14ac:dyDescent="0.3">
      <c r="A29" s="45" t="s">
        <v>103</v>
      </c>
      <c r="B29" s="74">
        <v>3311</v>
      </c>
      <c r="C29" s="75" t="s">
        <v>102</v>
      </c>
      <c r="D29" s="75" t="s">
        <v>102</v>
      </c>
      <c r="E29" s="75" t="s">
        <v>102</v>
      </c>
      <c r="F29" s="75" t="s">
        <v>102</v>
      </c>
      <c r="G29" s="75">
        <v>412488</v>
      </c>
      <c r="H29" s="44">
        <f>G29</f>
        <v>412488</v>
      </c>
    </row>
    <row r="30" spans="1:11" s="78" customFormat="1" x14ac:dyDescent="0.3">
      <c r="A30" s="45" t="s">
        <v>104</v>
      </c>
      <c r="B30" s="74">
        <v>3312</v>
      </c>
      <c r="C30" s="75" t="s">
        <v>102</v>
      </c>
      <c r="D30" s="75" t="s">
        <v>102</v>
      </c>
      <c r="E30" s="75"/>
      <c r="F30" s="75" t="s">
        <v>102</v>
      </c>
      <c r="G30" s="45">
        <v>0</v>
      </c>
      <c r="H30" s="44">
        <f t="shared" ref="H30:H31" si="1">SUM(C30:G30)</f>
        <v>0</v>
      </c>
    </row>
    <row r="31" spans="1:11" s="78" customFormat="1" ht="31.2" x14ac:dyDescent="0.3">
      <c r="A31" s="45" t="s">
        <v>105</v>
      </c>
      <c r="B31" s="74">
        <v>3313</v>
      </c>
      <c r="C31" s="75" t="s">
        <v>102</v>
      </c>
      <c r="D31" s="75" t="s">
        <v>102</v>
      </c>
      <c r="E31" s="75"/>
      <c r="F31" s="75" t="s">
        <v>102</v>
      </c>
      <c r="G31" s="75">
        <v>2018</v>
      </c>
      <c r="H31" s="44">
        <f t="shared" si="1"/>
        <v>2018</v>
      </c>
    </row>
    <row r="32" spans="1:11" s="78" customFormat="1" x14ac:dyDescent="0.3">
      <c r="A32" s="45" t="s">
        <v>106</v>
      </c>
      <c r="B32" s="74">
        <v>3314</v>
      </c>
      <c r="C32" s="44"/>
      <c r="D32" s="44"/>
      <c r="E32" s="44"/>
      <c r="F32" s="75" t="s">
        <v>102</v>
      </c>
      <c r="G32" s="75" t="s">
        <v>102</v>
      </c>
      <c r="H32" s="44">
        <f>C32+D32+E32</f>
        <v>0</v>
      </c>
    </row>
    <row r="33" spans="1:11" s="78" customFormat="1" x14ac:dyDescent="0.3">
      <c r="A33" s="45" t="s">
        <v>109</v>
      </c>
      <c r="B33" s="74">
        <v>3315</v>
      </c>
      <c r="C33" s="75"/>
      <c r="D33" s="75"/>
      <c r="E33" s="75"/>
      <c r="F33" s="75"/>
      <c r="G33" s="75"/>
      <c r="H33" s="44">
        <f>C33+D33+E33+F33+G33</f>
        <v>0</v>
      </c>
      <c r="K33" s="87"/>
    </row>
    <row r="34" spans="1:11" s="77" customFormat="1" x14ac:dyDescent="0.3">
      <c r="A34" s="76" t="s">
        <v>110</v>
      </c>
      <c r="B34" s="71">
        <v>3320</v>
      </c>
      <c r="C34" s="54">
        <v>0</v>
      </c>
      <c r="D34" s="54">
        <v>0</v>
      </c>
      <c r="E34" s="54">
        <v>0</v>
      </c>
      <c r="F34" s="54">
        <v>0</v>
      </c>
      <c r="G34" s="54">
        <f>SUM(G35:G41)</f>
        <v>-185108</v>
      </c>
      <c r="H34" s="47">
        <f>C34+D34+E34+G34</f>
        <v>-185108</v>
      </c>
    </row>
    <row r="35" spans="1:11" s="78" customFormat="1" x14ac:dyDescent="0.3">
      <c r="A35" s="45" t="s">
        <v>111</v>
      </c>
      <c r="B35" s="74">
        <v>3321</v>
      </c>
      <c r="C35" s="75" t="s">
        <v>102</v>
      </c>
      <c r="D35" s="75" t="s">
        <v>102</v>
      </c>
      <c r="E35" s="75" t="s">
        <v>102</v>
      </c>
      <c r="F35" s="75" t="s">
        <v>102</v>
      </c>
      <c r="G35" s="75"/>
      <c r="H35" s="44">
        <f t="shared" ref="H35:H36" si="2">G35</f>
        <v>0</v>
      </c>
      <c r="J35" s="87"/>
      <c r="K35" s="87"/>
    </row>
    <row r="36" spans="1:11" s="78" customFormat="1" x14ac:dyDescent="0.3">
      <c r="A36" s="45" t="s">
        <v>104</v>
      </c>
      <c r="B36" s="74">
        <v>3322</v>
      </c>
      <c r="C36" s="75" t="s">
        <v>102</v>
      </c>
      <c r="D36" s="75" t="s">
        <v>102</v>
      </c>
      <c r="E36" s="75">
        <v>0</v>
      </c>
      <c r="F36" s="75" t="s">
        <v>102</v>
      </c>
      <c r="G36" s="45"/>
      <c r="H36" s="44">
        <f t="shared" si="2"/>
        <v>0</v>
      </c>
    </row>
    <row r="37" spans="1:11" s="78" customFormat="1" ht="31.2" x14ac:dyDescent="0.3">
      <c r="A37" s="45" t="s">
        <v>112</v>
      </c>
      <c r="B37" s="74">
        <v>3323</v>
      </c>
      <c r="C37" s="75" t="s">
        <v>102</v>
      </c>
      <c r="D37" s="75" t="s">
        <v>102</v>
      </c>
      <c r="E37" s="75"/>
      <c r="F37" s="75" t="s">
        <v>102</v>
      </c>
      <c r="G37" s="75">
        <v>0</v>
      </c>
      <c r="H37" s="44">
        <f>SUM(C37:G37)</f>
        <v>0</v>
      </c>
    </row>
    <row r="38" spans="1:11" s="78" customFormat="1" ht="31.2" x14ac:dyDescent="0.3">
      <c r="A38" s="45" t="s">
        <v>113</v>
      </c>
      <c r="B38" s="74">
        <v>3324</v>
      </c>
      <c r="C38" s="75"/>
      <c r="D38" s="75"/>
      <c r="E38" s="75"/>
      <c r="F38" s="75"/>
      <c r="G38" s="75"/>
      <c r="H38" s="44"/>
    </row>
    <row r="39" spans="1:11" s="78" customFormat="1" x14ac:dyDescent="0.3">
      <c r="A39" s="45" t="s">
        <v>114</v>
      </c>
      <c r="B39" s="74">
        <v>3325</v>
      </c>
      <c r="C39" s="44">
        <v>0</v>
      </c>
      <c r="D39" s="44">
        <v>0</v>
      </c>
      <c r="E39" s="44"/>
      <c r="F39" s="75" t="s">
        <v>102</v>
      </c>
      <c r="G39" s="75" t="s">
        <v>102</v>
      </c>
      <c r="H39" s="44">
        <f>C39+D39+E39</f>
        <v>0</v>
      </c>
    </row>
    <row r="40" spans="1:11" s="78" customFormat="1" x14ac:dyDescent="0.3">
      <c r="A40" s="45" t="s">
        <v>109</v>
      </c>
      <c r="B40" s="74">
        <v>3326</v>
      </c>
      <c r="C40" s="75"/>
      <c r="D40" s="75"/>
      <c r="E40" s="75"/>
      <c r="F40" s="75"/>
      <c r="G40" s="75">
        <v>0</v>
      </c>
      <c r="H40" s="44">
        <f>C40+D40+E40+F40+G40</f>
        <v>0</v>
      </c>
    </row>
    <row r="41" spans="1:11" s="78" customFormat="1" x14ac:dyDescent="0.3">
      <c r="A41" s="79" t="s">
        <v>115</v>
      </c>
      <c r="B41" s="74">
        <v>3327</v>
      </c>
      <c r="C41" s="80"/>
      <c r="D41" s="80"/>
      <c r="E41" s="80"/>
      <c r="F41" s="81"/>
      <c r="G41" s="81">
        <v>-185108</v>
      </c>
      <c r="H41" s="44">
        <f>G41</f>
        <v>-185108</v>
      </c>
    </row>
    <row r="42" spans="1:11" s="78" customFormat="1" x14ac:dyDescent="0.3">
      <c r="A42" s="79" t="s">
        <v>116</v>
      </c>
      <c r="B42" s="82">
        <v>3330</v>
      </c>
      <c r="C42" s="80"/>
      <c r="D42" s="80"/>
      <c r="E42" s="80">
        <v>-11568</v>
      </c>
      <c r="F42" s="80"/>
      <c r="G42" s="80">
        <f>-E42</f>
        <v>11568</v>
      </c>
      <c r="H42" s="80" t="s">
        <v>102</v>
      </c>
    </row>
    <row r="43" spans="1:11" s="78" customFormat="1" x14ac:dyDescent="0.3">
      <c r="A43" s="79" t="s">
        <v>117</v>
      </c>
      <c r="B43" s="82">
        <v>3340</v>
      </c>
      <c r="C43" s="80"/>
      <c r="D43" s="80"/>
      <c r="E43" s="80"/>
      <c r="F43" s="80"/>
      <c r="G43" s="80"/>
      <c r="H43" s="80" t="s">
        <v>102</v>
      </c>
    </row>
    <row r="44" spans="1:11" s="77" customFormat="1" x14ac:dyDescent="0.3">
      <c r="A44" s="84" t="s">
        <v>120</v>
      </c>
      <c r="B44" s="88">
        <v>3300</v>
      </c>
      <c r="C44" s="85">
        <f>C26+C28+C34</f>
        <v>218860</v>
      </c>
      <c r="D44" s="85">
        <f>D26+D28+D34</f>
        <v>0</v>
      </c>
      <c r="E44" s="85">
        <f>E26+E28+E42</f>
        <v>615553</v>
      </c>
      <c r="F44" s="85">
        <f>F26+F43</f>
        <v>32829</v>
      </c>
      <c r="G44" s="85">
        <f>G26+G28+G34+G42+G43</f>
        <v>25268238</v>
      </c>
      <c r="H44" s="85">
        <f>H26+H28+H34</f>
        <v>26135480</v>
      </c>
      <c r="I44" s="77">
        <f>H44-'1'!C37</f>
        <v>-14283212</v>
      </c>
    </row>
    <row r="45" spans="1:11" s="78" customFormat="1" x14ac:dyDescent="0.3">
      <c r="A45" s="73" t="s">
        <v>121</v>
      </c>
      <c r="B45" s="74"/>
      <c r="C45" s="75"/>
      <c r="D45" s="75"/>
      <c r="E45" s="75"/>
      <c r="F45" s="75"/>
      <c r="G45" s="45"/>
      <c r="H45" s="44">
        <f>C45+D45+E45+F45+G45</f>
        <v>0</v>
      </c>
    </row>
    <row r="46" spans="1:11" s="77" customFormat="1" x14ac:dyDescent="0.3">
      <c r="A46" s="76" t="s">
        <v>101</v>
      </c>
      <c r="B46" s="71">
        <v>3310</v>
      </c>
      <c r="C46" s="54"/>
      <c r="D46" s="54"/>
      <c r="E46" s="54">
        <f>SUM(E47:E51)</f>
        <v>0</v>
      </c>
      <c r="F46" s="54" t="s">
        <v>102</v>
      </c>
      <c r="G46" s="54">
        <f>SUM(G47:G51)</f>
        <v>9076359</v>
      </c>
      <c r="H46" s="47">
        <f>C46+D46+E46+G46</f>
        <v>9076359</v>
      </c>
      <c r="K46" s="86"/>
    </row>
    <row r="47" spans="1:11" s="78" customFormat="1" x14ac:dyDescent="0.3">
      <c r="A47" s="45" t="s">
        <v>103</v>
      </c>
      <c r="B47" s="74">
        <v>3311</v>
      </c>
      <c r="C47" s="75" t="s">
        <v>102</v>
      </c>
      <c r="D47" s="75" t="s">
        <v>102</v>
      </c>
      <c r="E47" s="75" t="s">
        <v>102</v>
      </c>
      <c r="F47" s="75" t="s">
        <v>102</v>
      </c>
      <c r="G47" s="75">
        <v>9074394</v>
      </c>
      <c r="H47" s="44">
        <f>G47</f>
        <v>9074394</v>
      </c>
    </row>
    <row r="48" spans="1:11" s="78" customFormat="1" x14ac:dyDescent="0.3">
      <c r="A48" s="45" t="s">
        <v>104</v>
      </c>
      <c r="B48" s="74">
        <v>3312</v>
      </c>
      <c r="C48" s="75" t="s">
        <v>102</v>
      </c>
      <c r="D48" s="75" t="s">
        <v>102</v>
      </c>
      <c r="E48" s="75"/>
      <c r="F48" s="75" t="s">
        <v>102</v>
      </c>
      <c r="G48" s="45">
        <v>0</v>
      </c>
      <c r="H48" s="44">
        <f t="shared" ref="H48:H49" si="3">SUM(C48:G48)</f>
        <v>0</v>
      </c>
    </row>
    <row r="49" spans="1:11" s="78" customFormat="1" ht="31.2" x14ac:dyDescent="0.3">
      <c r="A49" s="45" t="s">
        <v>105</v>
      </c>
      <c r="B49" s="74">
        <v>3313</v>
      </c>
      <c r="C49" s="75" t="s">
        <v>102</v>
      </c>
      <c r="D49" s="75" t="s">
        <v>102</v>
      </c>
      <c r="E49" s="75"/>
      <c r="F49" s="75" t="s">
        <v>102</v>
      </c>
      <c r="G49" s="75">
        <v>1965</v>
      </c>
      <c r="H49" s="44">
        <f t="shared" si="3"/>
        <v>1965</v>
      </c>
    </row>
    <row r="50" spans="1:11" s="78" customFormat="1" x14ac:dyDescent="0.3">
      <c r="A50" s="45" t="s">
        <v>106</v>
      </c>
      <c r="B50" s="74">
        <v>3314</v>
      </c>
      <c r="C50" s="44"/>
      <c r="D50" s="44"/>
      <c r="E50" s="44"/>
      <c r="F50" s="75" t="s">
        <v>102</v>
      </c>
      <c r="G50" s="75" t="s">
        <v>102</v>
      </c>
      <c r="H50" s="44">
        <f>C50+D50+E50</f>
        <v>0</v>
      </c>
    </row>
    <row r="51" spans="1:11" s="78" customFormat="1" x14ac:dyDescent="0.3">
      <c r="A51" s="45" t="s">
        <v>109</v>
      </c>
      <c r="B51" s="74">
        <v>3315</v>
      </c>
      <c r="C51" s="75"/>
      <c r="D51" s="75"/>
      <c r="E51" s="75"/>
      <c r="F51" s="75"/>
      <c r="G51" s="75"/>
      <c r="H51" s="44">
        <f>C51+D51+E51+F51+G51</f>
        <v>0</v>
      </c>
      <c r="K51" s="87"/>
    </row>
    <row r="52" spans="1:11" s="77" customFormat="1" x14ac:dyDescent="0.3">
      <c r="A52" s="76" t="s">
        <v>110</v>
      </c>
      <c r="B52" s="71">
        <v>3320</v>
      </c>
      <c r="C52" s="54">
        <f>SUM(C53:C61)</f>
        <v>0</v>
      </c>
      <c r="D52" s="54">
        <f>SUM(D53:D61)</f>
        <v>-20847</v>
      </c>
      <c r="E52" s="54"/>
      <c r="F52" s="54">
        <v>0</v>
      </c>
      <c r="G52" s="54">
        <f>SUM(G53:G59)</f>
        <v>-280140</v>
      </c>
      <c r="H52" s="47">
        <f>C52+D52+E52+G52</f>
        <v>-300987</v>
      </c>
    </row>
    <row r="53" spans="1:11" s="78" customFormat="1" x14ac:dyDescent="0.3">
      <c r="A53" s="45" t="s">
        <v>111</v>
      </c>
      <c r="B53" s="74">
        <v>3321</v>
      </c>
      <c r="C53" s="75" t="s">
        <v>102</v>
      </c>
      <c r="D53" s="75" t="s">
        <v>102</v>
      </c>
      <c r="E53" s="75" t="s">
        <v>102</v>
      </c>
      <c r="F53" s="75" t="s">
        <v>102</v>
      </c>
      <c r="G53" s="75"/>
      <c r="H53" s="44">
        <f t="shared" ref="H53:H54" si="4">G53</f>
        <v>0</v>
      </c>
      <c r="J53" s="87"/>
      <c r="K53" s="87"/>
    </row>
    <row r="54" spans="1:11" s="78" customFormat="1" x14ac:dyDescent="0.3">
      <c r="A54" s="45" t="s">
        <v>104</v>
      </c>
      <c r="B54" s="74">
        <v>3322</v>
      </c>
      <c r="C54" s="75" t="s">
        <v>102</v>
      </c>
      <c r="D54" s="75" t="s">
        <v>102</v>
      </c>
      <c r="E54" s="75">
        <v>0</v>
      </c>
      <c r="F54" s="75" t="s">
        <v>102</v>
      </c>
      <c r="G54" s="45"/>
      <c r="H54" s="44">
        <f t="shared" si="4"/>
        <v>0</v>
      </c>
    </row>
    <row r="55" spans="1:11" s="78" customFormat="1" ht="31.2" x14ac:dyDescent="0.3">
      <c r="A55" s="45" t="s">
        <v>112</v>
      </c>
      <c r="B55" s="74">
        <v>3323</v>
      </c>
      <c r="C55" s="75" t="s">
        <v>102</v>
      </c>
      <c r="D55" s="75" t="s">
        <v>102</v>
      </c>
      <c r="E55" s="75"/>
      <c r="F55" s="75" t="s">
        <v>102</v>
      </c>
      <c r="G55" s="75">
        <v>0</v>
      </c>
      <c r="H55" s="44">
        <f>SUM(C55:G55)</f>
        <v>0</v>
      </c>
    </row>
    <row r="56" spans="1:11" s="78" customFormat="1" ht="31.2" x14ac:dyDescent="0.3">
      <c r="A56" s="45" t="s">
        <v>113</v>
      </c>
      <c r="B56" s="74">
        <v>3324</v>
      </c>
      <c r="C56" s="75"/>
      <c r="D56" s="75"/>
      <c r="E56" s="75"/>
      <c r="F56" s="75"/>
      <c r="G56" s="75"/>
      <c r="H56" s="44"/>
    </row>
    <row r="57" spans="1:11" s="78" customFormat="1" x14ac:dyDescent="0.3">
      <c r="A57" s="45" t="s">
        <v>114</v>
      </c>
      <c r="B57" s="74">
        <v>3325</v>
      </c>
      <c r="C57" s="44">
        <v>0</v>
      </c>
      <c r="D57" s="44">
        <v>-20847</v>
      </c>
      <c r="E57" s="44"/>
      <c r="F57" s="75" t="s">
        <v>102</v>
      </c>
      <c r="G57" s="75" t="s">
        <v>102</v>
      </c>
      <c r="H57" s="44">
        <f>C57+D57+E57</f>
        <v>-20847</v>
      </c>
    </row>
    <row r="58" spans="1:11" s="78" customFormat="1" x14ac:dyDescent="0.3">
      <c r="A58" s="45" t="s">
        <v>109</v>
      </c>
      <c r="B58" s="74">
        <v>3326</v>
      </c>
      <c r="C58" s="75"/>
      <c r="D58" s="75"/>
      <c r="E58" s="75"/>
      <c r="F58" s="75"/>
      <c r="G58" s="75">
        <v>0</v>
      </c>
      <c r="H58" s="44">
        <f>C58+D58+E58+F58+G58</f>
        <v>0</v>
      </c>
    </row>
    <row r="59" spans="1:11" s="78" customFormat="1" x14ac:dyDescent="0.3">
      <c r="A59" s="79" t="s">
        <v>115</v>
      </c>
      <c r="B59" s="74">
        <v>3327</v>
      </c>
      <c r="C59" s="80"/>
      <c r="D59" s="80"/>
      <c r="E59" s="80"/>
      <c r="F59" s="81"/>
      <c r="G59" s="81">
        <v>-280140</v>
      </c>
      <c r="H59" s="44">
        <f>G59</f>
        <v>-280140</v>
      </c>
    </row>
    <row r="60" spans="1:11" s="78" customFormat="1" x14ac:dyDescent="0.3">
      <c r="A60" s="79" t="s">
        <v>116</v>
      </c>
      <c r="B60" s="82">
        <v>3330</v>
      </c>
      <c r="C60" s="80"/>
      <c r="D60" s="80"/>
      <c r="E60" s="80">
        <v>-13343</v>
      </c>
      <c r="F60" s="80"/>
      <c r="G60" s="80">
        <v>13343</v>
      </c>
      <c r="H60" s="83"/>
    </row>
    <row r="61" spans="1:11" s="78" customFormat="1" x14ac:dyDescent="0.3">
      <c r="A61" s="79" t="s">
        <v>117</v>
      </c>
      <c r="B61" s="82">
        <v>3340</v>
      </c>
      <c r="C61" s="80"/>
      <c r="D61" s="80"/>
      <c r="E61" s="80"/>
      <c r="F61" s="80"/>
      <c r="G61" s="80"/>
      <c r="H61" s="83"/>
    </row>
    <row r="62" spans="1:11" s="77" customFormat="1" x14ac:dyDescent="0.3">
      <c r="A62" s="84" t="s">
        <v>122</v>
      </c>
      <c r="B62" s="88">
        <v>3300</v>
      </c>
      <c r="C62" s="85">
        <f>C44+C46+C52</f>
        <v>218860</v>
      </c>
      <c r="D62" s="85">
        <f>D44+D46+D52</f>
        <v>-20847</v>
      </c>
      <c r="E62" s="85">
        <f>E44+E46+E52+E60</f>
        <v>602210</v>
      </c>
      <c r="F62" s="85">
        <f>F44+F61</f>
        <v>32829</v>
      </c>
      <c r="G62" s="85">
        <f>G44+G46+G52+G60+G61</f>
        <v>34077800</v>
      </c>
      <c r="H62" s="85">
        <f>H44+H46+H52</f>
        <v>34910852</v>
      </c>
      <c r="I62" s="77">
        <f>H62-'1'!C55</f>
        <v>34910852</v>
      </c>
    </row>
    <row r="63" spans="1:11" s="78" customFormat="1" x14ac:dyDescent="0.3">
      <c r="A63" s="73" t="s">
        <v>123</v>
      </c>
      <c r="B63" s="74"/>
      <c r="C63" s="75"/>
      <c r="D63" s="75"/>
      <c r="E63" s="75"/>
      <c r="F63" s="75"/>
      <c r="G63" s="45"/>
      <c r="H63" s="44">
        <f>C63+D63+E63+F63+G63</f>
        <v>0</v>
      </c>
    </row>
    <row r="64" spans="1:11" s="77" customFormat="1" x14ac:dyDescent="0.3">
      <c r="A64" s="76" t="s">
        <v>101</v>
      </c>
      <c r="B64" s="71">
        <v>3310</v>
      </c>
      <c r="C64" s="54"/>
      <c r="D64" s="54">
        <v>20847</v>
      </c>
      <c r="E64" s="54">
        <f>SUM(E65:E69)</f>
        <v>0</v>
      </c>
      <c r="F64" s="54" t="s">
        <v>102</v>
      </c>
      <c r="G64" s="54">
        <f>SUM(G65:G69)</f>
        <v>7460823</v>
      </c>
      <c r="H64" s="47">
        <f>C64+D64+E64+G64</f>
        <v>7481670</v>
      </c>
      <c r="K64" s="86"/>
    </row>
    <row r="65" spans="1:11" s="78" customFormat="1" x14ac:dyDescent="0.3">
      <c r="A65" s="45" t="s">
        <v>103</v>
      </c>
      <c r="B65" s="74">
        <v>3311</v>
      </c>
      <c r="C65" s="75" t="s">
        <v>102</v>
      </c>
      <c r="D65" s="75" t="s">
        <v>102</v>
      </c>
      <c r="E65" s="75" t="s">
        <v>102</v>
      </c>
      <c r="F65" s="75" t="s">
        <v>102</v>
      </c>
      <c r="G65" s="75">
        <v>7458998</v>
      </c>
      <c r="H65" s="44">
        <f>G65</f>
        <v>7458998</v>
      </c>
    </row>
    <row r="66" spans="1:11" s="78" customFormat="1" x14ac:dyDescent="0.3">
      <c r="A66" s="45" t="s">
        <v>104</v>
      </c>
      <c r="B66" s="74">
        <v>3312</v>
      </c>
      <c r="C66" s="75" t="s">
        <v>102</v>
      </c>
      <c r="D66" s="75" t="s">
        <v>102</v>
      </c>
      <c r="E66" s="75"/>
      <c r="F66" s="75" t="s">
        <v>102</v>
      </c>
      <c r="G66" s="45">
        <v>0</v>
      </c>
      <c r="H66" s="44">
        <f t="shared" ref="H66:H67" si="5">SUM(C66:G66)</f>
        <v>0</v>
      </c>
    </row>
    <row r="67" spans="1:11" s="78" customFormat="1" ht="31.2" x14ac:dyDescent="0.3">
      <c r="A67" s="45" t="s">
        <v>105</v>
      </c>
      <c r="B67" s="74">
        <v>3313</v>
      </c>
      <c r="C67" s="75" t="s">
        <v>102</v>
      </c>
      <c r="D67" s="75">
        <v>20847</v>
      </c>
      <c r="E67" s="75"/>
      <c r="F67" s="75" t="s">
        <v>102</v>
      </c>
      <c r="G67" s="75">
        <v>1825</v>
      </c>
      <c r="H67" s="44">
        <f t="shared" si="5"/>
        <v>22672</v>
      </c>
    </row>
    <row r="68" spans="1:11" s="78" customFormat="1" x14ac:dyDescent="0.3">
      <c r="A68" s="45" t="s">
        <v>106</v>
      </c>
      <c r="B68" s="74">
        <v>3314</v>
      </c>
      <c r="C68" s="44"/>
      <c r="D68" s="44"/>
      <c r="E68" s="44"/>
      <c r="F68" s="75" t="s">
        <v>102</v>
      </c>
      <c r="G68" s="75" t="s">
        <v>102</v>
      </c>
      <c r="H68" s="44">
        <f>C68+D68+E68</f>
        <v>0</v>
      </c>
    </row>
    <row r="69" spans="1:11" s="78" customFormat="1" x14ac:dyDescent="0.3">
      <c r="A69" s="45" t="s">
        <v>109</v>
      </c>
      <c r="B69" s="74">
        <v>3315</v>
      </c>
      <c r="C69" s="75"/>
      <c r="D69" s="75"/>
      <c r="E69" s="75"/>
      <c r="F69" s="75"/>
      <c r="G69" s="75"/>
      <c r="H69" s="44">
        <f>C69+D69+E69+F69+G69</f>
        <v>0</v>
      </c>
      <c r="K69" s="87"/>
    </row>
    <row r="70" spans="1:11" s="77" customFormat="1" x14ac:dyDescent="0.3">
      <c r="A70" s="76" t="s">
        <v>110</v>
      </c>
      <c r="B70" s="71">
        <v>3320</v>
      </c>
      <c r="C70" s="54">
        <f>SUM(C71:C79)</f>
        <v>0</v>
      </c>
      <c r="D70" s="54">
        <f>SUM(D71:D79)</f>
        <v>0</v>
      </c>
      <c r="E70" s="54">
        <v>0</v>
      </c>
      <c r="F70" s="54">
        <v>0</v>
      </c>
      <c r="G70" s="54">
        <f>SUM(G71:G77)</f>
        <v>-1136768</v>
      </c>
      <c r="H70" s="47">
        <f>C70+D70+E70+G70</f>
        <v>-1136768</v>
      </c>
    </row>
    <row r="71" spans="1:11" s="78" customFormat="1" x14ac:dyDescent="0.3">
      <c r="A71" s="45" t="s">
        <v>111</v>
      </c>
      <c r="B71" s="74">
        <v>3321</v>
      </c>
      <c r="C71" s="75" t="s">
        <v>102</v>
      </c>
      <c r="D71" s="75" t="s">
        <v>102</v>
      </c>
      <c r="E71" s="75" t="s">
        <v>102</v>
      </c>
      <c r="F71" s="75" t="s">
        <v>102</v>
      </c>
      <c r="G71" s="75"/>
      <c r="H71" s="44">
        <f t="shared" ref="H71:H72" si="6">G71</f>
        <v>0</v>
      </c>
      <c r="J71" s="87"/>
      <c r="K71" s="87"/>
    </row>
    <row r="72" spans="1:11" s="78" customFormat="1" x14ac:dyDescent="0.3">
      <c r="A72" s="45" t="s">
        <v>104</v>
      </c>
      <c r="B72" s="74">
        <v>3322</v>
      </c>
      <c r="C72" s="75" t="s">
        <v>102</v>
      </c>
      <c r="D72" s="75" t="s">
        <v>102</v>
      </c>
      <c r="E72" s="75">
        <v>0</v>
      </c>
      <c r="F72" s="75" t="s">
        <v>102</v>
      </c>
      <c r="G72" s="45"/>
      <c r="H72" s="44">
        <f t="shared" si="6"/>
        <v>0</v>
      </c>
    </row>
    <row r="73" spans="1:11" s="78" customFormat="1" ht="31.2" x14ac:dyDescent="0.3">
      <c r="A73" s="45" t="s">
        <v>112</v>
      </c>
      <c r="B73" s="74">
        <v>3323</v>
      </c>
      <c r="C73" s="75" t="s">
        <v>102</v>
      </c>
      <c r="D73" s="75" t="s">
        <v>102</v>
      </c>
      <c r="E73" s="75"/>
      <c r="F73" s="75" t="s">
        <v>102</v>
      </c>
      <c r="G73" s="75">
        <v>0</v>
      </c>
      <c r="H73" s="44">
        <f>SUM(C73:G73)</f>
        <v>0</v>
      </c>
    </row>
    <row r="74" spans="1:11" s="78" customFormat="1" ht="31.2" x14ac:dyDescent="0.3">
      <c r="A74" s="45" t="s">
        <v>113</v>
      </c>
      <c r="B74" s="74">
        <v>3324</v>
      </c>
      <c r="C74" s="75"/>
      <c r="D74" s="75"/>
      <c r="E74" s="75"/>
      <c r="F74" s="75"/>
      <c r="G74" s="75"/>
      <c r="H74" s="44"/>
    </row>
    <row r="75" spans="1:11" s="78" customFormat="1" x14ac:dyDescent="0.3">
      <c r="A75" s="45" t="s">
        <v>114</v>
      </c>
      <c r="B75" s="74">
        <v>3325</v>
      </c>
      <c r="C75" s="44">
        <v>0</v>
      </c>
      <c r="D75" s="44">
        <v>0</v>
      </c>
      <c r="E75" s="44"/>
      <c r="F75" s="75" t="s">
        <v>102</v>
      </c>
      <c r="G75" s="75" t="s">
        <v>102</v>
      </c>
      <c r="H75" s="44">
        <f>C75+D75+E75</f>
        <v>0</v>
      </c>
    </row>
    <row r="76" spans="1:11" s="78" customFormat="1" x14ac:dyDescent="0.3">
      <c r="A76" s="45" t="s">
        <v>109</v>
      </c>
      <c r="B76" s="74">
        <v>3326</v>
      </c>
      <c r="C76" s="75"/>
      <c r="D76" s="75"/>
      <c r="E76" s="75"/>
      <c r="F76" s="75"/>
      <c r="G76" s="75">
        <v>0</v>
      </c>
      <c r="H76" s="44">
        <f>C76+D76+E76+F76+G76</f>
        <v>0</v>
      </c>
    </row>
    <row r="77" spans="1:11" s="78" customFormat="1" x14ac:dyDescent="0.3">
      <c r="A77" s="79" t="s">
        <v>115</v>
      </c>
      <c r="B77" s="74">
        <v>3327</v>
      </c>
      <c r="C77" s="80"/>
      <c r="D77" s="80"/>
      <c r="E77" s="80"/>
      <c r="F77" s="81"/>
      <c r="G77" s="81">
        <v>-1136768</v>
      </c>
      <c r="H77" s="44">
        <f>G77</f>
        <v>-1136768</v>
      </c>
    </row>
    <row r="78" spans="1:11" s="78" customFormat="1" x14ac:dyDescent="0.3">
      <c r="A78" s="79" t="s">
        <v>116</v>
      </c>
      <c r="B78" s="82">
        <v>3330</v>
      </c>
      <c r="C78" s="80"/>
      <c r="D78" s="80"/>
      <c r="E78" s="80">
        <v>-33419</v>
      </c>
      <c r="F78" s="80"/>
      <c r="G78" s="80">
        <v>33419</v>
      </c>
      <c r="H78" s="83"/>
    </row>
    <row r="79" spans="1:11" s="78" customFormat="1" x14ac:dyDescent="0.3">
      <c r="A79" s="79" t="s">
        <v>117</v>
      </c>
      <c r="B79" s="82">
        <v>3340</v>
      </c>
      <c r="C79" s="80"/>
      <c r="D79" s="80"/>
      <c r="E79" s="80"/>
      <c r="F79" s="80"/>
      <c r="G79" s="80"/>
      <c r="H79" s="83"/>
    </row>
    <row r="80" spans="1:11" s="77" customFormat="1" x14ac:dyDescent="0.3">
      <c r="A80" s="84" t="s">
        <v>124</v>
      </c>
      <c r="B80" s="88">
        <v>3300</v>
      </c>
      <c r="C80" s="85">
        <f>C62+C64+C70</f>
        <v>218860</v>
      </c>
      <c r="D80" s="85">
        <f>D62+D64+D70</f>
        <v>0</v>
      </c>
      <c r="E80" s="85">
        <f>E62+E64+E70+E78</f>
        <v>568791</v>
      </c>
      <c r="F80" s="85">
        <f>F62+F79</f>
        <v>32829</v>
      </c>
      <c r="G80" s="85">
        <f>G62+G64+G70+G78+G79</f>
        <v>40435274</v>
      </c>
      <c r="H80" s="85">
        <f>H62+H64+H70</f>
        <v>41255754</v>
      </c>
      <c r="I80" s="77">
        <f>H80-'1'!C73</f>
        <v>41255754</v>
      </c>
    </row>
    <row r="81" spans="1:11" s="78" customFormat="1" x14ac:dyDescent="0.3">
      <c r="A81" s="73" t="s">
        <v>125</v>
      </c>
      <c r="B81" s="74"/>
      <c r="C81" s="75"/>
      <c r="D81" s="75"/>
      <c r="E81" s="75"/>
      <c r="F81" s="75"/>
      <c r="G81" s="45"/>
      <c r="H81" s="44">
        <f>C81+D81+E81+F81+G81</f>
        <v>0</v>
      </c>
    </row>
    <row r="82" spans="1:11" s="77" customFormat="1" x14ac:dyDescent="0.3">
      <c r="A82" s="76" t="s">
        <v>101</v>
      </c>
      <c r="B82" s="71">
        <v>3310</v>
      </c>
      <c r="C82" s="54"/>
      <c r="D82" s="54"/>
      <c r="E82" s="54">
        <f>SUM(E83:E87)</f>
        <v>0</v>
      </c>
      <c r="F82" s="54" t="s">
        <v>102</v>
      </c>
      <c r="G82" s="54">
        <f>SUM(G83:G87)</f>
        <v>8058125</v>
      </c>
      <c r="H82" s="47">
        <f>C82+D82+E82+G82</f>
        <v>8058125</v>
      </c>
      <c r="K82" s="86"/>
    </row>
    <row r="83" spans="1:11" s="78" customFormat="1" x14ac:dyDescent="0.3">
      <c r="A83" s="45" t="s">
        <v>103</v>
      </c>
      <c r="B83" s="74">
        <v>3311</v>
      </c>
      <c r="C83" s="75" t="s">
        <v>102</v>
      </c>
      <c r="D83" s="75" t="s">
        <v>102</v>
      </c>
      <c r="E83" s="75" t="s">
        <v>102</v>
      </c>
      <c r="F83" s="75" t="s">
        <v>102</v>
      </c>
      <c r="G83" s="75">
        <v>8056307</v>
      </c>
      <c r="H83" s="44">
        <f>G83</f>
        <v>8056307</v>
      </c>
    </row>
    <row r="84" spans="1:11" s="78" customFormat="1" x14ac:dyDescent="0.3">
      <c r="A84" s="45" t="s">
        <v>104</v>
      </c>
      <c r="B84" s="74">
        <v>3312</v>
      </c>
      <c r="C84" s="75" t="s">
        <v>102</v>
      </c>
      <c r="D84" s="75" t="s">
        <v>102</v>
      </c>
      <c r="E84" s="75"/>
      <c r="F84" s="75" t="s">
        <v>102</v>
      </c>
      <c r="G84" s="45">
        <v>0</v>
      </c>
      <c r="H84" s="44">
        <f t="shared" ref="H84:H85" si="7">SUM(C84:G84)</f>
        <v>0</v>
      </c>
    </row>
    <row r="85" spans="1:11" s="78" customFormat="1" ht="31.2" x14ac:dyDescent="0.3">
      <c r="A85" s="45" t="s">
        <v>105</v>
      </c>
      <c r="B85" s="74">
        <v>3313</v>
      </c>
      <c r="C85" s="75" t="s">
        <v>102</v>
      </c>
      <c r="D85" s="75" t="s">
        <v>102</v>
      </c>
      <c r="E85" s="75"/>
      <c r="F85" s="75" t="s">
        <v>102</v>
      </c>
      <c r="G85" s="75">
        <v>1818</v>
      </c>
      <c r="H85" s="44">
        <f t="shared" si="7"/>
        <v>1818</v>
      </c>
    </row>
    <row r="86" spans="1:11" s="78" customFormat="1" x14ac:dyDescent="0.3">
      <c r="A86" s="45" t="s">
        <v>106</v>
      </c>
      <c r="B86" s="74">
        <v>3314</v>
      </c>
      <c r="C86" s="44"/>
      <c r="D86" s="44"/>
      <c r="E86" s="44"/>
      <c r="F86" s="75" t="s">
        <v>102</v>
      </c>
      <c r="G86" s="75" t="s">
        <v>102</v>
      </c>
      <c r="H86" s="44">
        <f>C86+D86+E86</f>
        <v>0</v>
      </c>
    </row>
    <row r="87" spans="1:11" s="78" customFormat="1" x14ac:dyDescent="0.3">
      <c r="A87" s="45" t="s">
        <v>109</v>
      </c>
      <c r="B87" s="74">
        <v>3315</v>
      </c>
      <c r="C87" s="75"/>
      <c r="D87" s="75"/>
      <c r="E87" s="75"/>
      <c r="F87" s="75"/>
      <c r="G87" s="75"/>
      <c r="H87" s="44">
        <f>C87+D87+E87+F87+G87</f>
        <v>0</v>
      </c>
      <c r="K87" s="87"/>
    </row>
    <row r="88" spans="1:11" s="77" customFormat="1" x14ac:dyDescent="0.3">
      <c r="A88" s="76" t="s">
        <v>110</v>
      </c>
      <c r="B88" s="71">
        <v>3320</v>
      </c>
      <c r="C88" s="54">
        <f>SUM(C89:C97)</f>
        <v>0</v>
      </c>
      <c r="D88" s="54">
        <f>SUM(D89:D97)</f>
        <v>-96647</v>
      </c>
      <c r="E88" s="54">
        <v>0</v>
      </c>
      <c r="F88" s="54">
        <v>0</v>
      </c>
      <c r="G88" s="54">
        <f>SUM(G89:G95)</f>
        <v>-2188598</v>
      </c>
      <c r="H88" s="47">
        <f>C88+D88+E88+G88</f>
        <v>-2285245</v>
      </c>
    </row>
    <row r="89" spans="1:11" s="78" customFormat="1" x14ac:dyDescent="0.3">
      <c r="A89" s="45" t="s">
        <v>111</v>
      </c>
      <c r="B89" s="74">
        <v>3321</v>
      </c>
      <c r="C89" s="75" t="s">
        <v>102</v>
      </c>
      <c r="D89" s="75" t="s">
        <v>102</v>
      </c>
      <c r="E89" s="75" t="s">
        <v>102</v>
      </c>
      <c r="F89" s="75" t="s">
        <v>102</v>
      </c>
      <c r="G89" s="75"/>
      <c r="H89" s="44">
        <f t="shared" ref="H89:H90" si="8">G89</f>
        <v>0</v>
      </c>
      <c r="J89" s="87"/>
      <c r="K89" s="87"/>
    </row>
    <row r="90" spans="1:11" s="78" customFormat="1" x14ac:dyDescent="0.3">
      <c r="A90" s="45" t="s">
        <v>104</v>
      </c>
      <c r="B90" s="74">
        <v>3322</v>
      </c>
      <c r="C90" s="75" t="s">
        <v>102</v>
      </c>
      <c r="D90" s="75" t="s">
        <v>102</v>
      </c>
      <c r="E90" s="75">
        <v>0</v>
      </c>
      <c r="F90" s="75" t="s">
        <v>102</v>
      </c>
      <c r="G90" s="45"/>
      <c r="H90" s="44">
        <f t="shared" si="8"/>
        <v>0</v>
      </c>
    </row>
    <row r="91" spans="1:11" s="78" customFormat="1" ht="31.2" x14ac:dyDescent="0.3">
      <c r="A91" s="45" t="s">
        <v>112</v>
      </c>
      <c r="B91" s="74">
        <v>3323</v>
      </c>
      <c r="C91" s="75" t="s">
        <v>102</v>
      </c>
      <c r="D91" s="75">
        <v>-96647</v>
      </c>
      <c r="E91" s="75">
        <v>0</v>
      </c>
      <c r="F91" s="75" t="s">
        <v>102</v>
      </c>
      <c r="G91" s="75">
        <v>0</v>
      </c>
      <c r="H91" s="44">
        <f>SUM(C91:G91)</f>
        <v>-96647</v>
      </c>
    </row>
    <row r="92" spans="1:11" s="78" customFormat="1" ht="31.2" x14ac:dyDescent="0.3">
      <c r="A92" s="45" t="s">
        <v>113</v>
      </c>
      <c r="B92" s="74">
        <v>3324</v>
      </c>
      <c r="C92" s="75"/>
      <c r="D92" s="75"/>
      <c r="E92" s="75"/>
      <c r="F92" s="75"/>
      <c r="G92" s="75"/>
      <c r="H92" s="44"/>
    </row>
    <row r="93" spans="1:11" s="78" customFormat="1" x14ac:dyDescent="0.3">
      <c r="A93" s="45" t="s">
        <v>114</v>
      </c>
      <c r="B93" s="74">
        <v>3325</v>
      </c>
      <c r="C93" s="44">
        <v>0</v>
      </c>
      <c r="D93" s="44">
        <v>0</v>
      </c>
      <c r="E93" s="44"/>
      <c r="F93" s="75" t="s">
        <v>102</v>
      </c>
      <c r="G93" s="75" t="s">
        <v>102</v>
      </c>
      <c r="H93" s="44">
        <f>C93+D93+E93</f>
        <v>0</v>
      </c>
    </row>
    <row r="94" spans="1:11" s="78" customFormat="1" x14ac:dyDescent="0.3">
      <c r="A94" s="45" t="s">
        <v>109</v>
      </c>
      <c r="B94" s="74">
        <v>3326</v>
      </c>
      <c r="C94" s="75"/>
      <c r="D94" s="75"/>
      <c r="E94" s="75"/>
      <c r="F94" s="75"/>
      <c r="G94" s="75">
        <v>0</v>
      </c>
      <c r="H94" s="44">
        <f>C94+D94+E94+F94+G94</f>
        <v>0</v>
      </c>
    </row>
    <row r="95" spans="1:11" s="78" customFormat="1" x14ac:dyDescent="0.3">
      <c r="A95" s="79" t="s">
        <v>115</v>
      </c>
      <c r="B95" s="74">
        <v>3327</v>
      </c>
      <c r="C95" s="80"/>
      <c r="D95" s="80"/>
      <c r="E95" s="80"/>
      <c r="F95" s="81"/>
      <c r="G95" s="81">
        <v>-2188598</v>
      </c>
      <c r="H95" s="44">
        <f>G95</f>
        <v>-2188598</v>
      </c>
    </row>
    <row r="96" spans="1:11" s="78" customFormat="1" x14ac:dyDescent="0.3">
      <c r="A96" s="79" t="s">
        <v>116</v>
      </c>
      <c r="B96" s="82">
        <v>3330</v>
      </c>
      <c r="C96" s="80"/>
      <c r="D96" s="80"/>
      <c r="E96" s="80">
        <v>-64105</v>
      </c>
      <c r="F96" s="80"/>
      <c r="G96" s="80">
        <v>64105</v>
      </c>
      <c r="H96" s="83"/>
    </row>
    <row r="97" spans="1:11" s="78" customFormat="1" x14ac:dyDescent="0.3">
      <c r="A97" s="79" t="s">
        <v>117</v>
      </c>
      <c r="B97" s="82">
        <v>3340</v>
      </c>
      <c r="C97" s="80"/>
      <c r="D97" s="80"/>
      <c r="E97" s="80"/>
      <c r="F97" s="80"/>
      <c r="G97" s="80"/>
      <c r="H97" s="83"/>
    </row>
    <row r="98" spans="1:11" s="77" customFormat="1" x14ac:dyDescent="0.3">
      <c r="A98" s="84" t="s">
        <v>126</v>
      </c>
      <c r="B98" s="88">
        <v>3300</v>
      </c>
      <c r="C98" s="85">
        <f>C80+C82+C88</f>
        <v>218860</v>
      </c>
      <c r="D98" s="85">
        <f>D80+D82+D88</f>
        <v>-96647</v>
      </c>
      <c r="E98" s="85">
        <f>E80+E82+E88+E96</f>
        <v>504686</v>
      </c>
      <c r="F98" s="85">
        <f>F80+F97</f>
        <v>32829</v>
      </c>
      <c r="G98" s="85">
        <f>G80+G82+G88+G96+G97</f>
        <v>46368906</v>
      </c>
      <c r="H98" s="85">
        <f>H80+H82+H88</f>
        <v>47028634</v>
      </c>
      <c r="I98" s="77">
        <f>H98-'1'!C91</f>
        <v>47028634</v>
      </c>
    </row>
    <row r="99" spans="1:11" s="78" customFormat="1" x14ac:dyDescent="0.3">
      <c r="A99" s="73" t="s">
        <v>127</v>
      </c>
      <c r="B99" s="74"/>
      <c r="C99" s="75"/>
      <c r="D99" s="75"/>
      <c r="E99" s="75"/>
      <c r="F99" s="75"/>
      <c r="G99" s="45"/>
      <c r="H99" s="44">
        <f>C99+D99+E99+F99+G99</f>
        <v>0</v>
      </c>
    </row>
    <row r="100" spans="1:11" s="77" customFormat="1" x14ac:dyDescent="0.3">
      <c r="A100" s="76" t="s">
        <v>101</v>
      </c>
      <c r="B100" s="71">
        <v>3310</v>
      </c>
      <c r="C100" s="54"/>
      <c r="D100" s="54">
        <f>SUM(D101:D105)</f>
        <v>96647</v>
      </c>
      <c r="E100" s="54">
        <f>SUM(E101:E105)</f>
        <v>0</v>
      </c>
      <c r="F100" s="54" t="s">
        <v>102</v>
      </c>
      <c r="G100" s="54">
        <f>SUM(G101:G105)</f>
        <v>4746828</v>
      </c>
      <c r="H100" s="47">
        <f>C100+D100+E100+G100</f>
        <v>4843475</v>
      </c>
      <c r="K100" s="86"/>
    </row>
    <row r="101" spans="1:11" s="78" customFormat="1" x14ac:dyDescent="0.3">
      <c r="A101" s="45" t="s">
        <v>103</v>
      </c>
      <c r="B101" s="74">
        <v>3311</v>
      </c>
      <c r="C101" s="75" t="s">
        <v>102</v>
      </c>
      <c r="D101" s="75" t="s">
        <v>102</v>
      </c>
      <c r="E101" s="75" t="s">
        <v>102</v>
      </c>
      <c r="F101" s="75" t="s">
        <v>102</v>
      </c>
      <c r="G101" s="75">
        <v>4745980</v>
      </c>
      <c r="H101" s="44">
        <f>G101</f>
        <v>4745980</v>
      </c>
    </row>
    <row r="102" spans="1:11" s="78" customFormat="1" x14ac:dyDescent="0.3">
      <c r="A102" s="45" t="s">
        <v>104</v>
      </c>
      <c r="B102" s="74">
        <v>3312</v>
      </c>
      <c r="C102" s="75" t="s">
        <v>102</v>
      </c>
      <c r="D102" s="75" t="s">
        <v>102</v>
      </c>
      <c r="E102" s="75"/>
      <c r="F102" s="75" t="s">
        <v>102</v>
      </c>
      <c r="G102" s="45">
        <v>0</v>
      </c>
      <c r="H102" s="44">
        <f t="shared" ref="H102:H103" si="9">SUM(C102:G102)</f>
        <v>0</v>
      </c>
    </row>
    <row r="103" spans="1:11" s="78" customFormat="1" ht="31.2" x14ac:dyDescent="0.3">
      <c r="A103" s="45" t="s">
        <v>105</v>
      </c>
      <c r="B103" s="74">
        <v>3313</v>
      </c>
      <c r="C103" s="75" t="s">
        <v>102</v>
      </c>
      <c r="D103" s="75">
        <v>96647</v>
      </c>
      <c r="E103" s="75"/>
      <c r="F103" s="75" t="s">
        <v>102</v>
      </c>
      <c r="G103" s="75">
        <v>848</v>
      </c>
      <c r="H103" s="44">
        <f t="shared" si="9"/>
        <v>97495</v>
      </c>
    </row>
    <row r="104" spans="1:11" s="78" customFormat="1" x14ac:dyDescent="0.3">
      <c r="A104" s="45" t="s">
        <v>106</v>
      </c>
      <c r="B104" s="74">
        <v>3314</v>
      </c>
      <c r="C104" s="44"/>
      <c r="D104" s="44"/>
      <c r="E104" s="44"/>
      <c r="F104" s="75" t="s">
        <v>102</v>
      </c>
      <c r="G104" s="75" t="s">
        <v>102</v>
      </c>
      <c r="H104" s="44">
        <f>C104+D104+E104</f>
        <v>0</v>
      </c>
    </row>
    <row r="105" spans="1:11" s="78" customFormat="1" x14ac:dyDescent="0.3">
      <c r="A105" s="45" t="s">
        <v>109</v>
      </c>
      <c r="B105" s="74">
        <v>3315</v>
      </c>
      <c r="C105" s="75"/>
      <c r="D105" s="75"/>
      <c r="E105" s="75"/>
      <c r="F105" s="75"/>
      <c r="G105" s="75"/>
      <c r="H105" s="44">
        <f>C105+D105+E105+F105+G105</f>
        <v>0</v>
      </c>
      <c r="K105" s="87"/>
    </row>
    <row r="106" spans="1:11" s="77" customFormat="1" x14ac:dyDescent="0.3">
      <c r="A106" s="76" t="s">
        <v>110</v>
      </c>
      <c r="B106" s="71">
        <v>3320</v>
      </c>
      <c r="C106" s="54">
        <f>SUM(C107:C115)</f>
        <v>0</v>
      </c>
      <c r="D106" s="54">
        <f>SUM(D107:D115)</f>
        <v>0</v>
      </c>
      <c r="E106" s="54">
        <v>0</v>
      </c>
      <c r="F106" s="54">
        <v>0</v>
      </c>
      <c r="G106" s="54">
        <f>SUM(G107:G113)</f>
        <v>-6128075</v>
      </c>
      <c r="H106" s="47">
        <f>C106+D106+E106+G106</f>
        <v>-6128075</v>
      </c>
    </row>
    <row r="107" spans="1:11" s="78" customFormat="1" x14ac:dyDescent="0.3">
      <c r="A107" s="45" t="s">
        <v>111</v>
      </c>
      <c r="B107" s="74">
        <v>3321</v>
      </c>
      <c r="C107" s="75" t="s">
        <v>102</v>
      </c>
      <c r="D107" s="75" t="s">
        <v>102</v>
      </c>
      <c r="E107" s="75" t="s">
        <v>102</v>
      </c>
      <c r="F107" s="75" t="s">
        <v>102</v>
      </c>
      <c r="G107" s="75"/>
      <c r="H107" s="44">
        <f t="shared" ref="H107:H108" si="10">G107</f>
        <v>0</v>
      </c>
      <c r="J107" s="87"/>
      <c r="K107" s="87"/>
    </row>
    <row r="108" spans="1:11" s="78" customFormat="1" x14ac:dyDescent="0.3">
      <c r="A108" s="45" t="s">
        <v>104</v>
      </c>
      <c r="B108" s="74">
        <v>3322</v>
      </c>
      <c r="C108" s="75" t="s">
        <v>102</v>
      </c>
      <c r="D108" s="75" t="s">
        <v>102</v>
      </c>
      <c r="E108" s="75">
        <v>0</v>
      </c>
      <c r="F108" s="75" t="s">
        <v>102</v>
      </c>
      <c r="G108" s="45"/>
      <c r="H108" s="44">
        <f t="shared" si="10"/>
        <v>0</v>
      </c>
    </row>
    <row r="109" spans="1:11" s="78" customFormat="1" ht="31.2" x14ac:dyDescent="0.3">
      <c r="A109" s="45" t="s">
        <v>112</v>
      </c>
      <c r="B109" s="74">
        <v>3323</v>
      </c>
      <c r="C109" s="75" t="s">
        <v>102</v>
      </c>
      <c r="D109" s="75" t="s">
        <v>102</v>
      </c>
      <c r="E109" s="75"/>
      <c r="F109" s="75" t="s">
        <v>102</v>
      </c>
      <c r="G109" s="75">
        <v>0</v>
      </c>
      <c r="H109" s="44">
        <f>SUM(C109:G109)</f>
        <v>0</v>
      </c>
    </row>
    <row r="110" spans="1:11" s="78" customFormat="1" ht="31.2" x14ac:dyDescent="0.3">
      <c r="A110" s="45" t="s">
        <v>113</v>
      </c>
      <c r="B110" s="74">
        <v>3324</v>
      </c>
      <c r="C110" s="75"/>
      <c r="D110" s="75"/>
      <c r="E110" s="75"/>
      <c r="F110" s="75"/>
      <c r="G110" s="75"/>
      <c r="H110" s="44"/>
    </row>
    <row r="111" spans="1:11" s="78" customFormat="1" x14ac:dyDescent="0.3">
      <c r="A111" s="45" t="s">
        <v>114</v>
      </c>
      <c r="B111" s="74">
        <v>3325</v>
      </c>
      <c r="C111" s="44">
        <v>0</v>
      </c>
      <c r="D111" s="44">
        <v>0</v>
      </c>
      <c r="E111" s="44"/>
      <c r="F111" s="75" t="s">
        <v>102</v>
      </c>
      <c r="G111" s="75" t="s">
        <v>102</v>
      </c>
      <c r="H111" s="44">
        <f>C111+D111+E111</f>
        <v>0</v>
      </c>
    </row>
    <row r="112" spans="1:11" s="78" customFormat="1" x14ac:dyDescent="0.3">
      <c r="A112" s="45" t="s">
        <v>109</v>
      </c>
      <c r="B112" s="74">
        <v>3326</v>
      </c>
      <c r="C112" s="75"/>
      <c r="D112" s="75"/>
      <c r="E112" s="75"/>
      <c r="F112" s="75"/>
      <c r="G112" s="75">
        <v>0</v>
      </c>
      <c r="H112" s="44">
        <f>C112+D112+E112+F112+G112</f>
        <v>0</v>
      </c>
    </row>
    <row r="113" spans="1:11" s="78" customFormat="1" x14ac:dyDescent="0.3">
      <c r="A113" s="79" t="s">
        <v>115</v>
      </c>
      <c r="B113" s="74">
        <v>3327</v>
      </c>
      <c r="C113" s="80"/>
      <c r="D113" s="80"/>
      <c r="E113" s="80"/>
      <c r="F113" s="81"/>
      <c r="G113" s="81">
        <v>-6128075</v>
      </c>
      <c r="H113" s="44">
        <f>G113</f>
        <v>-6128075</v>
      </c>
    </row>
    <row r="114" spans="1:11" s="78" customFormat="1" x14ac:dyDescent="0.3">
      <c r="A114" s="79" t="s">
        <v>116</v>
      </c>
      <c r="B114" s="82">
        <v>3330</v>
      </c>
      <c r="C114" s="80"/>
      <c r="D114" s="80"/>
      <c r="E114" s="80">
        <v>-1826</v>
      </c>
      <c r="F114" s="80"/>
      <c r="G114" s="80">
        <v>1826</v>
      </c>
      <c r="H114" s="83"/>
    </row>
    <row r="115" spans="1:11" s="78" customFormat="1" x14ac:dyDescent="0.3">
      <c r="A115" s="79" t="s">
        <v>117</v>
      </c>
      <c r="B115" s="82">
        <v>3340</v>
      </c>
      <c r="C115" s="80"/>
      <c r="D115" s="80"/>
      <c r="E115" s="80"/>
      <c r="F115" s="80"/>
      <c r="G115" s="80"/>
      <c r="H115" s="83"/>
    </row>
    <row r="116" spans="1:11" s="77" customFormat="1" x14ac:dyDescent="0.3">
      <c r="A116" s="84" t="s">
        <v>128</v>
      </c>
      <c r="B116" s="88">
        <v>3300</v>
      </c>
      <c r="C116" s="85">
        <f>C98+C100+C106</f>
        <v>218860</v>
      </c>
      <c r="D116" s="85">
        <f>D98+D100+D106</f>
        <v>0</v>
      </c>
      <c r="E116" s="85">
        <f>E98+E100+E106+E114</f>
        <v>502860</v>
      </c>
      <c r="F116" s="85">
        <f>F98+F115</f>
        <v>32829</v>
      </c>
      <c r="G116" s="85">
        <f>G98+G100+G106+G114+G115</f>
        <v>44989485</v>
      </c>
      <c r="H116" s="85">
        <f>H98+H100+H106</f>
        <v>45744034</v>
      </c>
      <c r="I116" s="77">
        <f>H116-'1'!C109</f>
        <v>45744034</v>
      </c>
    </row>
    <row r="117" spans="1:11" s="78" customFormat="1" x14ac:dyDescent="0.3">
      <c r="A117" s="73" t="s">
        <v>129</v>
      </c>
      <c r="B117" s="74"/>
      <c r="C117" s="75"/>
      <c r="D117" s="75"/>
      <c r="E117" s="75"/>
      <c r="F117" s="75"/>
      <c r="G117" s="45"/>
      <c r="H117" s="44">
        <f>C117+D117+E117+F117+G117</f>
        <v>0</v>
      </c>
    </row>
    <row r="118" spans="1:11" s="77" customFormat="1" x14ac:dyDescent="0.3">
      <c r="A118" s="76" t="s">
        <v>101</v>
      </c>
      <c r="B118" s="71">
        <v>3310</v>
      </c>
      <c r="C118" s="54"/>
      <c r="D118" s="54"/>
      <c r="E118" s="54">
        <f>SUM(E119:E123)</f>
        <v>0</v>
      </c>
      <c r="F118" s="54" t="s">
        <v>102</v>
      </c>
      <c r="G118" s="54">
        <f>SUM(G119:G123)</f>
        <v>3691682</v>
      </c>
      <c r="H118" s="47">
        <f>C118+D118+E118+G118</f>
        <v>3691682</v>
      </c>
      <c r="K118" s="86"/>
    </row>
    <row r="119" spans="1:11" s="78" customFormat="1" x14ac:dyDescent="0.3">
      <c r="A119" s="45" t="s">
        <v>103</v>
      </c>
      <c r="B119" s="74">
        <v>3311</v>
      </c>
      <c r="C119" s="75" t="s">
        <v>102</v>
      </c>
      <c r="D119" s="75" t="s">
        <v>102</v>
      </c>
      <c r="E119" s="75" t="s">
        <v>102</v>
      </c>
      <c r="F119" s="75" t="s">
        <v>102</v>
      </c>
      <c r="G119" s="75">
        <v>3687983</v>
      </c>
      <c r="H119" s="44">
        <f>G119</f>
        <v>3687983</v>
      </c>
    </row>
    <row r="120" spans="1:11" s="78" customFormat="1" x14ac:dyDescent="0.3">
      <c r="A120" s="45" t="s">
        <v>104</v>
      </c>
      <c r="B120" s="74">
        <v>3312</v>
      </c>
      <c r="C120" s="75" t="s">
        <v>102</v>
      </c>
      <c r="D120" s="75" t="s">
        <v>102</v>
      </c>
      <c r="E120" s="75"/>
      <c r="F120" s="75" t="s">
        <v>102</v>
      </c>
      <c r="G120" s="45">
        <v>0</v>
      </c>
      <c r="H120" s="44">
        <f t="shared" ref="H120:H121" si="11">SUM(C120:G120)</f>
        <v>0</v>
      </c>
    </row>
    <row r="121" spans="1:11" s="78" customFormat="1" ht="31.2" x14ac:dyDescent="0.3">
      <c r="A121" s="45" t="s">
        <v>105</v>
      </c>
      <c r="B121" s="74">
        <v>3313</v>
      </c>
      <c r="C121" s="75" t="s">
        <v>102</v>
      </c>
      <c r="D121" s="75" t="s">
        <v>102</v>
      </c>
      <c r="E121" s="75"/>
      <c r="F121" s="75" t="s">
        <v>102</v>
      </c>
      <c r="G121" s="75">
        <v>3699</v>
      </c>
      <c r="H121" s="44">
        <f t="shared" si="11"/>
        <v>3699</v>
      </c>
    </row>
    <row r="122" spans="1:11" s="78" customFormat="1" x14ac:dyDescent="0.3">
      <c r="A122" s="45" t="s">
        <v>106</v>
      </c>
      <c r="B122" s="74">
        <v>3314</v>
      </c>
      <c r="C122" s="44"/>
      <c r="D122" s="44"/>
      <c r="E122" s="44"/>
      <c r="F122" s="75" t="s">
        <v>102</v>
      </c>
      <c r="G122" s="75" t="s">
        <v>102</v>
      </c>
      <c r="H122" s="44">
        <f>C122+D122+E122</f>
        <v>0</v>
      </c>
    </row>
    <row r="123" spans="1:11" s="78" customFormat="1" x14ac:dyDescent="0.3">
      <c r="A123" s="45" t="s">
        <v>109</v>
      </c>
      <c r="B123" s="74">
        <v>3315</v>
      </c>
      <c r="C123" s="75"/>
      <c r="D123" s="75"/>
      <c r="E123" s="75"/>
      <c r="F123" s="75"/>
      <c r="G123" s="75"/>
      <c r="H123" s="44">
        <f>C123+D123+E123+F123+G123</f>
        <v>0</v>
      </c>
      <c r="K123" s="87"/>
    </row>
    <row r="124" spans="1:11" s="77" customFormat="1" x14ac:dyDescent="0.3">
      <c r="A124" s="76" t="s">
        <v>110</v>
      </c>
      <c r="B124" s="71">
        <v>3320</v>
      </c>
      <c r="C124" s="54">
        <f>SUM(C125:C133)</f>
        <v>0</v>
      </c>
      <c r="D124" s="54">
        <f>SUM(D125:D133)</f>
        <v>0</v>
      </c>
      <c r="E124" s="54">
        <v>0</v>
      </c>
      <c r="F124" s="54">
        <v>0</v>
      </c>
      <c r="G124" s="54">
        <f>SUM(G125:G131)</f>
        <v>-9017024</v>
      </c>
      <c r="H124" s="47">
        <f>C124+D124+E124+G124</f>
        <v>-9017024</v>
      </c>
    </row>
    <row r="125" spans="1:11" s="78" customFormat="1" x14ac:dyDescent="0.3">
      <c r="A125" s="45" t="s">
        <v>111</v>
      </c>
      <c r="B125" s="74">
        <v>3321</v>
      </c>
      <c r="C125" s="75" t="s">
        <v>102</v>
      </c>
      <c r="D125" s="75" t="s">
        <v>102</v>
      </c>
      <c r="E125" s="75" t="s">
        <v>102</v>
      </c>
      <c r="F125" s="75" t="s">
        <v>102</v>
      </c>
      <c r="G125" s="75"/>
      <c r="H125" s="44">
        <f t="shared" ref="H125:H126" si="12">G125</f>
        <v>0</v>
      </c>
      <c r="J125" s="87"/>
      <c r="K125" s="87"/>
    </row>
    <row r="126" spans="1:11" s="78" customFormat="1" x14ac:dyDescent="0.3">
      <c r="A126" s="45" t="s">
        <v>104</v>
      </c>
      <c r="B126" s="74">
        <v>3322</v>
      </c>
      <c r="C126" s="75" t="s">
        <v>102</v>
      </c>
      <c r="D126" s="75" t="s">
        <v>102</v>
      </c>
      <c r="E126" s="75">
        <v>0</v>
      </c>
      <c r="F126" s="75" t="s">
        <v>102</v>
      </c>
      <c r="G126" s="45"/>
      <c r="H126" s="44">
        <f t="shared" si="12"/>
        <v>0</v>
      </c>
    </row>
    <row r="127" spans="1:11" s="78" customFormat="1" ht="31.2" x14ac:dyDescent="0.3">
      <c r="A127" s="45" t="s">
        <v>112</v>
      </c>
      <c r="B127" s="74">
        <v>3323</v>
      </c>
      <c r="C127" s="75" t="s">
        <v>102</v>
      </c>
      <c r="D127" s="75" t="s">
        <v>102</v>
      </c>
      <c r="E127" s="75"/>
      <c r="F127" s="75" t="s">
        <v>102</v>
      </c>
      <c r="G127" s="75">
        <v>0</v>
      </c>
      <c r="H127" s="44">
        <f>SUM(C127:G127)</f>
        <v>0</v>
      </c>
    </row>
    <row r="128" spans="1:11" s="78" customFormat="1" ht="31.2" x14ac:dyDescent="0.3">
      <c r="A128" s="45" t="s">
        <v>113</v>
      </c>
      <c r="B128" s="74">
        <v>3324</v>
      </c>
      <c r="C128" s="75"/>
      <c r="D128" s="75"/>
      <c r="E128" s="75"/>
      <c r="F128" s="75"/>
      <c r="G128" s="75"/>
      <c r="H128" s="44"/>
    </row>
    <row r="129" spans="1:10" s="78" customFormat="1" x14ac:dyDescent="0.3">
      <c r="A129" s="45" t="s">
        <v>114</v>
      </c>
      <c r="B129" s="74">
        <v>3325</v>
      </c>
      <c r="C129" s="44">
        <v>0</v>
      </c>
      <c r="D129" s="44">
        <v>0</v>
      </c>
      <c r="E129" s="44"/>
      <c r="F129" s="75" t="s">
        <v>102</v>
      </c>
      <c r="G129" s="75" t="s">
        <v>102</v>
      </c>
      <c r="H129" s="44">
        <f>C129+D129+E129</f>
        <v>0</v>
      </c>
    </row>
    <row r="130" spans="1:10" s="78" customFormat="1" x14ac:dyDescent="0.3">
      <c r="A130" s="45" t="s">
        <v>109</v>
      </c>
      <c r="B130" s="74">
        <v>3326</v>
      </c>
      <c r="C130" s="75"/>
      <c r="D130" s="75"/>
      <c r="E130" s="75"/>
      <c r="F130" s="75"/>
      <c r="G130" s="75">
        <v>0</v>
      </c>
      <c r="H130" s="44">
        <f>C130+D130+E130+F130+G130</f>
        <v>0</v>
      </c>
    </row>
    <row r="131" spans="1:10" s="78" customFormat="1" x14ac:dyDescent="0.3">
      <c r="A131" s="79" t="s">
        <v>115</v>
      </c>
      <c r="B131" s="74">
        <v>3327</v>
      </c>
      <c r="C131" s="80"/>
      <c r="D131" s="80"/>
      <c r="E131" s="80"/>
      <c r="F131" s="81"/>
      <c r="G131" s="81">
        <v>-9017024</v>
      </c>
      <c r="H131" s="44">
        <f>G131</f>
        <v>-9017024</v>
      </c>
    </row>
    <row r="132" spans="1:10" s="78" customFormat="1" x14ac:dyDescent="0.3">
      <c r="A132" s="79" t="s">
        <v>116</v>
      </c>
      <c r="B132" s="82">
        <v>3330</v>
      </c>
      <c r="C132" s="80"/>
      <c r="D132" s="80"/>
      <c r="E132" s="80">
        <v>-1591</v>
      </c>
      <c r="F132" s="80"/>
      <c r="G132" s="80">
        <v>1591</v>
      </c>
      <c r="H132" s="75" t="s">
        <v>102</v>
      </c>
    </row>
    <row r="133" spans="1:10" s="78" customFormat="1" x14ac:dyDescent="0.3">
      <c r="A133" s="79" t="s">
        <v>117</v>
      </c>
      <c r="B133" s="82">
        <v>3340</v>
      </c>
      <c r="C133" s="80"/>
      <c r="D133" s="80"/>
      <c r="E133" s="80"/>
      <c r="F133" s="80"/>
      <c r="G133" s="80"/>
      <c r="H133" s="75" t="s">
        <v>102</v>
      </c>
    </row>
    <row r="134" spans="1:10" s="77" customFormat="1" x14ac:dyDescent="0.3">
      <c r="A134" s="84" t="s">
        <v>130</v>
      </c>
      <c r="B134" s="88">
        <v>3300</v>
      </c>
      <c r="C134" s="85">
        <f>C116+C118+C124</f>
        <v>218860</v>
      </c>
      <c r="D134" s="85">
        <f>D116+D118+D124</f>
        <v>0</v>
      </c>
      <c r="E134" s="85">
        <f>E116+E118+E124+E132</f>
        <v>501269</v>
      </c>
      <c r="F134" s="85">
        <f>F116+F133</f>
        <v>32829</v>
      </c>
      <c r="G134" s="85">
        <f>G116+G118+G124+G132+G133</f>
        <v>39665734</v>
      </c>
      <c r="H134" s="85">
        <f>H116+H118+H124</f>
        <v>40418692</v>
      </c>
      <c r="I134" s="77">
        <f>H134-'1'!C127</f>
        <v>40418692</v>
      </c>
    </row>
    <row r="135" spans="1:10" s="77" customFormat="1" x14ac:dyDescent="0.3">
      <c r="B135" s="89"/>
      <c r="C135" s="90"/>
      <c r="D135" s="90"/>
      <c r="E135" s="90"/>
      <c r="F135" s="90"/>
      <c r="G135" s="90"/>
      <c r="H135" s="90"/>
    </row>
    <row r="136" spans="1:10" s="77" customFormat="1" x14ac:dyDescent="0.3">
      <c r="B136" s="89"/>
      <c r="C136" s="90"/>
      <c r="D136" s="90"/>
      <c r="E136" s="90"/>
      <c r="F136" s="90"/>
      <c r="G136" s="90"/>
      <c r="H136" s="90"/>
    </row>
    <row r="137" spans="1:10" s="77" customFormat="1" x14ac:dyDescent="0.3">
      <c r="B137" s="89"/>
      <c r="C137" s="90"/>
      <c r="D137" s="90"/>
      <c r="E137" s="90"/>
      <c r="F137" s="90"/>
      <c r="G137" s="90"/>
      <c r="H137" s="90"/>
    </row>
    <row r="138" spans="1:10" s="78" customFormat="1" x14ac:dyDescent="0.3">
      <c r="B138" s="91"/>
      <c r="C138" s="92"/>
      <c r="D138" s="92"/>
      <c r="E138" s="92"/>
      <c r="F138" s="92"/>
      <c r="G138" s="92"/>
      <c r="H138" s="93"/>
    </row>
    <row r="141" spans="1:10" ht="31.2" x14ac:dyDescent="0.3">
      <c r="A141" s="50" t="s">
        <v>57</v>
      </c>
      <c r="B141" s="94" t="s">
        <v>7</v>
      </c>
      <c r="C141" s="94" t="str">
        <f>'1'!C5</f>
        <v>на 31 декабря 2019 года</v>
      </c>
      <c r="D141" s="94" t="str">
        <f>'1'!D5</f>
        <v>на 31 декабря 2018 года</v>
      </c>
      <c r="E141" s="94" t="str">
        <f>'1'!E5</f>
        <v>на 31 декабря 2017 года</v>
      </c>
      <c r="F141" s="94" t="str">
        <f>'1'!F5</f>
        <v>на 31 декабря 2016 года</v>
      </c>
      <c r="G141" s="94" t="str">
        <f>'1'!G5</f>
        <v>на 31 декабря 2015 года</v>
      </c>
      <c r="H141" s="94" t="str">
        <f>'1'!H5</f>
        <v>на 31 декабря 2014 года</v>
      </c>
      <c r="I141" s="94" t="str">
        <f>'1'!I5</f>
        <v>на 31 декабря 2013 года</v>
      </c>
      <c r="J141" s="94" t="str">
        <f>'1'!J5</f>
        <v>на 31 декабря 2012 года</v>
      </c>
    </row>
    <row r="142" spans="1:10" x14ac:dyDescent="0.3">
      <c r="A142" s="94" t="s">
        <v>131</v>
      </c>
      <c r="B142" s="94">
        <v>3600</v>
      </c>
      <c r="C142" s="95">
        <f>'1'!C37+'1'!C47</f>
        <v>40426353</v>
      </c>
      <c r="D142" s="95">
        <f>'1'!D37+'1'!D47</f>
        <v>45744960</v>
      </c>
      <c r="E142" s="95">
        <f>'1'!E37+'1'!E47</f>
        <v>47029719</v>
      </c>
      <c r="F142" s="95">
        <f>'1'!F37+'1'!F47</f>
        <v>41256998</v>
      </c>
      <c r="G142" s="95">
        <f>'1'!G37+'1'!G47</f>
        <v>34912255</v>
      </c>
      <c r="H142" s="95">
        <f>'1'!H37+'1'!H47</f>
        <v>26137042</v>
      </c>
      <c r="I142" s="95">
        <f>'1'!I37+'1'!I47</f>
        <v>25907804</v>
      </c>
      <c r="J142" s="95">
        <f>'1'!J37+'1'!J47</f>
        <v>22064499</v>
      </c>
    </row>
  </sheetData>
  <pageMargins left="0.75" right="0.75" top="0.52999999999999992" bottom="1" header="0.5" footer="0.5"/>
  <pageSetup paperSize="9" scale="50" orientation="portrait" horizontalDpi="429496729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6">
    <tabColor indexed="45"/>
    <pageSetUpPr fitToPage="1"/>
  </sheetPr>
  <dimension ref="A1:J60"/>
  <sheetViews>
    <sheetView zoomScale="75" workbookViewId="0">
      <pane xSplit="1" topLeftCell="B1" activePane="topRight" state="frozen"/>
      <selection pane="topRight"/>
    </sheetView>
  </sheetViews>
  <sheetFormatPr defaultColWidth="9.109375" defaultRowHeight="15.6" x14ac:dyDescent="0.3"/>
  <cols>
    <col min="1" max="1" width="44.6640625" style="64" customWidth="1"/>
    <col min="2" max="2" width="9.44140625" style="64" bestFit="1" customWidth="1"/>
    <col min="3" max="4" width="22.88671875" style="64" customWidth="1"/>
    <col min="5" max="5" width="22.88671875" style="32" customWidth="1"/>
    <col min="6" max="9" width="22.88671875" style="64" customWidth="1"/>
    <col min="10" max="16384" width="9.109375" style="64"/>
  </cols>
  <sheetData>
    <row r="1" spans="1:10" x14ac:dyDescent="0.3">
      <c r="A1" s="64" t="s">
        <v>0</v>
      </c>
    </row>
    <row r="2" spans="1:10" x14ac:dyDescent="0.3">
      <c r="A2" s="6" t="str">
        <f>'1'!A2</f>
        <v xml:space="preserve">ПАО "ДОРОГОБУЖ" </v>
      </c>
      <c r="B2" s="7"/>
      <c r="C2" s="31"/>
      <c r="D2" s="33"/>
    </row>
    <row r="3" spans="1:10" x14ac:dyDescent="0.3">
      <c r="A3" s="66" t="s">
        <v>132</v>
      </c>
      <c r="B3" s="64" t="str">
        <f>'1'!B3</f>
        <v xml:space="preserve">2013-2019 годы </v>
      </c>
    </row>
    <row r="4" spans="1:10" ht="16.2" x14ac:dyDescent="0.35">
      <c r="A4" s="6" t="s">
        <v>4</v>
      </c>
      <c r="B4" s="8" t="s">
        <v>5</v>
      </c>
    </row>
    <row r="5" spans="1:10" s="31" customFormat="1" ht="31.2" x14ac:dyDescent="0.25">
      <c r="A5" s="46" t="s">
        <v>57</v>
      </c>
      <c r="B5" s="71" t="s">
        <v>58</v>
      </c>
      <c r="C5" s="54" t="str">
        <f>'2'!C5</f>
        <v>за январь-декабрь 2019 года</v>
      </c>
      <c r="D5" s="54" t="str">
        <f>'2'!D5</f>
        <v>за январь-декабрь 2018 года</v>
      </c>
      <c r="E5" s="54" t="str">
        <f>'2'!E5</f>
        <v>за январь-декабрь 2017 года</v>
      </c>
      <c r="F5" s="54" t="str">
        <f>'2'!F5</f>
        <v>за январь-декабрь 2016 года</v>
      </c>
      <c r="G5" s="54" t="str">
        <f>'2'!G5</f>
        <v>за январь-декабрь 2015 года</v>
      </c>
      <c r="H5" s="54" t="str">
        <f>'2'!H5</f>
        <v>за январь-декабрь 2014 года</v>
      </c>
      <c r="I5" s="54" t="str">
        <f>'2'!I5</f>
        <v>за январь-декабрь 2013 года</v>
      </c>
    </row>
    <row r="6" spans="1:10" s="66" customFormat="1" ht="31.2" x14ac:dyDescent="0.3">
      <c r="A6" s="96" t="s">
        <v>133</v>
      </c>
      <c r="B6" s="54"/>
      <c r="C6" s="54"/>
      <c r="D6" s="54"/>
      <c r="E6" s="54"/>
      <c r="F6" s="54"/>
      <c r="G6" s="54"/>
      <c r="H6" s="54"/>
      <c r="I6" s="54"/>
    </row>
    <row r="7" spans="1:10" s="66" customFormat="1" x14ac:dyDescent="0.3">
      <c r="A7" s="96" t="s">
        <v>134</v>
      </c>
      <c r="B7" s="54">
        <v>4110</v>
      </c>
      <c r="C7" s="54">
        <f t="shared" ref="C7:I7" si="0">SUM(C8:C12)</f>
        <v>29272727</v>
      </c>
      <c r="D7" s="54">
        <f t="shared" si="0"/>
        <v>29669046</v>
      </c>
      <c r="E7" s="54">
        <f t="shared" si="0"/>
        <v>26374758</v>
      </c>
      <c r="F7" s="54">
        <f t="shared" si="0"/>
        <v>27814767</v>
      </c>
      <c r="G7" s="54">
        <f t="shared" si="0"/>
        <v>31030098</v>
      </c>
      <c r="H7" s="54">
        <f t="shared" si="0"/>
        <v>18540838</v>
      </c>
      <c r="I7" s="54">
        <f t="shared" si="0"/>
        <v>21608846</v>
      </c>
    </row>
    <row r="8" spans="1:10" ht="31.2" x14ac:dyDescent="0.3">
      <c r="A8" s="83" t="s">
        <v>135</v>
      </c>
      <c r="B8" s="75">
        <v>4111</v>
      </c>
      <c r="C8" s="74">
        <v>27802945</v>
      </c>
      <c r="D8" s="74">
        <v>28638723</v>
      </c>
      <c r="E8" s="74">
        <v>24610781</v>
      </c>
      <c r="F8" s="74">
        <v>27005425</v>
      </c>
      <c r="G8" s="74">
        <v>28882651</v>
      </c>
      <c r="H8" s="74">
        <v>16153047</v>
      </c>
      <c r="I8" s="74">
        <v>19872625</v>
      </c>
      <c r="J8" s="97"/>
    </row>
    <row r="9" spans="1:10" ht="46.8" x14ac:dyDescent="0.3">
      <c r="A9" s="83" t="s">
        <v>136</v>
      </c>
      <c r="B9" s="75">
        <v>4112</v>
      </c>
      <c r="C9" s="74">
        <v>28051</v>
      </c>
      <c r="D9" s="74">
        <v>65112</v>
      </c>
      <c r="E9" s="74">
        <v>49396</v>
      </c>
      <c r="F9" s="74">
        <v>76165</v>
      </c>
      <c r="G9" s="74">
        <v>360</v>
      </c>
      <c r="H9" s="74">
        <v>44</v>
      </c>
      <c r="I9" s="74">
        <v>0</v>
      </c>
      <c r="J9" s="97"/>
    </row>
    <row r="10" spans="1:10" x14ac:dyDescent="0.3">
      <c r="A10" s="83"/>
      <c r="B10" s="75">
        <v>4113</v>
      </c>
      <c r="C10" s="75"/>
      <c r="D10" s="75"/>
      <c r="E10" s="75"/>
      <c r="F10" s="75"/>
      <c r="G10" s="75"/>
      <c r="H10" s="75"/>
      <c r="I10" s="75"/>
      <c r="J10" s="97"/>
    </row>
    <row r="11" spans="1:10" x14ac:dyDescent="0.3">
      <c r="A11" s="83"/>
      <c r="B11" s="75">
        <v>4114</v>
      </c>
      <c r="C11" s="75"/>
      <c r="D11" s="75"/>
      <c r="E11" s="75"/>
      <c r="F11" s="75"/>
      <c r="G11" s="75"/>
      <c r="H11" s="75"/>
      <c r="I11" s="75"/>
      <c r="J11" s="97"/>
    </row>
    <row r="12" spans="1:10" x14ac:dyDescent="0.3">
      <c r="A12" s="83" t="s">
        <v>137</v>
      </c>
      <c r="B12" s="75">
        <v>4119</v>
      </c>
      <c r="C12" s="74">
        <v>1441731</v>
      </c>
      <c r="D12" s="74">
        <v>965211</v>
      </c>
      <c r="E12" s="74">
        <v>1714581</v>
      </c>
      <c r="F12" s="74">
        <v>733177</v>
      </c>
      <c r="G12" s="74">
        <v>2147087</v>
      </c>
      <c r="H12" s="74">
        <v>2387747</v>
      </c>
      <c r="I12" s="74">
        <v>1736221</v>
      </c>
      <c r="J12" s="97"/>
    </row>
    <row r="13" spans="1:10" s="66" customFormat="1" x14ac:dyDescent="0.3">
      <c r="A13" s="96" t="s">
        <v>138</v>
      </c>
      <c r="B13" s="54">
        <v>4120</v>
      </c>
      <c r="C13" s="54">
        <f t="shared" ref="C13:I13" si="1">SUM(C14:C19)</f>
        <v>-23967215</v>
      </c>
      <c r="D13" s="54">
        <f t="shared" si="1"/>
        <v>-24956845</v>
      </c>
      <c r="E13" s="54">
        <f t="shared" si="1"/>
        <v>-22681861</v>
      </c>
      <c r="F13" s="54">
        <f t="shared" si="1"/>
        <v>-23308172</v>
      </c>
      <c r="G13" s="54">
        <f t="shared" si="1"/>
        <v>-21032022</v>
      </c>
      <c r="H13" s="54">
        <f t="shared" si="1"/>
        <v>-16629115</v>
      </c>
      <c r="I13" s="54">
        <f t="shared" si="1"/>
        <v>-16622008</v>
      </c>
    </row>
    <row r="14" spans="1:10" x14ac:dyDescent="0.3">
      <c r="A14" s="83" t="s">
        <v>139</v>
      </c>
      <c r="B14" s="75">
        <v>4121</v>
      </c>
      <c r="C14" s="74">
        <v>-19200628</v>
      </c>
      <c r="D14" s="74">
        <v>-19307188</v>
      </c>
      <c r="E14" s="74">
        <v>-17471589</v>
      </c>
      <c r="F14" s="74">
        <v>-16815290</v>
      </c>
      <c r="G14" s="74">
        <v>-15157150</v>
      </c>
      <c r="H14" s="74">
        <v>-12191219</v>
      </c>
      <c r="I14" s="74">
        <v>-12742470</v>
      </c>
    </row>
    <row r="15" spans="1:10" x14ac:dyDescent="0.3">
      <c r="A15" s="83" t="s">
        <v>140</v>
      </c>
      <c r="B15" s="75">
        <v>4122</v>
      </c>
      <c r="C15" s="74">
        <v>-3038380</v>
      </c>
      <c r="D15" s="74">
        <v>-2780007</v>
      </c>
      <c r="E15" s="74">
        <v>-2605539</v>
      </c>
      <c r="F15" s="74">
        <v>-2836303</v>
      </c>
      <c r="G15" s="74">
        <v>-1708937</v>
      </c>
      <c r="H15" s="74">
        <v>-1315387</v>
      </c>
      <c r="I15" s="74">
        <v>-1164412</v>
      </c>
    </row>
    <row r="16" spans="1:10" ht="31.2" x14ac:dyDescent="0.3">
      <c r="A16" s="83" t="s">
        <v>141</v>
      </c>
      <c r="B16" s="75">
        <v>4123</v>
      </c>
      <c r="C16" s="74">
        <v>0</v>
      </c>
      <c r="D16" s="74">
        <v>-47324</v>
      </c>
      <c r="E16" s="74">
        <v>-347984</v>
      </c>
      <c r="F16" s="74">
        <v>-757824</v>
      </c>
      <c r="G16" s="74">
        <v>-887570</v>
      </c>
      <c r="H16" s="74">
        <v>-443832</v>
      </c>
      <c r="I16" s="74">
        <v>-420212</v>
      </c>
    </row>
    <row r="17" spans="1:9" x14ac:dyDescent="0.3">
      <c r="A17" s="83" t="s">
        <v>142</v>
      </c>
      <c r="B17" s="75">
        <v>4124</v>
      </c>
      <c r="C17" s="74">
        <v>-1204253</v>
      </c>
      <c r="D17" s="74">
        <v>-2152383</v>
      </c>
      <c r="E17" s="74">
        <v>-1945566</v>
      </c>
      <c r="F17" s="74">
        <v>-1933528</v>
      </c>
      <c r="G17" s="74">
        <v>-1576844</v>
      </c>
      <c r="H17" s="74">
        <v>-753463</v>
      </c>
      <c r="I17" s="74">
        <v>-1127412</v>
      </c>
    </row>
    <row r="18" spans="1:9" x14ac:dyDescent="0.3">
      <c r="A18" s="83"/>
      <c r="B18" s="75">
        <v>4125</v>
      </c>
      <c r="C18" s="98"/>
      <c r="D18" s="98"/>
      <c r="E18" s="98"/>
      <c r="F18" s="98"/>
      <c r="G18" s="98"/>
      <c r="H18" s="98"/>
      <c r="I18" s="98"/>
    </row>
    <row r="19" spans="1:9" x14ac:dyDescent="0.3">
      <c r="A19" s="83" t="s">
        <v>143</v>
      </c>
      <c r="B19" s="75">
        <v>4129</v>
      </c>
      <c r="C19" s="74">
        <v>-523954</v>
      </c>
      <c r="D19" s="74">
        <v>-669943</v>
      </c>
      <c r="E19" s="74">
        <v>-311183</v>
      </c>
      <c r="F19" s="74">
        <v>-965227</v>
      </c>
      <c r="G19" s="74">
        <v>-1701521</v>
      </c>
      <c r="H19" s="74">
        <v>-1925214</v>
      </c>
      <c r="I19" s="74">
        <v>-1167502</v>
      </c>
    </row>
    <row r="20" spans="1:9" ht="31.2" x14ac:dyDescent="0.3">
      <c r="A20" s="96" t="s">
        <v>144</v>
      </c>
      <c r="B20" s="54">
        <v>4100</v>
      </c>
      <c r="C20" s="54">
        <f t="shared" ref="C20:I20" si="2">C7+C13</f>
        <v>5305512</v>
      </c>
      <c r="D20" s="54">
        <f t="shared" si="2"/>
        <v>4712201</v>
      </c>
      <c r="E20" s="54">
        <f t="shared" si="2"/>
        <v>3692897</v>
      </c>
      <c r="F20" s="54">
        <f t="shared" si="2"/>
        <v>4506595</v>
      </c>
      <c r="G20" s="54">
        <f t="shared" si="2"/>
        <v>9998076</v>
      </c>
      <c r="H20" s="54">
        <f t="shared" si="2"/>
        <v>1911723</v>
      </c>
      <c r="I20" s="54">
        <f t="shared" si="2"/>
        <v>4986838</v>
      </c>
    </row>
    <row r="21" spans="1:9" s="66" customFormat="1" ht="31.2" x14ac:dyDescent="0.3">
      <c r="A21" s="96" t="s">
        <v>145</v>
      </c>
      <c r="B21" s="54"/>
      <c r="C21" s="54"/>
      <c r="D21" s="54"/>
      <c r="E21" s="54"/>
      <c r="F21" s="54"/>
      <c r="G21" s="54"/>
      <c r="H21" s="54"/>
      <c r="I21" s="54"/>
    </row>
    <row r="22" spans="1:9" x14ac:dyDescent="0.3">
      <c r="A22" s="83" t="s">
        <v>146</v>
      </c>
      <c r="B22" s="75">
        <v>4210</v>
      </c>
      <c r="C22" s="99">
        <f t="shared" ref="C22:I22" si="3">SUM(C23:C28)</f>
        <v>21317015</v>
      </c>
      <c r="D22" s="99">
        <f t="shared" si="3"/>
        <v>29838119</v>
      </c>
      <c r="E22" s="99">
        <f t="shared" si="3"/>
        <v>22000613</v>
      </c>
      <c r="F22" s="99">
        <f t="shared" si="3"/>
        <v>7623125</v>
      </c>
      <c r="G22" s="99">
        <f t="shared" si="3"/>
        <v>26729089</v>
      </c>
      <c r="H22" s="99">
        <f t="shared" si="3"/>
        <v>5001488</v>
      </c>
      <c r="I22" s="99">
        <f t="shared" si="3"/>
        <v>5714295</v>
      </c>
    </row>
    <row r="23" spans="1:9" ht="31.2" x14ac:dyDescent="0.3">
      <c r="A23" s="83" t="s">
        <v>147</v>
      </c>
      <c r="B23" s="75">
        <v>4211</v>
      </c>
      <c r="C23" s="74">
        <v>21169</v>
      </c>
      <c r="D23" s="74">
        <v>572776</v>
      </c>
      <c r="E23" s="74">
        <v>7617</v>
      </c>
      <c r="F23" s="74">
        <v>2797</v>
      </c>
      <c r="G23" s="74">
        <v>47115</v>
      </c>
      <c r="H23" s="74">
        <v>3625</v>
      </c>
      <c r="I23" s="74">
        <v>2843</v>
      </c>
    </row>
    <row r="24" spans="1:9" ht="31.2" x14ac:dyDescent="0.3">
      <c r="A24" s="83" t="s">
        <v>148</v>
      </c>
      <c r="B24" s="75">
        <v>4212</v>
      </c>
      <c r="C24" s="98">
        <v>0</v>
      </c>
      <c r="D24" s="98">
        <v>10621790</v>
      </c>
      <c r="E24" s="98">
        <v>62773</v>
      </c>
      <c r="F24" s="98">
        <v>0</v>
      </c>
      <c r="G24" s="98">
        <v>0</v>
      </c>
      <c r="H24" s="98">
        <v>149</v>
      </c>
      <c r="I24" s="98">
        <v>17202</v>
      </c>
    </row>
    <row r="25" spans="1:9" ht="62.4" x14ac:dyDescent="0.3">
      <c r="A25" s="83" t="s">
        <v>149</v>
      </c>
      <c r="B25" s="75">
        <v>4213</v>
      </c>
      <c r="C25" s="75">
        <v>18674491</v>
      </c>
      <c r="D25" s="75">
        <v>15720581</v>
      </c>
      <c r="E25" s="75">
        <v>17746249</v>
      </c>
      <c r="F25" s="75">
        <v>4389200</v>
      </c>
      <c r="G25" s="75">
        <v>21965169</v>
      </c>
      <c r="H25" s="75">
        <v>2886563</v>
      </c>
      <c r="I25" s="75">
        <v>5383330</v>
      </c>
    </row>
    <row r="26" spans="1:9" ht="62.4" x14ac:dyDescent="0.3">
      <c r="A26" s="83" t="s">
        <v>150</v>
      </c>
      <c r="B26" s="75">
        <v>4214</v>
      </c>
      <c r="C26" s="74">
        <v>2621355</v>
      </c>
      <c r="D26" s="74">
        <v>2826204</v>
      </c>
      <c r="E26" s="74">
        <v>4183974</v>
      </c>
      <c r="F26" s="74">
        <v>3195510</v>
      </c>
      <c r="G26" s="74">
        <v>4703725</v>
      </c>
      <c r="H26" s="74">
        <v>2064216</v>
      </c>
      <c r="I26" s="74">
        <v>310920</v>
      </c>
    </row>
    <row r="27" spans="1:9" x14ac:dyDescent="0.3">
      <c r="A27" s="83" t="s">
        <v>151</v>
      </c>
      <c r="B27" s="75">
        <v>4215</v>
      </c>
      <c r="C27" s="74"/>
      <c r="D27" s="74"/>
      <c r="E27" s="74"/>
      <c r="F27" s="74"/>
      <c r="G27" s="74"/>
      <c r="H27" s="74"/>
      <c r="I27" s="74"/>
    </row>
    <row r="28" spans="1:9" x14ac:dyDescent="0.3">
      <c r="A28" s="83" t="s">
        <v>137</v>
      </c>
      <c r="B28" s="75">
        <v>4219</v>
      </c>
      <c r="C28" s="75"/>
      <c r="D28" s="75">
        <v>96768</v>
      </c>
      <c r="E28" s="75"/>
      <c r="F28" s="75">
        <v>35618</v>
      </c>
      <c r="G28" s="75">
        <v>13080</v>
      </c>
      <c r="H28" s="75">
        <v>46935</v>
      </c>
      <c r="I28" s="75">
        <v>0</v>
      </c>
    </row>
    <row r="29" spans="1:9" x14ac:dyDescent="0.3">
      <c r="A29" s="83" t="s">
        <v>152</v>
      </c>
      <c r="B29" s="75">
        <v>4220</v>
      </c>
      <c r="C29" s="54">
        <f t="shared" ref="C29:I29" si="4">SUM(C31:C36)</f>
        <v>-15056354</v>
      </c>
      <c r="D29" s="54">
        <f t="shared" si="4"/>
        <v>-30367510</v>
      </c>
      <c r="E29" s="54">
        <f t="shared" si="4"/>
        <v>-11983614</v>
      </c>
      <c r="F29" s="54">
        <f t="shared" si="4"/>
        <v>-17138721</v>
      </c>
      <c r="G29" s="54">
        <f t="shared" si="4"/>
        <v>-22475341</v>
      </c>
      <c r="H29" s="54">
        <f t="shared" si="4"/>
        <v>-10547953</v>
      </c>
      <c r="I29" s="54">
        <f t="shared" si="4"/>
        <v>-9837421</v>
      </c>
    </row>
    <row r="30" spans="1:9" x14ac:dyDescent="0.3">
      <c r="A30" s="83" t="s">
        <v>153</v>
      </c>
      <c r="B30" s="75"/>
      <c r="C30" s="75"/>
      <c r="D30" s="75"/>
      <c r="E30" s="75"/>
      <c r="F30" s="75"/>
      <c r="G30" s="75"/>
      <c r="H30" s="75"/>
      <c r="I30" s="75"/>
    </row>
    <row r="31" spans="1:9" ht="62.4" x14ac:dyDescent="0.3">
      <c r="A31" s="83" t="s">
        <v>154</v>
      </c>
      <c r="B31" s="75">
        <v>4221</v>
      </c>
      <c r="C31" s="74">
        <v>-2777354</v>
      </c>
      <c r="D31" s="74">
        <v>-1756490</v>
      </c>
      <c r="E31" s="74">
        <v>-747120</v>
      </c>
      <c r="F31" s="74">
        <v>-753359</v>
      </c>
      <c r="G31" s="74">
        <v>-468168</v>
      </c>
      <c r="H31" s="74">
        <v>-489031</v>
      </c>
      <c r="I31" s="74">
        <v>-461416</v>
      </c>
    </row>
    <row r="32" spans="1:9" ht="31.2" x14ac:dyDescent="0.3">
      <c r="A32" s="83" t="s">
        <v>155</v>
      </c>
      <c r="B32" s="75">
        <v>4222</v>
      </c>
      <c r="C32" s="74">
        <v>-1660000</v>
      </c>
      <c r="D32" s="74">
        <v>-17187536</v>
      </c>
      <c r="E32" s="74">
        <v>-1665000</v>
      </c>
      <c r="F32" s="74">
        <v>-470000</v>
      </c>
      <c r="G32" s="74">
        <v>-1011173</v>
      </c>
      <c r="H32" s="74"/>
      <c r="I32" s="74">
        <v>-2841</v>
      </c>
    </row>
    <row r="33" spans="1:9" ht="62.4" x14ac:dyDescent="0.3">
      <c r="A33" s="83" t="s">
        <v>156</v>
      </c>
      <c r="B33" s="75">
        <v>4223</v>
      </c>
      <c r="C33" s="98">
        <v>-10619000</v>
      </c>
      <c r="D33" s="98">
        <v>-11423484</v>
      </c>
      <c r="E33" s="98">
        <v>-9571494</v>
      </c>
      <c r="F33" s="98">
        <v>-15915362</v>
      </c>
      <c r="G33" s="98">
        <v>-20996000</v>
      </c>
      <c r="H33" s="98">
        <v>-10058922</v>
      </c>
      <c r="I33" s="98">
        <v>-9373164</v>
      </c>
    </row>
    <row r="34" spans="1:9" ht="46.8" x14ac:dyDescent="0.3">
      <c r="A34" s="83" t="s">
        <v>157</v>
      </c>
      <c r="B34" s="75">
        <v>4224</v>
      </c>
      <c r="C34" s="74"/>
      <c r="D34" s="74"/>
      <c r="E34" s="74"/>
      <c r="F34" s="74">
        <v>0</v>
      </c>
      <c r="G34" s="74">
        <v>0</v>
      </c>
      <c r="H34" s="74"/>
      <c r="I34" s="74"/>
    </row>
    <row r="35" spans="1:9" x14ac:dyDescent="0.3">
      <c r="A35" s="83"/>
      <c r="B35" s="75">
        <v>4225</v>
      </c>
      <c r="C35" s="75"/>
      <c r="D35" s="75"/>
      <c r="E35" s="75"/>
      <c r="F35" s="75"/>
      <c r="G35" s="75"/>
      <c r="H35" s="75"/>
      <c r="I35" s="75"/>
    </row>
    <row r="36" spans="1:9" x14ac:dyDescent="0.3">
      <c r="A36" s="83" t="s">
        <v>158</v>
      </c>
      <c r="B36" s="75">
        <v>4229</v>
      </c>
      <c r="C36" s="75"/>
      <c r="D36" s="75"/>
      <c r="E36" s="75"/>
      <c r="F36" s="75">
        <v>0</v>
      </c>
      <c r="G36" s="75">
        <v>0</v>
      </c>
      <c r="H36" s="75"/>
      <c r="I36" s="75"/>
    </row>
    <row r="37" spans="1:9" ht="31.2" x14ac:dyDescent="0.3">
      <c r="A37" s="96" t="s">
        <v>159</v>
      </c>
      <c r="B37" s="54">
        <v>4200</v>
      </c>
      <c r="C37" s="54">
        <f t="shared" ref="C37:I37" si="5">C22+C29</f>
        <v>6260661</v>
      </c>
      <c r="D37" s="54">
        <f t="shared" si="5"/>
        <v>-529391</v>
      </c>
      <c r="E37" s="54">
        <f t="shared" si="5"/>
        <v>10016999</v>
      </c>
      <c r="F37" s="54">
        <f t="shared" si="5"/>
        <v>-9515596</v>
      </c>
      <c r="G37" s="54">
        <f t="shared" si="5"/>
        <v>4253748</v>
      </c>
      <c r="H37" s="54">
        <f t="shared" si="5"/>
        <v>-5546465</v>
      </c>
      <c r="I37" s="54">
        <f t="shared" si="5"/>
        <v>-4123126</v>
      </c>
    </row>
    <row r="38" spans="1:9" s="66" customFormat="1" ht="31.2" x14ac:dyDescent="0.3">
      <c r="A38" s="96" t="s">
        <v>160</v>
      </c>
      <c r="B38" s="54"/>
      <c r="C38" s="54"/>
      <c r="D38" s="54"/>
      <c r="E38" s="54"/>
      <c r="F38" s="54"/>
      <c r="G38" s="54"/>
      <c r="H38" s="54"/>
      <c r="I38" s="54"/>
    </row>
    <row r="39" spans="1:9" x14ac:dyDescent="0.3">
      <c r="A39" s="83" t="s">
        <v>146</v>
      </c>
      <c r="B39" s="75">
        <v>4310</v>
      </c>
      <c r="C39" s="54">
        <f t="shared" ref="C39:I39" si="6">SUM(C40:C46)</f>
        <v>0</v>
      </c>
      <c r="D39" s="54">
        <f t="shared" si="6"/>
        <v>12442473</v>
      </c>
      <c r="E39" s="54">
        <f t="shared" si="6"/>
        <v>849700</v>
      </c>
      <c r="F39" s="54">
        <f t="shared" si="6"/>
        <v>7763435</v>
      </c>
      <c r="G39" s="54">
        <f t="shared" si="6"/>
        <v>3107655</v>
      </c>
      <c r="H39" s="54">
        <f t="shared" si="6"/>
        <v>6155034</v>
      </c>
      <c r="I39" s="54">
        <f t="shared" si="6"/>
        <v>4563225</v>
      </c>
    </row>
    <row r="40" spans="1:9" x14ac:dyDescent="0.3">
      <c r="A40" s="83" t="s">
        <v>161</v>
      </c>
      <c r="B40" s="75">
        <v>4311</v>
      </c>
      <c r="C40" s="75"/>
      <c r="D40" s="75">
        <v>12442473</v>
      </c>
      <c r="E40" s="75">
        <v>849700</v>
      </c>
      <c r="F40" s="75">
        <v>7763435</v>
      </c>
      <c r="G40" s="75">
        <v>3107655</v>
      </c>
      <c r="H40" s="75">
        <v>6155034</v>
      </c>
      <c r="I40" s="75">
        <v>4563225</v>
      </c>
    </row>
    <row r="41" spans="1:9" ht="31.2" x14ac:dyDescent="0.3">
      <c r="A41" s="83" t="s">
        <v>162</v>
      </c>
      <c r="B41" s="75">
        <v>4312</v>
      </c>
      <c r="C41" s="74"/>
      <c r="D41" s="74"/>
      <c r="E41" s="74"/>
      <c r="F41" s="74"/>
      <c r="G41" s="74"/>
      <c r="H41" s="74"/>
      <c r="I41" s="74"/>
    </row>
    <row r="42" spans="1:9" ht="31.2" x14ac:dyDescent="0.3">
      <c r="A42" s="83" t="s">
        <v>163</v>
      </c>
      <c r="B42" s="75">
        <v>4313</v>
      </c>
      <c r="C42" s="75"/>
      <c r="D42" s="75"/>
      <c r="E42" s="75"/>
      <c r="F42" s="75"/>
      <c r="G42" s="75"/>
      <c r="H42" s="75"/>
      <c r="I42" s="75"/>
    </row>
    <row r="43" spans="1:9" ht="31.2" x14ac:dyDescent="0.3">
      <c r="A43" s="83" t="s">
        <v>164</v>
      </c>
      <c r="B43" s="75">
        <v>4314</v>
      </c>
      <c r="C43" s="98"/>
      <c r="D43" s="98"/>
      <c r="E43" s="98"/>
      <c r="F43" s="98"/>
      <c r="G43" s="98"/>
      <c r="H43" s="98"/>
      <c r="I43" s="98"/>
    </row>
    <row r="44" spans="1:9" ht="31.2" x14ac:dyDescent="0.3">
      <c r="A44" s="83" t="s">
        <v>165</v>
      </c>
      <c r="B44" s="75">
        <v>4315</v>
      </c>
      <c r="C44" s="98"/>
      <c r="D44" s="98"/>
      <c r="E44" s="98"/>
      <c r="F44" s="98"/>
      <c r="G44" s="98"/>
      <c r="H44" s="98"/>
      <c r="I44" s="98"/>
    </row>
    <row r="45" spans="1:9" x14ac:dyDescent="0.3">
      <c r="A45" s="83"/>
      <c r="B45" s="75">
        <v>4316</v>
      </c>
      <c r="C45" s="75"/>
      <c r="D45" s="75"/>
      <c r="E45" s="75"/>
      <c r="F45" s="75"/>
      <c r="G45" s="75"/>
      <c r="H45" s="75"/>
      <c r="I45" s="75"/>
    </row>
    <row r="46" spans="1:9" x14ac:dyDescent="0.3">
      <c r="A46" s="83" t="s">
        <v>137</v>
      </c>
      <c r="B46" s="75">
        <v>4319</v>
      </c>
      <c r="C46" s="75"/>
      <c r="D46" s="75"/>
      <c r="E46" s="75"/>
      <c r="F46" s="75"/>
      <c r="G46" s="75"/>
      <c r="H46" s="75"/>
      <c r="I46" s="75"/>
    </row>
    <row r="47" spans="1:9" x14ac:dyDescent="0.3">
      <c r="A47" s="83" t="s">
        <v>152</v>
      </c>
      <c r="B47" s="75">
        <v>4320</v>
      </c>
      <c r="C47" s="54">
        <f t="shared" ref="C47:I47" si="7">SUM(C48:C52)</f>
        <v>-8997736</v>
      </c>
      <c r="D47" s="54">
        <f t="shared" si="7"/>
        <v>-19342923</v>
      </c>
      <c r="E47" s="54">
        <f t="shared" si="7"/>
        <v>-15533771</v>
      </c>
      <c r="F47" s="54">
        <f t="shared" si="7"/>
        <v>-3703667</v>
      </c>
      <c r="G47" s="54">
        <f t="shared" si="7"/>
        <v>-16271531</v>
      </c>
      <c r="H47" s="54">
        <f t="shared" si="7"/>
        <v>-876212</v>
      </c>
      <c r="I47" s="54">
        <f t="shared" si="7"/>
        <v>-5905290</v>
      </c>
    </row>
    <row r="48" spans="1:9" ht="62.4" x14ac:dyDescent="0.3">
      <c r="A48" s="83" t="s">
        <v>166</v>
      </c>
      <c r="B48" s="75">
        <v>4321</v>
      </c>
      <c r="C48" s="75"/>
      <c r="D48" s="75">
        <v>0</v>
      </c>
      <c r="E48" s="75">
        <v>-96647</v>
      </c>
      <c r="F48" s="75"/>
      <c r="G48" s="75"/>
      <c r="H48" s="75"/>
      <c r="I48" s="75"/>
    </row>
    <row r="49" spans="1:9" ht="46.8" x14ac:dyDescent="0.3">
      <c r="A49" s="83" t="s">
        <v>167</v>
      </c>
      <c r="B49" s="75">
        <v>4322</v>
      </c>
      <c r="C49" s="75">
        <v>-8997736</v>
      </c>
      <c r="D49" s="75">
        <v>-6102715</v>
      </c>
      <c r="E49" s="75">
        <v>-2177868</v>
      </c>
      <c r="F49" s="75">
        <v>-1135363</v>
      </c>
      <c r="G49" s="75">
        <v>-280773</v>
      </c>
      <c r="H49" s="75">
        <v>-182026</v>
      </c>
      <c r="I49" s="75">
        <v>-183345</v>
      </c>
    </row>
    <row r="50" spans="1:9" ht="46.8" x14ac:dyDescent="0.3">
      <c r="A50" s="83" t="s">
        <v>168</v>
      </c>
      <c r="B50" s="75">
        <v>4323</v>
      </c>
      <c r="C50" s="74"/>
      <c r="D50" s="74">
        <v>-13240208</v>
      </c>
      <c r="E50" s="74">
        <v>-13259256</v>
      </c>
      <c r="F50" s="74">
        <v>-2568304</v>
      </c>
      <c r="G50" s="74">
        <v>-15990758</v>
      </c>
      <c r="H50" s="74">
        <v>-694186</v>
      </c>
      <c r="I50" s="74">
        <v>-5721945</v>
      </c>
    </row>
    <row r="51" spans="1:9" x14ac:dyDescent="0.3">
      <c r="A51" s="83"/>
      <c r="B51" s="75">
        <v>4324</v>
      </c>
      <c r="C51" s="74"/>
      <c r="D51" s="74"/>
      <c r="E51" s="74"/>
      <c r="F51" s="74"/>
      <c r="G51" s="74"/>
      <c r="H51" s="74"/>
      <c r="I51" s="74"/>
    </row>
    <row r="52" spans="1:9" x14ac:dyDescent="0.3">
      <c r="A52" s="83" t="s">
        <v>158</v>
      </c>
      <c r="B52" s="75">
        <v>4329</v>
      </c>
      <c r="C52" s="75"/>
      <c r="D52" s="75"/>
      <c r="E52" s="75"/>
      <c r="F52" s="75">
        <v>0</v>
      </c>
      <c r="G52" s="75">
        <v>0</v>
      </c>
      <c r="H52" s="75"/>
      <c r="I52" s="75"/>
    </row>
    <row r="53" spans="1:9" ht="31.2" x14ac:dyDescent="0.3">
      <c r="A53" s="83" t="s">
        <v>169</v>
      </c>
      <c r="B53" s="75">
        <v>4300</v>
      </c>
      <c r="C53" s="75">
        <f t="shared" ref="C53:I53" si="8">C39+C47</f>
        <v>-8997736</v>
      </c>
      <c r="D53" s="75">
        <f t="shared" si="8"/>
        <v>-6900450</v>
      </c>
      <c r="E53" s="75">
        <f t="shared" si="8"/>
        <v>-14684071</v>
      </c>
      <c r="F53" s="75">
        <f t="shared" si="8"/>
        <v>4059768</v>
      </c>
      <c r="G53" s="75">
        <f t="shared" si="8"/>
        <v>-13163876</v>
      </c>
      <c r="H53" s="75">
        <f t="shared" si="8"/>
        <v>5278822</v>
      </c>
      <c r="I53" s="75">
        <f t="shared" si="8"/>
        <v>-1342065</v>
      </c>
    </row>
    <row r="54" spans="1:9" ht="31.2" x14ac:dyDescent="0.3">
      <c r="A54" s="96" t="s">
        <v>170</v>
      </c>
      <c r="B54" s="75">
        <v>4400</v>
      </c>
      <c r="C54" s="75">
        <f t="shared" ref="C54:I54" si="9">C20+C37+C53</f>
        <v>2568437</v>
      </c>
      <c r="D54" s="75">
        <f t="shared" si="9"/>
        <v>-2717640</v>
      </c>
      <c r="E54" s="75">
        <f t="shared" si="9"/>
        <v>-974175</v>
      </c>
      <c r="F54" s="75">
        <f t="shared" si="9"/>
        <v>-949233</v>
      </c>
      <c r="G54" s="75">
        <f t="shared" si="9"/>
        <v>1087948</v>
      </c>
      <c r="H54" s="75">
        <f t="shared" si="9"/>
        <v>1644080</v>
      </c>
      <c r="I54" s="75">
        <f t="shared" si="9"/>
        <v>-478353</v>
      </c>
    </row>
    <row r="55" spans="1:9" ht="46.8" x14ac:dyDescent="0.3">
      <c r="A55" s="96" t="s">
        <v>171</v>
      </c>
      <c r="B55" s="75">
        <v>4450</v>
      </c>
      <c r="C55" s="75">
        <f t="shared" ref="C55:E55" si="10">D56</f>
        <v>1007423</v>
      </c>
      <c r="D55" s="75">
        <f t="shared" si="10"/>
        <v>3121334</v>
      </c>
      <c r="E55" s="75">
        <f t="shared" si="10"/>
        <v>4548134</v>
      </c>
      <c r="F55" s="75">
        <f>G56</f>
        <v>6655180</v>
      </c>
      <c r="G55" s="75">
        <f>H56</f>
        <v>3728021</v>
      </c>
      <c r="H55" s="75">
        <v>509947</v>
      </c>
      <c r="I55" s="75">
        <v>831112</v>
      </c>
    </row>
    <row r="56" spans="1:9" s="66" customFormat="1" ht="46.8" x14ac:dyDescent="0.3">
      <c r="A56" s="96" t="s">
        <v>172</v>
      </c>
      <c r="B56" s="54">
        <v>4500</v>
      </c>
      <c r="C56" s="54">
        <f t="shared" ref="C56:I56" si="11">C55+C54+C57</f>
        <v>3397539</v>
      </c>
      <c r="D56" s="54">
        <f>D55+D54+D57</f>
        <v>1007423</v>
      </c>
      <c r="E56" s="54">
        <f t="shared" si="11"/>
        <v>3121334</v>
      </c>
      <c r="F56" s="54">
        <f t="shared" si="11"/>
        <v>4548134</v>
      </c>
      <c r="G56" s="54">
        <f t="shared" si="11"/>
        <v>6655180</v>
      </c>
      <c r="H56" s="54">
        <f>H55+H54+H57</f>
        <v>3728021</v>
      </c>
      <c r="I56" s="54">
        <f t="shared" si="11"/>
        <v>509947</v>
      </c>
    </row>
    <row r="57" spans="1:9" ht="46.8" x14ac:dyDescent="0.3">
      <c r="A57" s="83" t="s">
        <v>173</v>
      </c>
      <c r="B57" s="75">
        <v>4490</v>
      </c>
      <c r="C57" s="74">
        <v>-178321</v>
      </c>
      <c r="D57" s="74">
        <v>603729</v>
      </c>
      <c r="E57" s="74">
        <v>-452625</v>
      </c>
      <c r="F57" s="74">
        <v>-1157813</v>
      </c>
      <c r="G57" s="74">
        <v>1839211</v>
      </c>
      <c r="H57" s="74">
        <v>1573994</v>
      </c>
      <c r="I57" s="74">
        <v>157188</v>
      </c>
    </row>
    <row r="58" spans="1:9" x14ac:dyDescent="0.3">
      <c r="C58" s="33"/>
      <c r="D58" s="33"/>
    </row>
    <row r="59" spans="1:9" x14ac:dyDescent="0.3">
      <c r="A59" s="100"/>
      <c r="C59" s="33"/>
      <c r="D59" s="33"/>
    </row>
    <row r="60" spans="1:9" x14ac:dyDescent="0.3">
      <c r="E60" s="64"/>
    </row>
  </sheetData>
  <pageMargins left="0.75" right="0.75" top="0.52" bottom="0.51000000000000023" header="0.5" footer="0.5"/>
  <pageSetup paperSize="9" scale="46" orientation="portrait" horizontalDpi="429496729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7">
    <tabColor indexed="45"/>
    <pageSetUpPr fitToPage="1"/>
  </sheetPr>
  <dimension ref="A1:N276"/>
  <sheetViews>
    <sheetView zoomScale="75" workbookViewId="0">
      <selection activeCell="L20" sqref="L20"/>
    </sheetView>
  </sheetViews>
  <sheetFormatPr defaultColWidth="9.109375" defaultRowHeight="15.6" x14ac:dyDescent="0.25"/>
  <cols>
    <col min="1" max="1" width="31.6640625" style="102" customWidth="1"/>
    <col min="2" max="16" width="16.5546875" style="101" customWidth="1"/>
    <col min="17" max="17" width="7.44140625" style="101" customWidth="1"/>
    <col min="18" max="18" width="10.33203125" style="101" bestFit="1" customWidth="1"/>
    <col min="19" max="21" width="10" style="101" customWidth="1"/>
    <col min="22" max="35" width="9.109375" style="101"/>
    <col min="36" max="36" width="29.5546875" style="101" customWidth="1"/>
    <col min="37" max="42" width="9.109375" style="101"/>
    <col min="43" max="43" width="22.88671875" style="101" customWidth="1"/>
    <col min="44" max="52" width="9.109375" style="101"/>
    <col min="53" max="53" width="24.6640625" style="101" customWidth="1"/>
    <col min="54" max="54" width="9.109375" style="101"/>
    <col min="55" max="55" width="11" style="101" customWidth="1"/>
    <col min="56" max="56" width="11.6640625" style="101" customWidth="1"/>
    <col min="57" max="59" width="9.109375" style="101"/>
    <col min="60" max="60" width="32.33203125" style="101" customWidth="1"/>
    <col min="61" max="61" width="9.109375" style="101"/>
    <col min="62" max="63" width="9.6640625" style="101" customWidth="1"/>
    <col min="64" max="64" width="6.88671875" style="101" customWidth="1"/>
    <col min="65" max="65" width="29.6640625" style="101" customWidth="1"/>
    <col min="66" max="16384" width="9.109375" style="101"/>
  </cols>
  <sheetData>
    <row r="1" spans="1:12" ht="19.8" x14ac:dyDescent="0.25">
      <c r="A1" s="103" t="s">
        <v>174</v>
      </c>
    </row>
    <row r="2" spans="1:12" x14ac:dyDescent="0.25">
      <c r="A2" s="102" t="s">
        <v>0</v>
      </c>
    </row>
    <row r="3" spans="1:12" x14ac:dyDescent="0.3">
      <c r="A3" s="6" t="str">
        <f>'1'!A2</f>
        <v xml:space="preserve">ПАО "ДОРОГОБУЖ" </v>
      </c>
      <c r="B3" s="7"/>
    </row>
    <row r="4" spans="1:12" x14ac:dyDescent="0.25">
      <c r="A4" s="104" t="s">
        <v>175</v>
      </c>
      <c r="C4" s="105"/>
    </row>
    <row r="5" spans="1:12" ht="16.2" x14ac:dyDescent="0.25">
      <c r="A5" s="106" t="s">
        <v>4</v>
      </c>
      <c r="B5" s="107" t="s">
        <v>5</v>
      </c>
      <c r="C5" s="105"/>
    </row>
    <row r="6" spans="1:12" ht="20.25" customHeight="1" x14ac:dyDescent="0.25">
      <c r="C6" s="108" t="s">
        <v>176</v>
      </c>
      <c r="D6" s="109"/>
      <c r="E6" s="109"/>
      <c r="F6" s="109"/>
      <c r="G6" s="109"/>
    </row>
    <row r="7" spans="1:12" ht="37.5" customHeight="1" x14ac:dyDescent="0.25">
      <c r="A7" s="110" t="s">
        <v>177</v>
      </c>
      <c r="B7" s="400" t="s">
        <v>178</v>
      </c>
      <c r="C7" s="400"/>
      <c r="D7" s="403" t="s">
        <v>179</v>
      </c>
      <c r="E7" s="403" t="s">
        <v>180</v>
      </c>
      <c r="F7" s="403"/>
      <c r="G7" s="396" t="s">
        <v>181</v>
      </c>
      <c r="H7" s="396" t="s">
        <v>182</v>
      </c>
      <c r="I7" s="400" t="s">
        <v>183</v>
      </c>
      <c r="J7" s="400"/>
    </row>
    <row r="8" spans="1:12" ht="65.25" customHeight="1" x14ac:dyDescent="0.25">
      <c r="A8" s="112" t="s">
        <v>184</v>
      </c>
      <c r="B8" s="75" t="s">
        <v>185</v>
      </c>
      <c r="C8" s="113" t="s">
        <v>186</v>
      </c>
      <c r="D8" s="403"/>
      <c r="E8" s="75" t="s">
        <v>185</v>
      </c>
      <c r="F8" s="113" t="s">
        <v>186</v>
      </c>
      <c r="G8" s="397"/>
      <c r="H8" s="397"/>
      <c r="I8" s="75" t="s">
        <v>185</v>
      </c>
      <c r="J8" s="113" t="s">
        <v>186</v>
      </c>
    </row>
    <row r="9" spans="1:12" ht="13.5" customHeight="1" x14ac:dyDescent="0.25">
      <c r="A9" s="112">
        <v>1</v>
      </c>
      <c r="B9" s="75">
        <v>2</v>
      </c>
      <c r="C9" s="75">
        <v>3</v>
      </c>
      <c r="D9" s="75"/>
      <c r="E9" s="75"/>
      <c r="F9" s="75"/>
      <c r="G9" s="75"/>
      <c r="H9" s="75"/>
      <c r="I9" s="75"/>
      <c r="J9" s="75"/>
    </row>
    <row r="10" spans="1:12" ht="31.2" x14ac:dyDescent="0.25">
      <c r="A10" s="112" t="s">
        <v>187</v>
      </c>
      <c r="B10" s="75">
        <f t="shared" ref="B10:H10" si="0">SUM(B11:B17)</f>
        <v>0</v>
      </c>
      <c r="C10" s="75">
        <f t="shared" si="0"/>
        <v>0</v>
      </c>
      <c r="D10" s="75">
        <f t="shared" si="0"/>
        <v>0</v>
      </c>
      <c r="E10" s="75">
        <f t="shared" si="0"/>
        <v>0</v>
      </c>
      <c r="F10" s="75">
        <f t="shared" si="0"/>
        <v>0</v>
      </c>
      <c r="G10" s="75">
        <f t="shared" si="0"/>
        <v>0</v>
      </c>
      <c r="H10" s="75">
        <f t="shared" si="0"/>
        <v>0</v>
      </c>
      <c r="I10" s="75">
        <f>B10+E10+D10</f>
        <v>0</v>
      </c>
      <c r="J10" s="75">
        <f>C10+F10+G10+H10</f>
        <v>0</v>
      </c>
      <c r="K10" s="101">
        <f>B10+C10-'1'!E8</f>
        <v>0</v>
      </c>
      <c r="L10" s="101">
        <f>I10+J10-'1'!D8</f>
        <v>0</v>
      </c>
    </row>
    <row r="11" spans="1:12" ht="31.2" x14ac:dyDescent="0.25">
      <c r="A11" s="112" t="s">
        <v>188</v>
      </c>
      <c r="B11" s="75"/>
      <c r="C11" s="75"/>
      <c r="D11" s="75"/>
      <c r="E11" s="75"/>
      <c r="F11" s="75"/>
      <c r="G11" s="75"/>
      <c r="H11" s="75"/>
      <c r="I11" s="75"/>
      <c r="J11" s="75"/>
    </row>
    <row r="12" spans="1:12" x14ac:dyDescent="0.25">
      <c r="A12" s="112" t="s">
        <v>189</v>
      </c>
      <c r="B12" s="75"/>
      <c r="C12" s="75"/>
      <c r="D12" s="75"/>
      <c r="E12" s="75"/>
      <c r="F12" s="75"/>
      <c r="G12" s="75"/>
      <c r="H12" s="75"/>
      <c r="I12" s="75"/>
      <c r="J12" s="75"/>
    </row>
    <row r="13" spans="1:12" x14ac:dyDescent="0.25">
      <c r="A13" s="112" t="s">
        <v>190</v>
      </c>
      <c r="B13" s="75"/>
      <c r="C13" s="75"/>
      <c r="D13" s="75"/>
      <c r="E13" s="75"/>
      <c r="F13" s="75"/>
      <c r="G13" s="75"/>
      <c r="H13" s="75"/>
      <c r="I13" s="75"/>
      <c r="J13" s="75"/>
    </row>
    <row r="14" spans="1:12" x14ac:dyDescent="0.25">
      <c r="A14" s="112" t="s">
        <v>191</v>
      </c>
      <c r="B14" s="75"/>
      <c r="C14" s="75"/>
      <c r="D14" s="75"/>
      <c r="E14" s="75"/>
      <c r="F14" s="75"/>
      <c r="G14" s="75"/>
      <c r="H14" s="75"/>
      <c r="I14" s="75"/>
      <c r="J14" s="75"/>
    </row>
    <row r="15" spans="1:12" ht="78" x14ac:dyDescent="0.25">
      <c r="A15" s="115" t="s">
        <v>192</v>
      </c>
      <c r="B15" s="75"/>
      <c r="C15" s="75"/>
      <c r="D15" s="75"/>
      <c r="E15" s="75"/>
      <c r="F15" s="75"/>
      <c r="G15" s="75"/>
      <c r="H15" s="75"/>
      <c r="I15" s="75"/>
      <c r="J15" s="75"/>
    </row>
    <row r="16" spans="1:12" x14ac:dyDescent="0.25">
      <c r="A16" s="112"/>
      <c r="B16" s="75"/>
      <c r="C16" s="75"/>
      <c r="D16" s="75"/>
      <c r="E16" s="75"/>
      <c r="F16" s="75"/>
      <c r="G16" s="75"/>
      <c r="H16" s="75"/>
      <c r="I16" s="75"/>
      <c r="J16" s="75"/>
    </row>
    <row r="17" spans="1:12" x14ac:dyDescent="0.25">
      <c r="A17" s="112"/>
      <c r="B17" s="75"/>
      <c r="C17" s="75"/>
      <c r="D17" s="75"/>
      <c r="E17" s="75"/>
      <c r="F17" s="75"/>
      <c r="G17" s="75"/>
      <c r="H17" s="75"/>
      <c r="I17" s="75"/>
      <c r="J17" s="75"/>
    </row>
    <row r="18" spans="1:12" ht="16.2" x14ac:dyDescent="0.25">
      <c r="C18" s="116"/>
      <c r="D18" s="109"/>
      <c r="E18" s="109"/>
      <c r="F18" s="109"/>
      <c r="G18" s="109"/>
    </row>
    <row r="19" spans="1:12" ht="12.75" customHeight="1" x14ac:dyDescent="0.25">
      <c r="C19" s="108" t="s">
        <v>193</v>
      </c>
      <c r="D19" s="109"/>
      <c r="E19" s="109"/>
      <c r="F19" s="109"/>
      <c r="G19" s="109"/>
    </row>
    <row r="20" spans="1:12" ht="45" customHeight="1" x14ac:dyDescent="0.25">
      <c r="A20" s="110" t="s">
        <v>177</v>
      </c>
      <c r="B20" s="400" t="s">
        <v>178</v>
      </c>
      <c r="C20" s="400"/>
      <c r="D20" s="403" t="s">
        <v>179</v>
      </c>
      <c r="E20" s="403" t="s">
        <v>180</v>
      </c>
      <c r="F20" s="403"/>
      <c r="G20" s="396" t="s">
        <v>181</v>
      </c>
      <c r="H20" s="396" t="s">
        <v>182</v>
      </c>
      <c r="I20" s="400" t="s">
        <v>183</v>
      </c>
      <c r="J20" s="400"/>
    </row>
    <row r="21" spans="1:12" ht="62.4" x14ac:dyDescent="0.25">
      <c r="A21" s="112" t="s">
        <v>184</v>
      </c>
      <c r="B21" s="75" t="s">
        <v>185</v>
      </c>
      <c r="C21" s="113" t="s">
        <v>186</v>
      </c>
      <c r="D21" s="403"/>
      <c r="E21" s="75" t="s">
        <v>185</v>
      </c>
      <c r="F21" s="113" t="s">
        <v>186</v>
      </c>
      <c r="G21" s="397"/>
      <c r="H21" s="397"/>
      <c r="I21" s="75" t="s">
        <v>185</v>
      </c>
      <c r="J21" s="113" t="s">
        <v>186</v>
      </c>
    </row>
    <row r="22" spans="1:12" x14ac:dyDescent="0.25">
      <c r="A22" s="112">
        <v>1</v>
      </c>
      <c r="B22" s="75">
        <v>2</v>
      </c>
      <c r="C22" s="75">
        <v>3</v>
      </c>
      <c r="D22" s="75"/>
      <c r="E22" s="75"/>
      <c r="F22" s="75"/>
      <c r="G22" s="75"/>
      <c r="H22" s="75"/>
      <c r="I22" s="75"/>
      <c r="J22" s="75"/>
    </row>
    <row r="23" spans="1:12" ht="31.2" x14ac:dyDescent="0.25">
      <c r="A23" s="112" t="s">
        <v>187</v>
      </c>
      <c r="B23" s="75">
        <f t="shared" ref="B23:C28" si="1">I10</f>
        <v>0</v>
      </c>
      <c r="C23" s="75">
        <f t="shared" si="1"/>
        <v>0</v>
      </c>
      <c r="D23" s="75">
        <f>SUM(D24:D30)</f>
        <v>0</v>
      </c>
      <c r="E23" s="75">
        <f>SUM(E24:E30)</f>
        <v>0</v>
      </c>
      <c r="F23" s="75">
        <f>SUM(F24:F30)</f>
        <v>0</v>
      </c>
      <c r="G23" s="75">
        <f>SUM(G24:G30)</f>
        <v>0</v>
      </c>
      <c r="H23" s="75">
        <f>SUM(H24:H30)</f>
        <v>0</v>
      </c>
      <c r="I23" s="75">
        <f>B23+E23+D23</f>
        <v>0</v>
      </c>
      <c r="J23" s="75">
        <f>C23+F23+G23+H23</f>
        <v>0</v>
      </c>
      <c r="K23" s="101">
        <f>I23+J23-'1'!C8</f>
        <v>0</v>
      </c>
    </row>
    <row r="24" spans="1:12" ht="31.2" x14ac:dyDescent="0.25">
      <c r="A24" s="112" t="s">
        <v>188</v>
      </c>
      <c r="B24" s="75">
        <f t="shared" si="1"/>
        <v>0</v>
      </c>
      <c r="C24" s="75">
        <f t="shared" si="1"/>
        <v>0</v>
      </c>
      <c r="D24" s="75"/>
      <c r="E24" s="75"/>
      <c r="F24" s="75"/>
      <c r="G24" s="75"/>
      <c r="H24" s="75"/>
      <c r="I24" s="75"/>
      <c r="J24" s="75"/>
    </row>
    <row r="25" spans="1:12" x14ac:dyDescent="0.25">
      <c r="A25" s="112" t="s">
        <v>189</v>
      </c>
      <c r="B25" s="75">
        <f t="shared" si="1"/>
        <v>0</v>
      </c>
      <c r="C25" s="75">
        <f t="shared" si="1"/>
        <v>0</v>
      </c>
      <c r="D25" s="75"/>
      <c r="E25" s="75"/>
      <c r="F25" s="75"/>
      <c r="G25" s="75"/>
      <c r="H25" s="75"/>
      <c r="I25" s="75"/>
      <c r="J25" s="75"/>
    </row>
    <row r="26" spans="1:12" x14ac:dyDescent="0.25">
      <c r="A26" s="112" t="s">
        <v>190</v>
      </c>
      <c r="B26" s="75">
        <f t="shared" si="1"/>
        <v>0</v>
      </c>
      <c r="C26" s="75">
        <f t="shared" si="1"/>
        <v>0</v>
      </c>
      <c r="D26" s="75"/>
      <c r="E26" s="75"/>
      <c r="F26" s="75"/>
      <c r="G26" s="75"/>
      <c r="H26" s="75"/>
      <c r="I26" s="75"/>
      <c r="J26" s="75"/>
    </row>
    <row r="27" spans="1:12" x14ac:dyDescent="0.25">
      <c r="A27" s="112" t="s">
        <v>191</v>
      </c>
      <c r="B27" s="75">
        <f t="shared" si="1"/>
        <v>0</v>
      </c>
      <c r="C27" s="75">
        <f t="shared" si="1"/>
        <v>0</v>
      </c>
      <c r="D27" s="75"/>
      <c r="E27" s="75"/>
      <c r="F27" s="75"/>
      <c r="G27" s="75"/>
      <c r="H27" s="75"/>
      <c r="I27" s="75"/>
      <c r="J27" s="75"/>
    </row>
    <row r="28" spans="1:12" ht="78" x14ac:dyDescent="0.25">
      <c r="A28" s="115" t="s">
        <v>192</v>
      </c>
      <c r="B28" s="75">
        <f t="shared" si="1"/>
        <v>0</v>
      </c>
      <c r="C28" s="75"/>
      <c r="D28" s="75"/>
      <c r="E28" s="75"/>
      <c r="F28" s="75"/>
      <c r="G28" s="75"/>
      <c r="H28" s="75"/>
      <c r="I28" s="75"/>
      <c r="J28" s="75"/>
    </row>
    <row r="29" spans="1:12" x14ac:dyDescent="0.25">
      <c r="A29" s="112"/>
      <c r="B29" s="75"/>
      <c r="C29" s="75"/>
      <c r="D29" s="75"/>
      <c r="E29" s="75"/>
      <c r="F29" s="75"/>
      <c r="G29" s="75"/>
      <c r="H29" s="75"/>
      <c r="I29" s="75"/>
      <c r="J29" s="75"/>
    </row>
    <row r="30" spans="1:12" ht="16.2" x14ac:dyDescent="0.25">
      <c r="A30" s="112"/>
      <c r="B30" s="75"/>
      <c r="C30" s="75"/>
      <c r="D30" s="75"/>
      <c r="E30" s="75"/>
      <c r="F30" s="75"/>
      <c r="G30" s="75"/>
      <c r="H30" s="75"/>
      <c r="I30" s="75"/>
      <c r="J30" s="75"/>
      <c r="L30" s="117"/>
    </row>
    <row r="31" spans="1:12" ht="16.2" x14ac:dyDescent="0.25">
      <c r="A31" s="115"/>
      <c r="B31" s="118"/>
      <c r="C31" s="119"/>
      <c r="D31" s="120"/>
      <c r="E31" s="109"/>
      <c r="F31" s="109"/>
      <c r="G31" s="109"/>
    </row>
    <row r="32" spans="1:12" ht="16.2" x14ac:dyDescent="0.25">
      <c r="A32" s="115"/>
      <c r="B32" s="118"/>
      <c r="C32" s="119"/>
      <c r="D32" s="120"/>
      <c r="E32" s="109"/>
      <c r="F32" s="109"/>
      <c r="G32" s="109"/>
    </row>
    <row r="33" spans="1:13" ht="16.2" x14ac:dyDescent="0.25">
      <c r="A33" s="115"/>
      <c r="B33" s="118"/>
      <c r="C33" s="119"/>
      <c r="D33" s="120"/>
      <c r="E33" s="109"/>
      <c r="F33" s="109"/>
      <c r="G33" s="109"/>
    </row>
    <row r="34" spans="1:13" x14ac:dyDescent="0.25">
      <c r="C34" s="121" t="s">
        <v>194</v>
      </c>
      <c r="D34" s="109"/>
      <c r="E34" s="109"/>
      <c r="F34" s="109"/>
      <c r="G34" s="109"/>
    </row>
    <row r="35" spans="1:13" ht="15.75" customHeight="1" x14ac:dyDescent="0.25">
      <c r="A35" s="110" t="s">
        <v>177</v>
      </c>
      <c r="B35" s="400" t="s">
        <v>178</v>
      </c>
      <c r="C35" s="400"/>
      <c r="D35" s="403" t="s">
        <v>179</v>
      </c>
      <c r="E35" s="403" t="s">
        <v>180</v>
      </c>
      <c r="F35" s="403"/>
      <c r="G35" s="396" t="s">
        <v>181</v>
      </c>
      <c r="H35" s="398" t="s">
        <v>195</v>
      </c>
      <c r="I35" s="399"/>
      <c r="J35" s="400" t="s">
        <v>183</v>
      </c>
      <c r="K35" s="400"/>
    </row>
    <row r="36" spans="1:13" ht="62.4" x14ac:dyDescent="0.25">
      <c r="A36" s="112" t="s">
        <v>184</v>
      </c>
      <c r="B36" s="75" t="s">
        <v>185</v>
      </c>
      <c r="C36" s="113" t="s">
        <v>186</v>
      </c>
      <c r="D36" s="403"/>
      <c r="E36" s="75" t="s">
        <v>185</v>
      </c>
      <c r="F36" s="113" t="s">
        <v>186</v>
      </c>
      <c r="G36" s="397"/>
      <c r="H36" s="75" t="s">
        <v>185</v>
      </c>
      <c r="I36" s="113" t="s">
        <v>186</v>
      </c>
      <c r="J36" s="75" t="s">
        <v>185</v>
      </c>
      <c r="K36" s="113" t="s">
        <v>186</v>
      </c>
    </row>
    <row r="37" spans="1:13" x14ac:dyDescent="0.25">
      <c r="A37" s="112">
        <v>1</v>
      </c>
      <c r="B37" s="75">
        <v>2</v>
      </c>
      <c r="C37" s="75">
        <v>3</v>
      </c>
      <c r="D37" s="75"/>
      <c r="E37" s="75"/>
      <c r="F37" s="75"/>
      <c r="G37" s="75"/>
      <c r="H37" s="75"/>
      <c r="I37" s="75"/>
      <c r="J37" s="75"/>
      <c r="K37" s="75"/>
    </row>
    <row r="38" spans="1:13" x14ac:dyDescent="0.25">
      <c r="A38" s="112" t="s">
        <v>196</v>
      </c>
      <c r="B38" s="75">
        <f>SUM(B40:B51)</f>
        <v>0</v>
      </c>
      <c r="C38" s="75">
        <f>SUM(C40:C51)</f>
        <v>0</v>
      </c>
      <c r="D38" s="75">
        <f t="shared" ref="D38:I38" si="2">SUM(D40:D51)</f>
        <v>0</v>
      </c>
      <c r="E38" s="75">
        <f t="shared" si="2"/>
        <v>0</v>
      </c>
      <c r="F38" s="75">
        <f t="shared" si="2"/>
        <v>0</v>
      </c>
      <c r="G38" s="75">
        <f t="shared" si="2"/>
        <v>0</v>
      </c>
      <c r="H38" s="75">
        <f t="shared" si="2"/>
        <v>0</v>
      </c>
      <c r="I38" s="75">
        <f t="shared" si="2"/>
        <v>0</v>
      </c>
      <c r="J38" s="75">
        <f>SUM(J39:J51)</f>
        <v>0</v>
      </c>
      <c r="K38" s="75">
        <f>SUM(K39:K51)</f>
        <v>0</v>
      </c>
      <c r="L38" s="101">
        <f>B38+C38-'1'!E10</f>
        <v>-3893835</v>
      </c>
      <c r="M38" s="101">
        <f>J38+K38-'1'!D10</f>
        <v>-3835076</v>
      </c>
    </row>
    <row r="39" spans="1:13" x14ac:dyDescent="0.25">
      <c r="A39" s="112" t="s">
        <v>153</v>
      </c>
      <c r="B39" s="75">
        <v>0</v>
      </c>
      <c r="C39" s="75">
        <v>0</v>
      </c>
      <c r="D39" s="75"/>
      <c r="E39" s="75"/>
      <c r="F39" s="75"/>
      <c r="G39" s="75"/>
      <c r="H39" s="75"/>
      <c r="I39" s="75"/>
      <c r="J39" s="75">
        <f t="shared" ref="J39:J49" si="3">B39+D39+E39</f>
        <v>0</v>
      </c>
      <c r="K39" s="75">
        <f t="shared" ref="K39:K49" si="4">C39+F39+G39</f>
        <v>0</v>
      </c>
    </row>
    <row r="40" spans="1:13" x14ac:dyDescent="0.25">
      <c r="A40" s="112" t="s">
        <v>197</v>
      </c>
      <c r="B40" s="75"/>
      <c r="C40" s="75"/>
      <c r="D40" s="75"/>
      <c r="E40" s="75"/>
      <c r="F40" s="75"/>
      <c r="G40" s="75"/>
      <c r="H40" s="75"/>
      <c r="I40" s="75"/>
      <c r="J40" s="75">
        <f t="shared" si="3"/>
        <v>0</v>
      </c>
      <c r="K40" s="75">
        <f t="shared" si="4"/>
        <v>0</v>
      </c>
    </row>
    <row r="41" spans="1:13" ht="31.2" x14ac:dyDescent="0.25">
      <c r="A41" s="112" t="s">
        <v>198</v>
      </c>
      <c r="B41" s="75"/>
      <c r="C41" s="75"/>
      <c r="D41" s="75"/>
      <c r="E41" s="75"/>
      <c r="F41" s="75"/>
      <c r="G41" s="75"/>
      <c r="H41" s="75"/>
      <c r="I41" s="75"/>
      <c r="J41" s="75">
        <f t="shared" si="3"/>
        <v>0</v>
      </c>
      <c r="K41" s="75">
        <f t="shared" si="4"/>
        <v>0</v>
      </c>
    </row>
    <row r="42" spans="1:13" x14ac:dyDescent="0.25">
      <c r="A42" s="112" t="s">
        <v>199</v>
      </c>
      <c r="B42" s="75"/>
      <c r="C42" s="75"/>
      <c r="D42" s="75"/>
      <c r="E42" s="75"/>
      <c r="F42" s="75"/>
      <c r="G42" s="75"/>
      <c r="H42" s="75"/>
      <c r="I42" s="75"/>
      <c r="J42" s="75">
        <f t="shared" si="3"/>
        <v>0</v>
      </c>
      <c r="K42" s="75">
        <f t="shared" si="4"/>
        <v>0</v>
      </c>
    </row>
    <row r="43" spans="1:13" x14ac:dyDescent="0.25">
      <c r="A43" s="112" t="s">
        <v>200</v>
      </c>
      <c r="B43" s="75"/>
      <c r="C43" s="75"/>
      <c r="D43" s="75"/>
      <c r="E43" s="75"/>
      <c r="F43" s="75"/>
      <c r="G43" s="75"/>
      <c r="H43" s="75"/>
      <c r="I43" s="75"/>
      <c r="J43" s="75">
        <f t="shared" si="3"/>
        <v>0</v>
      </c>
      <c r="K43" s="75">
        <f t="shared" si="4"/>
        <v>0</v>
      </c>
    </row>
    <row r="44" spans="1:13" ht="31.2" x14ac:dyDescent="0.25">
      <c r="A44" s="112" t="s">
        <v>201</v>
      </c>
      <c r="B44" s="75">
        <v>0</v>
      </c>
      <c r="C44" s="75">
        <v>0</v>
      </c>
      <c r="D44" s="75"/>
      <c r="E44" s="75"/>
      <c r="F44" s="75"/>
      <c r="G44" s="75"/>
      <c r="H44" s="75"/>
      <c r="I44" s="75"/>
      <c r="J44" s="75">
        <f t="shared" si="3"/>
        <v>0</v>
      </c>
      <c r="K44" s="75">
        <f t="shared" si="4"/>
        <v>0</v>
      </c>
    </row>
    <row r="45" spans="1:13" x14ac:dyDescent="0.25">
      <c r="A45" s="112" t="s">
        <v>202</v>
      </c>
      <c r="B45" s="75">
        <v>0</v>
      </c>
      <c r="C45" s="75">
        <v>0</v>
      </c>
      <c r="D45" s="75"/>
      <c r="E45" s="75"/>
      <c r="F45" s="75"/>
      <c r="G45" s="75"/>
      <c r="H45" s="75"/>
      <c r="I45" s="75"/>
      <c r="J45" s="75">
        <f t="shared" si="3"/>
        <v>0</v>
      </c>
      <c r="K45" s="75">
        <f t="shared" si="4"/>
        <v>0</v>
      </c>
    </row>
    <row r="46" spans="1:13" x14ac:dyDescent="0.25">
      <c r="A46" s="112" t="s">
        <v>203</v>
      </c>
      <c r="B46" s="75">
        <v>0</v>
      </c>
      <c r="C46" s="75">
        <v>0</v>
      </c>
      <c r="D46" s="75"/>
      <c r="E46" s="75"/>
      <c r="F46" s="75"/>
      <c r="G46" s="75"/>
      <c r="H46" s="75"/>
      <c r="I46" s="75"/>
      <c r="J46" s="75">
        <f t="shared" si="3"/>
        <v>0</v>
      </c>
      <c r="K46" s="75">
        <f t="shared" si="4"/>
        <v>0</v>
      </c>
    </row>
    <row r="47" spans="1:13" x14ac:dyDescent="0.25">
      <c r="A47" s="112" t="s">
        <v>204</v>
      </c>
      <c r="B47" s="75">
        <v>0</v>
      </c>
      <c r="C47" s="75">
        <v>0</v>
      </c>
      <c r="D47" s="75"/>
      <c r="E47" s="75"/>
      <c r="F47" s="75"/>
      <c r="G47" s="75"/>
      <c r="H47" s="75"/>
      <c r="I47" s="75"/>
      <c r="J47" s="75">
        <f t="shared" si="3"/>
        <v>0</v>
      </c>
      <c r="K47" s="75">
        <f t="shared" si="4"/>
        <v>0</v>
      </c>
    </row>
    <row r="48" spans="1:13" ht="31.2" x14ac:dyDescent="0.25">
      <c r="A48" s="112" t="s">
        <v>205</v>
      </c>
      <c r="B48" s="75"/>
      <c r="C48" s="75"/>
      <c r="D48" s="75"/>
      <c r="E48" s="75"/>
      <c r="F48" s="75"/>
      <c r="G48" s="75"/>
      <c r="H48" s="75"/>
      <c r="I48" s="75"/>
      <c r="J48" s="75">
        <f t="shared" si="3"/>
        <v>0</v>
      </c>
      <c r="K48" s="75">
        <f t="shared" si="4"/>
        <v>0</v>
      </c>
    </row>
    <row r="49" spans="1:13" ht="31.2" x14ac:dyDescent="0.25">
      <c r="A49" s="112" t="s">
        <v>206</v>
      </c>
      <c r="B49" s="75"/>
      <c r="C49" s="75"/>
      <c r="D49" s="75"/>
      <c r="E49" s="75"/>
      <c r="F49" s="75"/>
      <c r="G49" s="75"/>
      <c r="H49" s="75"/>
      <c r="I49" s="75"/>
      <c r="J49" s="75">
        <f t="shared" si="3"/>
        <v>0</v>
      </c>
      <c r="K49" s="75">
        <f t="shared" si="4"/>
        <v>0</v>
      </c>
    </row>
    <row r="50" spans="1:13" ht="31.2" x14ac:dyDescent="0.25">
      <c r="A50" s="112" t="s">
        <v>207</v>
      </c>
      <c r="B50" s="75"/>
      <c r="C50" s="75"/>
      <c r="D50" s="75"/>
      <c r="E50" s="75"/>
      <c r="F50" s="75"/>
      <c r="G50" s="75"/>
      <c r="H50" s="75"/>
      <c r="I50" s="75"/>
      <c r="J50" s="75"/>
      <c r="K50" s="75"/>
    </row>
    <row r="51" spans="1:13" ht="62.4" x14ac:dyDescent="0.25">
      <c r="A51" s="112" t="s">
        <v>208</v>
      </c>
      <c r="B51" s="75"/>
      <c r="C51" s="75"/>
      <c r="D51" s="75"/>
      <c r="E51" s="75"/>
      <c r="F51" s="75"/>
      <c r="G51" s="75"/>
      <c r="H51" s="75"/>
      <c r="I51" s="75"/>
      <c r="J51" s="75">
        <f>B51+D51+E51+H51</f>
        <v>0</v>
      </c>
      <c r="K51" s="75">
        <f>C51+F51+G51-I51</f>
        <v>0</v>
      </c>
    </row>
    <row r="52" spans="1:13" ht="16.2" x14ac:dyDescent="0.25">
      <c r="A52" s="115"/>
      <c r="B52" s="118"/>
      <c r="C52" s="119"/>
      <c r="D52" s="120"/>
      <c r="E52" s="109"/>
      <c r="F52" s="109"/>
      <c r="G52" s="109"/>
    </row>
    <row r="53" spans="1:13" x14ac:dyDescent="0.25">
      <c r="C53" s="108" t="s">
        <v>209</v>
      </c>
      <c r="D53" s="109"/>
      <c r="E53" s="109"/>
      <c r="F53" s="109"/>
      <c r="G53" s="109"/>
    </row>
    <row r="54" spans="1:13" x14ac:dyDescent="0.25">
      <c r="A54" s="110" t="s">
        <v>177</v>
      </c>
      <c r="B54" s="400" t="s">
        <v>178</v>
      </c>
      <c r="C54" s="400"/>
      <c r="D54" s="403" t="s">
        <v>179</v>
      </c>
      <c r="E54" s="403" t="s">
        <v>180</v>
      </c>
      <c r="F54" s="403"/>
      <c r="G54" s="396" t="s">
        <v>181</v>
      </c>
      <c r="H54" s="398" t="s">
        <v>195</v>
      </c>
      <c r="I54" s="399"/>
      <c r="J54" s="400" t="s">
        <v>183</v>
      </c>
      <c r="K54" s="400"/>
    </row>
    <row r="55" spans="1:13" ht="55.5" customHeight="1" x14ac:dyDescent="0.25">
      <c r="A55" s="112" t="s">
        <v>184</v>
      </c>
      <c r="B55" s="75" t="s">
        <v>185</v>
      </c>
      <c r="C55" s="113" t="s">
        <v>186</v>
      </c>
      <c r="D55" s="403"/>
      <c r="E55" s="75" t="s">
        <v>185</v>
      </c>
      <c r="F55" s="113" t="s">
        <v>186</v>
      </c>
      <c r="G55" s="397"/>
      <c r="H55" s="75" t="s">
        <v>185</v>
      </c>
      <c r="I55" s="113" t="s">
        <v>186</v>
      </c>
      <c r="J55" s="75" t="s">
        <v>185</v>
      </c>
      <c r="K55" s="113" t="s">
        <v>186</v>
      </c>
    </row>
    <row r="56" spans="1:13" ht="12.75" customHeight="1" x14ac:dyDescent="0.25">
      <c r="A56" s="112">
        <v>1</v>
      </c>
      <c r="B56" s="75">
        <v>2</v>
      </c>
      <c r="C56" s="75">
        <v>3</v>
      </c>
      <c r="D56" s="75"/>
      <c r="E56" s="75"/>
      <c r="F56" s="75"/>
      <c r="G56" s="75"/>
      <c r="H56" s="75"/>
      <c r="I56" s="75"/>
      <c r="J56" s="75"/>
      <c r="K56" s="75"/>
    </row>
    <row r="57" spans="1:13" ht="45" customHeight="1" x14ac:dyDescent="0.25">
      <c r="A57" s="112" t="s">
        <v>196</v>
      </c>
      <c r="B57" s="75">
        <f t="shared" ref="B57:B70" si="5">J38</f>
        <v>0</v>
      </c>
      <c r="C57" s="75">
        <f t="shared" ref="C57:C70" si="6">K38</f>
        <v>0</v>
      </c>
      <c r="D57" s="75">
        <f>SUM(D58:D70)</f>
        <v>0</v>
      </c>
      <c r="E57" s="75">
        <f t="shared" ref="E57:K57" si="7">SUM(E58:E70)</f>
        <v>0</v>
      </c>
      <c r="F57" s="75">
        <f t="shared" si="7"/>
        <v>0</v>
      </c>
      <c r="G57" s="75">
        <f t="shared" si="7"/>
        <v>0</v>
      </c>
      <c r="H57" s="75">
        <f t="shared" si="7"/>
        <v>0</v>
      </c>
      <c r="I57" s="75">
        <f t="shared" si="7"/>
        <v>0</v>
      </c>
      <c r="J57" s="75">
        <f t="shared" si="7"/>
        <v>0</v>
      </c>
      <c r="K57" s="75">
        <f t="shared" si="7"/>
        <v>0</v>
      </c>
      <c r="L57" s="101">
        <f>B57+C57-'1'!D10</f>
        <v>-3835076</v>
      </c>
      <c r="M57" s="101">
        <f>J57+K57-'1'!C10</f>
        <v>-8002783</v>
      </c>
    </row>
    <row r="58" spans="1:13" x14ac:dyDescent="0.25">
      <c r="A58" s="112" t="s">
        <v>153</v>
      </c>
      <c r="B58" s="75">
        <f t="shared" si="5"/>
        <v>0</v>
      </c>
      <c r="C58" s="75">
        <f t="shared" si="6"/>
        <v>0</v>
      </c>
      <c r="D58" s="75"/>
      <c r="E58" s="75"/>
      <c r="F58" s="75"/>
      <c r="G58" s="75"/>
      <c r="H58" s="75"/>
      <c r="I58" s="75"/>
      <c r="J58" s="75">
        <f>B58+D58+E58</f>
        <v>0</v>
      </c>
      <c r="K58" s="75">
        <f t="shared" ref="K58:K68" si="8">C58+F58+G58</f>
        <v>0</v>
      </c>
    </row>
    <row r="59" spans="1:13" x14ac:dyDescent="0.25">
      <c r="A59" s="112" t="s">
        <v>197</v>
      </c>
      <c r="B59" s="75">
        <f t="shared" si="5"/>
        <v>0</v>
      </c>
      <c r="C59" s="75">
        <f t="shared" si="6"/>
        <v>0</v>
      </c>
      <c r="D59" s="75"/>
      <c r="E59" s="75"/>
      <c r="F59" s="75"/>
      <c r="G59" s="75"/>
      <c r="H59" s="75"/>
      <c r="I59" s="75"/>
      <c r="J59" s="75">
        <f t="shared" ref="J59:J68" si="9">B59+D59+E59+H59</f>
        <v>0</v>
      </c>
      <c r="K59" s="75">
        <f t="shared" si="8"/>
        <v>0</v>
      </c>
    </row>
    <row r="60" spans="1:13" ht="31.2" x14ac:dyDescent="0.25">
      <c r="A60" s="112" t="s">
        <v>198</v>
      </c>
      <c r="B60" s="75">
        <f t="shared" si="5"/>
        <v>0</v>
      </c>
      <c r="C60" s="75">
        <f t="shared" si="6"/>
        <v>0</v>
      </c>
      <c r="D60" s="75"/>
      <c r="E60" s="75"/>
      <c r="F60" s="75"/>
      <c r="G60" s="75"/>
      <c r="H60" s="75"/>
      <c r="I60" s="75"/>
      <c r="J60" s="75">
        <f t="shared" si="9"/>
        <v>0</v>
      </c>
      <c r="K60" s="75">
        <f t="shared" si="8"/>
        <v>0</v>
      </c>
    </row>
    <row r="61" spans="1:13" x14ac:dyDescent="0.25">
      <c r="A61" s="112" t="s">
        <v>199</v>
      </c>
      <c r="B61" s="75">
        <f t="shared" si="5"/>
        <v>0</v>
      </c>
      <c r="C61" s="75">
        <f t="shared" si="6"/>
        <v>0</v>
      </c>
      <c r="D61" s="75"/>
      <c r="E61" s="75"/>
      <c r="F61" s="75"/>
      <c r="G61" s="75"/>
      <c r="H61" s="75"/>
      <c r="I61" s="75"/>
      <c r="J61" s="75">
        <f t="shared" si="9"/>
        <v>0</v>
      </c>
      <c r="K61" s="75">
        <f t="shared" si="8"/>
        <v>0</v>
      </c>
    </row>
    <row r="62" spans="1:13" x14ac:dyDescent="0.25">
      <c r="A62" s="112" t="s">
        <v>200</v>
      </c>
      <c r="B62" s="75">
        <f t="shared" si="5"/>
        <v>0</v>
      </c>
      <c r="C62" s="75">
        <f t="shared" si="6"/>
        <v>0</v>
      </c>
      <c r="D62" s="75"/>
      <c r="E62" s="75"/>
      <c r="F62" s="75"/>
      <c r="G62" s="75"/>
      <c r="H62" s="75"/>
      <c r="I62" s="75"/>
      <c r="J62" s="75">
        <f t="shared" si="9"/>
        <v>0</v>
      </c>
      <c r="K62" s="75">
        <f t="shared" si="8"/>
        <v>0</v>
      </c>
    </row>
    <row r="63" spans="1:13" ht="31.2" x14ac:dyDescent="0.25">
      <c r="A63" s="112" t="s">
        <v>201</v>
      </c>
      <c r="B63" s="75">
        <f t="shared" si="5"/>
        <v>0</v>
      </c>
      <c r="C63" s="75">
        <f t="shared" si="6"/>
        <v>0</v>
      </c>
      <c r="D63" s="75"/>
      <c r="E63" s="75"/>
      <c r="F63" s="75"/>
      <c r="G63" s="75"/>
      <c r="H63" s="75"/>
      <c r="I63" s="75"/>
      <c r="J63" s="75">
        <f t="shared" si="9"/>
        <v>0</v>
      </c>
      <c r="K63" s="75">
        <f t="shared" si="8"/>
        <v>0</v>
      </c>
    </row>
    <row r="64" spans="1:13" ht="12.75" customHeight="1" x14ac:dyDescent="0.25">
      <c r="A64" s="112" t="s">
        <v>202</v>
      </c>
      <c r="B64" s="75">
        <f t="shared" si="5"/>
        <v>0</v>
      </c>
      <c r="C64" s="75">
        <f t="shared" si="6"/>
        <v>0</v>
      </c>
      <c r="D64" s="75"/>
      <c r="E64" s="75"/>
      <c r="F64" s="75"/>
      <c r="G64" s="75"/>
      <c r="H64" s="75"/>
      <c r="I64" s="75"/>
      <c r="J64" s="75">
        <f t="shared" si="9"/>
        <v>0</v>
      </c>
      <c r="K64" s="75">
        <f t="shared" si="8"/>
        <v>0</v>
      </c>
    </row>
    <row r="65" spans="1:12" x14ac:dyDescent="0.25">
      <c r="A65" s="112" t="s">
        <v>203</v>
      </c>
      <c r="B65" s="75">
        <f t="shared" si="5"/>
        <v>0</v>
      </c>
      <c r="C65" s="75">
        <f t="shared" si="6"/>
        <v>0</v>
      </c>
      <c r="D65" s="75"/>
      <c r="E65" s="75"/>
      <c r="F65" s="75"/>
      <c r="G65" s="75"/>
      <c r="H65" s="75"/>
      <c r="I65" s="75"/>
      <c r="J65" s="75">
        <f t="shared" si="9"/>
        <v>0</v>
      </c>
      <c r="K65" s="75">
        <f t="shared" si="8"/>
        <v>0</v>
      </c>
    </row>
    <row r="66" spans="1:12" x14ac:dyDescent="0.25">
      <c r="A66" s="112" t="s">
        <v>204</v>
      </c>
      <c r="B66" s="75">
        <f t="shared" si="5"/>
        <v>0</v>
      </c>
      <c r="C66" s="75">
        <f t="shared" si="6"/>
        <v>0</v>
      </c>
      <c r="D66" s="75"/>
      <c r="E66" s="75"/>
      <c r="F66" s="75"/>
      <c r="G66" s="75"/>
      <c r="H66" s="75"/>
      <c r="I66" s="75"/>
      <c r="J66" s="75">
        <f t="shared" si="9"/>
        <v>0</v>
      </c>
      <c r="K66" s="75">
        <f t="shared" si="8"/>
        <v>0</v>
      </c>
    </row>
    <row r="67" spans="1:12" ht="31.2" x14ac:dyDescent="0.25">
      <c r="A67" s="112" t="s">
        <v>205</v>
      </c>
      <c r="B67" s="75">
        <f t="shared" si="5"/>
        <v>0</v>
      </c>
      <c r="C67" s="75">
        <f t="shared" si="6"/>
        <v>0</v>
      </c>
      <c r="D67" s="75"/>
      <c r="E67" s="75"/>
      <c r="F67" s="75"/>
      <c r="G67" s="75"/>
      <c r="H67" s="75"/>
      <c r="I67" s="75"/>
      <c r="J67" s="75">
        <f t="shared" si="9"/>
        <v>0</v>
      </c>
      <c r="K67" s="75">
        <f t="shared" si="8"/>
        <v>0</v>
      </c>
    </row>
    <row r="68" spans="1:12" ht="31.2" x14ac:dyDescent="0.25">
      <c r="A68" s="112" t="s">
        <v>206</v>
      </c>
      <c r="B68" s="75">
        <f t="shared" si="5"/>
        <v>0</v>
      </c>
      <c r="C68" s="75">
        <f t="shared" si="6"/>
        <v>0</v>
      </c>
      <c r="D68" s="75"/>
      <c r="E68" s="75"/>
      <c r="F68" s="75"/>
      <c r="G68" s="75"/>
      <c r="H68" s="75"/>
      <c r="I68" s="75"/>
      <c r="J68" s="75">
        <f t="shared" si="9"/>
        <v>0</v>
      </c>
      <c r="K68" s="75">
        <f t="shared" si="8"/>
        <v>0</v>
      </c>
    </row>
    <row r="69" spans="1:12" ht="31.2" x14ac:dyDescent="0.25">
      <c r="A69" s="112" t="s">
        <v>207</v>
      </c>
      <c r="B69" s="75">
        <f t="shared" si="5"/>
        <v>0</v>
      </c>
      <c r="C69" s="75">
        <f t="shared" si="6"/>
        <v>0</v>
      </c>
      <c r="D69" s="75"/>
      <c r="E69" s="75"/>
      <c r="F69" s="75"/>
      <c r="G69" s="75"/>
      <c r="H69" s="75"/>
      <c r="I69" s="75"/>
      <c r="J69" s="75"/>
      <c r="K69" s="75"/>
    </row>
    <row r="70" spans="1:12" ht="62.4" x14ac:dyDescent="0.25">
      <c r="A70" s="112" t="s">
        <v>208</v>
      </c>
      <c r="B70" s="75">
        <f t="shared" si="5"/>
        <v>0</v>
      </c>
      <c r="C70" s="75">
        <f t="shared" si="6"/>
        <v>0</v>
      </c>
      <c r="D70" s="75"/>
      <c r="E70" s="75"/>
      <c r="F70" s="75"/>
      <c r="G70" s="75"/>
      <c r="H70" s="75"/>
      <c r="I70" s="75"/>
      <c r="J70" s="75"/>
      <c r="K70" s="75">
        <f>C70+F70+G70-I70</f>
        <v>0</v>
      </c>
    </row>
    <row r="71" spans="1:12" ht="16.2" x14ac:dyDescent="0.25">
      <c r="A71" s="115"/>
      <c r="C71" s="116"/>
      <c r="D71" s="109"/>
      <c r="E71" s="109"/>
      <c r="F71" s="109"/>
      <c r="G71" s="109"/>
    </row>
    <row r="72" spans="1:12" x14ac:dyDescent="0.25">
      <c r="A72" s="104" t="s">
        <v>210</v>
      </c>
      <c r="D72" s="109"/>
      <c r="E72" s="109"/>
      <c r="F72" s="109"/>
      <c r="G72" s="109"/>
    </row>
    <row r="73" spans="1:12" ht="31.2" x14ac:dyDescent="0.25">
      <c r="A73" s="112" t="s">
        <v>57</v>
      </c>
      <c r="B73" s="75" t="s">
        <v>15</v>
      </c>
      <c r="C73" s="75" t="s">
        <v>211</v>
      </c>
      <c r="D73" s="75" t="s">
        <v>212</v>
      </c>
      <c r="E73" s="109"/>
      <c r="F73" s="109"/>
      <c r="G73" s="109"/>
    </row>
    <row r="74" spans="1:12" ht="46.8" x14ac:dyDescent="0.25">
      <c r="A74" s="112" t="s">
        <v>213</v>
      </c>
      <c r="B74" s="75"/>
      <c r="C74" s="75"/>
      <c r="D74" s="75"/>
      <c r="E74" s="109"/>
      <c r="G74" s="109"/>
    </row>
    <row r="75" spans="1:12" ht="46.8" x14ac:dyDescent="0.25">
      <c r="A75" s="112" t="s">
        <v>214</v>
      </c>
      <c r="B75" s="75"/>
      <c r="C75" s="75"/>
      <c r="D75" s="75"/>
      <c r="E75" s="109"/>
      <c r="G75" s="109"/>
    </row>
    <row r="76" spans="1:12" ht="31.2" x14ac:dyDescent="0.25">
      <c r="A76" s="112" t="s">
        <v>215</v>
      </c>
      <c r="B76" s="75"/>
      <c r="C76" s="75"/>
      <c r="D76" s="75"/>
      <c r="G76" s="109"/>
    </row>
    <row r="77" spans="1:12" ht="33" customHeight="1" x14ac:dyDescent="0.25">
      <c r="A77" s="112" t="s">
        <v>216</v>
      </c>
      <c r="B77" s="75"/>
      <c r="C77" s="75"/>
      <c r="D77" s="75"/>
      <c r="F77" s="109"/>
    </row>
    <row r="78" spans="1:12" x14ac:dyDescent="0.25">
      <c r="A78" s="115"/>
      <c r="B78" s="118"/>
      <c r="G78" s="109"/>
    </row>
    <row r="79" spans="1:12" x14ac:dyDescent="0.25">
      <c r="C79" s="108" t="s">
        <v>217</v>
      </c>
      <c r="D79" s="109"/>
      <c r="E79" s="109"/>
      <c r="F79" s="109"/>
      <c r="G79" s="109"/>
    </row>
    <row r="80" spans="1:12" ht="40.5" customHeight="1" x14ac:dyDescent="0.25">
      <c r="A80" s="409" t="s">
        <v>177</v>
      </c>
      <c r="B80" s="400" t="s">
        <v>178</v>
      </c>
      <c r="C80" s="400"/>
      <c r="D80" s="403" t="s">
        <v>179</v>
      </c>
      <c r="E80" s="403" t="s">
        <v>218</v>
      </c>
      <c r="F80" s="403" t="s">
        <v>180</v>
      </c>
      <c r="G80" s="403"/>
      <c r="H80" s="403"/>
      <c r="I80" s="406" t="s">
        <v>219</v>
      </c>
      <c r="J80" s="407"/>
      <c r="K80" s="400" t="s">
        <v>183</v>
      </c>
      <c r="L80" s="400"/>
    </row>
    <row r="81" spans="1:14" ht="109.2" x14ac:dyDescent="0.25">
      <c r="A81" s="410"/>
      <c r="B81" s="75" t="s">
        <v>185</v>
      </c>
      <c r="C81" s="113" t="s">
        <v>220</v>
      </c>
      <c r="D81" s="403"/>
      <c r="E81" s="403"/>
      <c r="F81" s="114" t="s">
        <v>185</v>
      </c>
      <c r="G81" s="122" t="s">
        <v>221</v>
      </c>
      <c r="H81" s="123" t="s">
        <v>220</v>
      </c>
      <c r="I81" s="124" t="s">
        <v>222</v>
      </c>
      <c r="J81" s="124" t="s">
        <v>223</v>
      </c>
      <c r="K81" s="75" t="s">
        <v>185</v>
      </c>
      <c r="L81" s="113" t="s">
        <v>220</v>
      </c>
    </row>
    <row r="82" spans="1:14" x14ac:dyDescent="0.25">
      <c r="A82" s="112" t="s">
        <v>224</v>
      </c>
      <c r="B82" s="75"/>
      <c r="C82" s="75"/>
      <c r="D82" s="75">
        <f t="shared" ref="D82:J82" si="10">D85+D86+D87+D88+D89+D90</f>
        <v>0</v>
      </c>
      <c r="E82" s="75">
        <f t="shared" si="10"/>
        <v>0</v>
      </c>
      <c r="F82" s="75">
        <f t="shared" si="10"/>
        <v>0</v>
      </c>
      <c r="G82" s="75">
        <f t="shared" si="10"/>
        <v>0</v>
      </c>
      <c r="H82" s="75">
        <f t="shared" si="10"/>
        <v>0</v>
      </c>
      <c r="I82" s="75">
        <f t="shared" si="10"/>
        <v>0</v>
      </c>
      <c r="J82" s="75">
        <f t="shared" si="10"/>
        <v>0</v>
      </c>
      <c r="K82" s="75">
        <f>K85+K86+K87+K88+K89+K90</f>
        <v>0</v>
      </c>
      <c r="L82" s="75">
        <f t="shared" ref="L82:L83" si="11">C82+H82+J82</f>
        <v>0</v>
      </c>
      <c r="M82" s="101">
        <f>B82+C82-'1'!E12</f>
        <v>-14629278</v>
      </c>
      <c r="N82" s="101">
        <f>K82+L82-'1'!D12</f>
        <v>-8392766</v>
      </c>
    </row>
    <row r="83" spans="1:14" x14ac:dyDescent="0.25">
      <c r="A83" s="112" t="s">
        <v>153</v>
      </c>
      <c r="B83" s="75">
        <v>0</v>
      </c>
      <c r="C83" s="75">
        <v>0</v>
      </c>
      <c r="D83" s="75"/>
      <c r="E83" s="75"/>
      <c r="F83" s="75"/>
      <c r="G83" s="75"/>
      <c r="H83" s="75"/>
      <c r="I83" s="75"/>
      <c r="J83" s="75"/>
      <c r="K83" s="75">
        <f>B83+D83+E83+F83+G83+I83</f>
        <v>0</v>
      </c>
      <c r="L83" s="75">
        <f t="shared" si="11"/>
        <v>0</v>
      </c>
    </row>
    <row r="84" spans="1:14" ht="46.8" x14ac:dyDescent="0.25">
      <c r="A84" s="125" t="s">
        <v>225</v>
      </c>
      <c r="B84" s="75"/>
      <c r="C84" s="75"/>
      <c r="D84" s="75">
        <f t="shared" ref="D84:J84" si="12">D85+D86+D87</f>
        <v>0</v>
      </c>
      <c r="E84" s="75">
        <f t="shared" si="12"/>
        <v>0</v>
      </c>
      <c r="F84" s="75">
        <f t="shared" si="12"/>
        <v>0</v>
      </c>
      <c r="G84" s="75">
        <f t="shared" si="12"/>
        <v>0</v>
      </c>
      <c r="H84" s="75">
        <f t="shared" si="12"/>
        <v>0</v>
      </c>
      <c r="I84" s="75">
        <f t="shared" si="12"/>
        <v>0</v>
      </c>
      <c r="J84" s="75">
        <f t="shared" si="12"/>
        <v>0</v>
      </c>
      <c r="K84" s="75">
        <f>K85+K86+K87</f>
        <v>0</v>
      </c>
      <c r="L84" s="75">
        <f>L85+L86+L87</f>
        <v>0</v>
      </c>
    </row>
    <row r="85" spans="1:14" ht="31.2" x14ac:dyDescent="0.25">
      <c r="A85" s="125" t="s">
        <v>226</v>
      </c>
      <c r="B85" s="75"/>
      <c r="C85" s="75"/>
      <c r="D85" s="75"/>
      <c r="E85" s="75"/>
      <c r="F85" s="75"/>
      <c r="G85" s="75"/>
      <c r="H85" s="75"/>
      <c r="I85" s="75"/>
      <c r="J85" s="75"/>
      <c r="K85" s="75">
        <f t="shared" ref="K85:K96" si="13">B85+D85+E85+F85+G85+I85</f>
        <v>0</v>
      </c>
      <c r="L85" s="75">
        <f t="shared" ref="L85:L96" si="14">C85+H85+J85</f>
        <v>0</v>
      </c>
    </row>
    <row r="86" spans="1:14" ht="31.2" x14ac:dyDescent="0.25">
      <c r="A86" s="125" t="s">
        <v>227</v>
      </c>
      <c r="B86" s="75"/>
      <c r="C86" s="75"/>
      <c r="D86" s="75"/>
      <c r="E86" s="75"/>
      <c r="F86" s="75"/>
      <c r="G86" s="75"/>
      <c r="H86" s="75"/>
      <c r="I86" s="75"/>
      <c r="J86" s="75"/>
      <c r="K86" s="75">
        <f t="shared" si="13"/>
        <v>0</v>
      </c>
      <c r="L86" s="75">
        <f t="shared" si="14"/>
        <v>0</v>
      </c>
    </row>
    <row r="87" spans="1:14" x14ac:dyDescent="0.25">
      <c r="A87" s="125" t="s">
        <v>228</v>
      </c>
      <c r="B87" s="75"/>
      <c r="C87" s="75"/>
      <c r="D87" s="75"/>
      <c r="E87" s="75"/>
      <c r="F87" s="75"/>
      <c r="G87" s="75"/>
      <c r="H87" s="75"/>
      <c r="I87" s="75"/>
      <c r="J87" s="75"/>
      <c r="K87" s="75">
        <f t="shared" si="13"/>
        <v>0</v>
      </c>
      <c r="L87" s="75">
        <f t="shared" si="14"/>
        <v>0</v>
      </c>
    </row>
    <row r="88" spans="1:14" x14ac:dyDescent="0.25">
      <c r="A88" s="112" t="s">
        <v>229</v>
      </c>
      <c r="B88" s="75"/>
      <c r="C88" s="75"/>
      <c r="D88" s="75"/>
      <c r="E88" s="75"/>
      <c r="F88" s="75"/>
      <c r="G88" s="75"/>
      <c r="H88" s="75"/>
      <c r="I88" s="75"/>
      <c r="J88" s="75"/>
      <c r="K88" s="75">
        <f t="shared" si="13"/>
        <v>0</v>
      </c>
      <c r="L88" s="75">
        <f t="shared" si="14"/>
        <v>0</v>
      </c>
    </row>
    <row r="89" spans="1:14" x14ac:dyDescent="0.25">
      <c r="A89" s="112" t="s">
        <v>230</v>
      </c>
      <c r="B89" s="75"/>
      <c r="C89" s="75"/>
      <c r="D89" s="75"/>
      <c r="E89" s="75"/>
      <c r="F89" s="75"/>
      <c r="G89" s="75"/>
      <c r="H89" s="75"/>
      <c r="I89" s="75"/>
      <c r="J89" s="75"/>
      <c r="K89" s="75">
        <f t="shared" si="13"/>
        <v>0</v>
      </c>
      <c r="L89" s="75">
        <f t="shared" si="14"/>
        <v>0</v>
      </c>
    </row>
    <row r="90" spans="1:14" x14ac:dyDescent="0.25">
      <c r="A90" s="112" t="s">
        <v>231</v>
      </c>
      <c r="B90" s="75"/>
      <c r="C90" s="75"/>
      <c r="D90" s="75"/>
      <c r="E90" s="75"/>
      <c r="F90" s="75"/>
      <c r="G90" s="75"/>
      <c r="H90" s="75"/>
      <c r="I90" s="75"/>
      <c r="J90" s="75"/>
      <c r="K90" s="75">
        <f t="shared" si="13"/>
        <v>0</v>
      </c>
      <c r="L90" s="75">
        <f t="shared" si="14"/>
        <v>0</v>
      </c>
    </row>
    <row r="91" spans="1:14" ht="39" customHeight="1" x14ac:dyDescent="0.25">
      <c r="A91" s="112" t="s">
        <v>232</v>
      </c>
      <c r="B91" s="75"/>
      <c r="C91" s="75">
        <v>0</v>
      </c>
      <c r="D91" s="75">
        <f t="shared" ref="D91:J91" si="15">D93+D94+D95+D96</f>
        <v>0</v>
      </c>
      <c r="E91" s="75">
        <f t="shared" si="15"/>
        <v>0</v>
      </c>
      <c r="F91" s="75">
        <f t="shared" si="15"/>
        <v>0</v>
      </c>
      <c r="G91" s="75">
        <f t="shared" si="15"/>
        <v>0</v>
      </c>
      <c r="H91" s="75">
        <f t="shared" si="15"/>
        <v>0</v>
      </c>
      <c r="I91" s="75">
        <f t="shared" si="15"/>
        <v>0</v>
      </c>
      <c r="J91" s="75">
        <f t="shared" si="15"/>
        <v>0</v>
      </c>
      <c r="K91" s="75">
        <f t="shared" si="13"/>
        <v>0</v>
      </c>
      <c r="L91" s="75">
        <f t="shared" si="14"/>
        <v>0</v>
      </c>
      <c r="M91" s="101">
        <f>B91-'1'!E22</f>
        <v>-22234137</v>
      </c>
    </row>
    <row r="92" spans="1:14" ht="15.75" customHeight="1" x14ac:dyDescent="0.25">
      <c r="A92" s="112" t="s">
        <v>153</v>
      </c>
      <c r="B92" s="75"/>
      <c r="C92" s="75">
        <v>0</v>
      </c>
      <c r="D92" s="75"/>
      <c r="E92" s="75"/>
      <c r="F92" s="75"/>
      <c r="G92" s="75"/>
      <c r="H92" s="75"/>
      <c r="I92" s="75"/>
      <c r="J92" s="75"/>
      <c r="K92" s="75">
        <f t="shared" si="13"/>
        <v>0</v>
      </c>
      <c r="L92" s="75">
        <f t="shared" si="14"/>
        <v>0</v>
      </c>
      <c r="M92" s="101">
        <f>K91+L91-'1'!D22</f>
        <v>-27313352</v>
      </c>
    </row>
    <row r="93" spans="1:14" ht="15.75" customHeight="1" x14ac:dyDescent="0.25">
      <c r="A93" s="112" t="s">
        <v>233</v>
      </c>
      <c r="B93" s="75"/>
      <c r="C93" s="75">
        <v>0</v>
      </c>
      <c r="D93" s="75"/>
      <c r="E93" s="75"/>
      <c r="F93" s="75"/>
      <c r="G93" s="75"/>
      <c r="H93" s="75"/>
      <c r="I93" s="75"/>
      <c r="J93" s="75"/>
      <c r="K93" s="75">
        <f t="shared" si="13"/>
        <v>0</v>
      </c>
      <c r="L93" s="75">
        <f t="shared" si="14"/>
        <v>0</v>
      </c>
    </row>
    <row r="94" spans="1:14" ht="51" customHeight="1" x14ac:dyDescent="0.25">
      <c r="A94" s="112" t="s">
        <v>229</v>
      </c>
      <c r="B94" s="75"/>
      <c r="C94" s="75">
        <v>0</v>
      </c>
      <c r="D94" s="75"/>
      <c r="E94" s="75"/>
      <c r="F94" s="75"/>
      <c r="G94" s="75"/>
      <c r="H94" s="75"/>
      <c r="I94" s="75"/>
      <c r="J94" s="75"/>
      <c r="K94" s="75">
        <f t="shared" si="13"/>
        <v>0</v>
      </c>
      <c r="L94" s="75">
        <f t="shared" si="14"/>
        <v>0</v>
      </c>
    </row>
    <row r="95" spans="1:14" ht="18.75" customHeight="1" x14ac:dyDescent="0.25">
      <c r="A95" s="112" t="s">
        <v>230</v>
      </c>
      <c r="B95" s="75"/>
      <c r="C95" s="75">
        <v>0</v>
      </c>
      <c r="D95" s="75"/>
      <c r="E95" s="75"/>
      <c r="F95" s="75"/>
      <c r="G95" s="75"/>
      <c r="H95" s="75"/>
      <c r="I95" s="75"/>
      <c r="J95" s="75"/>
      <c r="K95" s="75">
        <f t="shared" si="13"/>
        <v>0</v>
      </c>
      <c r="L95" s="75">
        <f t="shared" si="14"/>
        <v>0</v>
      </c>
    </row>
    <row r="96" spans="1:14" ht="18.75" customHeight="1" x14ac:dyDescent="0.25">
      <c r="A96" s="112" t="s">
        <v>231</v>
      </c>
      <c r="B96" s="75">
        <v>0</v>
      </c>
      <c r="C96" s="75">
        <v>0</v>
      </c>
      <c r="D96" s="75"/>
      <c r="E96" s="75"/>
      <c r="F96" s="75"/>
      <c r="G96" s="75"/>
      <c r="H96" s="75"/>
      <c r="I96" s="75"/>
      <c r="J96" s="75"/>
      <c r="K96" s="75">
        <f t="shared" si="13"/>
        <v>0</v>
      </c>
      <c r="L96" s="75">
        <f t="shared" si="14"/>
        <v>0</v>
      </c>
    </row>
    <row r="97" spans="1:14" ht="38.25" customHeight="1" x14ac:dyDescent="0.25">
      <c r="A97" s="112" t="s">
        <v>234</v>
      </c>
      <c r="B97" s="75"/>
      <c r="C97" s="75"/>
      <c r="D97" s="75">
        <f>D82+D91</f>
        <v>0</v>
      </c>
      <c r="E97" s="75">
        <f t="shared" ref="E97:J97" si="16">E91+E82</f>
        <v>0</v>
      </c>
      <c r="F97" s="75">
        <f t="shared" si="16"/>
        <v>0</v>
      </c>
      <c r="G97" s="75">
        <f t="shared" si="16"/>
        <v>0</v>
      </c>
      <c r="H97" s="75">
        <f t="shared" si="16"/>
        <v>0</v>
      </c>
      <c r="I97" s="75">
        <f t="shared" si="16"/>
        <v>0</v>
      </c>
      <c r="J97" s="75">
        <f t="shared" si="16"/>
        <v>0</v>
      </c>
      <c r="K97" s="75">
        <f>K91+K82</f>
        <v>0</v>
      </c>
      <c r="L97" s="75">
        <f>L91+L82</f>
        <v>0</v>
      </c>
    </row>
    <row r="98" spans="1:14" x14ac:dyDescent="0.25">
      <c r="C98" s="109"/>
      <c r="D98" s="109"/>
      <c r="E98" s="109"/>
      <c r="F98" s="109"/>
      <c r="G98" s="120"/>
    </row>
    <row r="99" spans="1:14" x14ac:dyDescent="0.25">
      <c r="C99" s="108" t="s">
        <v>235</v>
      </c>
      <c r="D99" s="109"/>
      <c r="E99" s="109"/>
      <c r="F99" s="109"/>
      <c r="G99" s="109"/>
    </row>
    <row r="100" spans="1:14" ht="40.5" customHeight="1" x14ac:dyDescent="0.25">
      <c r="A100" s="409" t="s">
        <v>177</v>
      </c>
      <c r="B100" s="400" t="s">
        <v>178</v>
      </c>
      <c r="C100" s="400"/>
      <c r="D100" s="403" t="s">
        <v>179</v>
      </c>
      <c r="E100" s="403" t="s">
        <v>218</v>
      </c>
      <c r="F100" s="403" t="s">
        <v>180</v>
      </c>
      <c r="G100" s="403"/>
      <c r="H100" s="403"/>
      <c r="I100" s="406" t="s">
        <v>219</v>
      </c>
      <c r="J100" s="407"/>
      <c r="K100" s="400" t="s">
        <v>183</v>
      </c>
      <c r="L100" s="400"/>
    </row>
    <row r="101" spans="1:14" ht="109.2" x14ac:dyDescent="0.25">
      <c r="A101" s="410"/>
      <c r="B101" s="75" t="s">
        <v>185</v>
      </c>
      <c r="C101" s="113" t="s">
        <v>220</v>
      </c>
      <c r="D101" s="403"/>
      <c r="E101" s="403"/>
      <c r="F101" s="114" t="s">
        <v>185</v>
      </c>
      <c r="G101" s="122" t="s">
        <v>221</v>
      </c>
      <c r="H101" s="123" t="s">
        <v>220</v>
      </c>
      <c r="I101" s="124" t="s">
        <v>222</v>
      </c>
      <c r="J101" s="124" t="s">
        <v>223</v>
      </c>
      <c r="K101" s="75" t="s">
        <v>185</v>
      </c>
      <c r="L101" s="113" t="s">
        <v>220</v>
      </c>
    </row>
    <row r="102" spans="1:14" x14ac:dyDescent="0.25">
      <c r="A102" s="112" t="s">
        <v>224</v>
      </c>
      <c r="B102" s="75">
        <f t="shared" ref="B102:B117" si="17">K82</f>
        <v>0</v>
      </c>
      <c r="C102" s="75">
        <f t="shared" ref="C102:C117" si="18">L82</f>
        <v>0</v>
      </c>
      <c r="D102" s="75">
        <f>D105+D106+D107+D108+D109+D110</f>
        <v>0</v>
      </c>
      <c r="E102" s="75">
        <f t="shared" ref="E102:K102" si="19">E105+E106+E107+E108+E109+E110</f>
        <v>0</v>
      </c>
      <c r="F102" s="75">
        <f t="shared" si="19"/>
        <v>0</v>
      </c>
      <c r="G102" s="75">
        <f t="shared" si="19"/>
        <v>0</v>
      </c>
      <c r="H102" s="75">
        <f t="shared" si="19"/>
        <v>0</v>
      </c>
      <c r="I102" s="75">
        <f t="shared" si="19"/>
        <v>0</v>
      </c>
      <c r="J102" s="75">
        <f t="shared" si="19"/>
        <v>0</v>
      </c>
      <c r="K102" s="75">
        <f t="shared" si="19"/>
        <v>0</v>
      </c>
      <c r="L102" s="75">
        <f t="shared" ref="L102:L103" si="20">C102+H102+J102</f>
        <v>0</v>
      </c>
      <c r="M102" s="101">
        <f>K102+L102-'1'!C12</f>
        <v>-10139182</v>
      </c>
      <c r="N102" s="101">
        <f>K102+L102-'1'!C12</f>
        <v>-10139182</v>
      </c>
    </row>
    <row r="103" spans="1:14" x14ac:dyDescent="0.25">
      <c r="A103" s="112" t="s">
        <v>153</v>
      </c>
      <c r="B103" s="75">
        <f t="shared" si="17"/>
        <v>0</v>
      </c>
      <c r="C103" s="75">
        <f t="shared" si="18"/>
        <v>0</v>
      </c>
      <c r="D103" s="75"/>
      <c r="E103" s="75"/>
      <c r="F103" s="75"/>
      <c r="G103" s="75"/>
      <c r="H103" s="75"/>
      <c r="I103" s="75"/>
      <c r="J103" s="75"/>
      <c r="K103" s="75">
        <f>B103+D103+E103+F103+G103+I103</f>
        <v>0</v>
      </c>
      <c r="L103" s="75">
        <f t="shared" si="20"/>
        <v>0</v>
      </c>
    </row>
    <row r="104" spans="1:14" ht="46.8" x14ac:dyDescent="0.25">
      <c r="A104" s="125" t="s">
        <v>225</v>
      </c>
      <c r="B104" s="75">
        <f t="shared" ref="B104:L104" si="21">B105+B106+B107</f>
        <v>0</v>
      </c>
      <c r="C104" s="75">
        <f t="shared" si="21"/>
        <v>0</v>
      </c>
      <c r="D104" s="75">
        <f>D105+D106+D107</f>
        <v>0</v>
      </c>
      <c r="E104" s="75">
        <f t="shared" si="21"/>
        <v>0</v>
      </c>
      <c r="F104" s="75">
        <f t="shared" si="21"/>
        <v>0</v>
      </c>
      <c r="G104" s="75">
        <f t="shared" si="21"/>
        <v>0</v>
      </c>
      <c r="H104" s="75">
        <f t="shared" si="21"/>
        <v>0</v>
      </c>
      <c r="I104" s="75">
        <f t="shared" si="21"/>
        <v>0</v>
      </c>
      <c r="J104" s="75">
        <f t="shared" si="21"/>
        <v>0</v>
      </c>
      <c r="K104" s="75">
        <f t="shared" si="21"/>
        <v>0</v>
      </c>
      <c r="L104" s="75">
        <f t="shared" si="21"/>
        <v>0</v>
      </c>
    </row>
    <row r="105" spans="1:14" ht="31.2" x14ac:dyDescent="0.25">
      <c r="A105" s="125" t="s">
        <v>226</v>
      </c>
      <c r="B105" s="75">
        <f t="shared" si="17"/>
        <v>0</v>
      </c>
      <c r="C105" s="75">
        <f t="shared" si="18"/>
        <v>0</v>
      </c>
      <c r="D105" s="75"/>
      <c r="E105" s="75"/>
      <c r="F105" s="75"/>
      <c r="G105" s="75"/>
      <c r="H105" s="75"/>
      <c r="I105" s="75"/>
      <c r="J105" s="75"/>
      <c r="K105" s="75">
        <f t="shared" ref="K105:K116" si="22">B105+D105+E105+F105+G105+I105</f>
        <v>0</v>
      </c>
      <c r="L105" s="75">
        <f t="shared" ref="L105:L116" si="23">C105+H105+J105</f>
        <v>0</v>
      </c>
    </row>
    <row r="106" spans="1:14" ht="31.2" x14ac:dyDescent="0.25">
      <c r="A106" s="125" t="s">
        <v>227</v>
      </c>
      <c r="B106" s="75">
        <f t="shared" si="17"/>
        <v>0</v>
      </c>
      <c r="C106" s="75">
        <f t="shared" si="18"/>
        <v>0</v>
      </c>
      <c r="D106" s="75"/>
      <c r="E106" s="75"/>
      <c r="F106" s="75"/>
      <c r="G106" s="75"/>
      <c r="H106" s="75"/>
      <c r="I106" s="75"/>
      <c r="J106" s="75"/>
      <c r="K106" s="75">
        <f t="shared" si="22"/>
        <v>0</v>
      </c>
      <c r="L106" s="75">
        <f t="shared" si="23"/>
        <v>0</v>
      </c>
    </row>
    <row r="107" spans="1:14" x14ac:dyDescent="0.25">
      <c r="A107" s="125" t="s">
        <v>228</v>
      </c>
      <c r="B107" s="75">
        <f t="shared" si="17"/>
        <v>0</v>
      </c>
      <c r="C107" s="75">
        <f t="shared" si="18"/>
        <v>0</v>
      </c>
      <c r="D107" s="75"/>
      <c r="E107" s="75"/>
      <c r="F107" s="75"/>
      <c r="G107" s="75"/>
      <c r="H107" s="75"/>
      <c r="I107" s="75"/>
      <c r="J107" s="75"/>
      <c r="K107" s="75">
        <f t="shared" si="22"/>
        <v>0</v>
      </c>
      <c r="L107" s="75">
        <f t="shared" si="23"/>
        <v>0</v>
      </c>
    </row>
    <row r="108" spans="1:14" x14ac:dyDescent="0.25">
      <c r="A108" s="112" t="s">
        <v>229</v>
      </c>
      <c r="B108" s="75">
        <f t="shared" si="17"/>
        <v>0</v>
      </c>
      <c r="C108" s="75">
        <f t="shared" si="18"/>
        <v>0</v>
      </c>
      <c r="D108" s="75"/>
      <c r="E108" s="75"/>
      <c r="F108" s="75"/>
      <c r="G108" s="75"/>
      <c r="H108" s="75"/>
      <c r="I108" s="75"/>
      <c r="J108" s="75"/>
      <c r="K108" s="75"/>
      <c r="L108" s="75">
        <f t="shared" si="23"/>
        <v>0</v>
      </c>
    </row>
    <row r="109" spans="1:14" x14ac:dyDescent="0.25">
      <c r="A109" s="112" t="s">
        <v>230</v>
      </c>
      <c r="B109" s="75">
        <f t="shared" si="17"/>
        <v>0</v>
      </c>
      <c r="C109" s="75">
        <f t="shared" si="18"/>
        <v>0</v>
      </c>
      <c r="D109" s="75"/>
      <c r="E109" s="75"/>
      <c r="F109" s="75"/>
      <c r="G109" s="75"/>
      <c r="H109" s="75"/>
      <c r="I109" s="75"/>
      <c r="J109" s="75"/>
      <c r="K109" s="75">
        <f t="shared" si="22"/>
        <v>0</v>
      </c>
      <c r="L109" s="75">
        <f t="shared" si="23"/>
        <v>0</v>
      </c>
    </row>
    <row r="110" spans="1:14" x14ac:dyDescent="0.25">
      <c r="A110" s="112" t="s">
        <v>231</v>
      </c>
      <c r="B110" s="75">
        <f t="shared" si="17"/>
        <v>0</v>
      </c>
      <c r="C110" s="75">
        <f t="shared" si="18"/>
        <v>0</v>
      </c>
      <c r="D110" s="75"/>
      <c r="E110" s="75"/>
      <c r="F110" s="75"/>
      <c r="G110" s="75"/>
      <c r="H110" s="75"/>
      <c r="I110" s="75"/>
      <c r="J110" s="75"/>
      <c r="K110" s="75">
        <f t="shared" si="22"/>
        <v>0</v>
      </c>
      <c r="L110" s="75">
        <f t="shared" si="23"/>
        <v>0</v>
      </c>
    </row>
    <row r="111" spans="1:14" ht="39" customHeight="1" x14ac:dyDescent="0.25">
      <c r="A111" s="112" t="s">
        <v>232</v>
      </c>
      <c r="B111" s="75">
        <f t="shared" si="17"/>
        <v>0</v>
      </c>
      <c r="C111" s="75">
        <f t="shared" si="18"/>
        <v>0</v>
      </c>
      <c r="D111" s="75">
        <f t="shared" ref="D111:J111" si="24">D113+D114+D115+D116</f>
        <v>0</v>
      </c>
      <c r="E111" s="75">
        <f t="shared" si="24"/>
        <v>0</v>
      </c>
      <c r="F111" s="75">
        <f t="shared" si="24"/>
        <v>0</v>
      </c>
      <c r="G111" s="75">
        <f t="shared" si="24"/>
        <v>0</v>
      </c>
      <c r="H111" s="75">
        <f t="shared" si="24"/>
        <v>0</v>
      </c>
      <c r="I111" s="75">
        <f t="shared" si="24"/>
        <v>0</v>
      </c>
      <c r="J111" s="75">
        <f t="shared" si="24"/>
        <v>0</v>
      </c>
      <c r="K111" s="75">
        <f t="shared" si="22"/>
        <v>0</v>
      </c>
      <c r="L111" s="75">
        <f t="shared" si="23"/>
        <v>0</v>
      </c>
      <c r="M111" s="101">
        <f>K111-'1'!C22</f>
        <v>-18308260</v>
      </c>
    </row>
    <row r="112" spans="1:14" ht="15.75" customHeight="1" x14ac:dyDescent="0.25">
      <c r="A112" s="112" t="s">
        <v>153</v>
      </c>
      <c r="B112" s="75">
        <f t="shared" si="17"/>
        <v>0</v>
      </c>
      <c r="C112" s="75">
        <f t="shared" si="18"/>
        <v>0</v>
      </c>
      <c r="D112" s="75"/>
      <c r="E112" s="75"/>
      <c r="F112" s="75"/>
      <c r="G112" s="75"/>
      <c r="H112" s="75"/>
      <c r="I112" s="75"/>
      <c r="J112" s="75"/>
      <c r="K112" s="75">
        <f t="shared" si="22"/>
        <v>0</v>
      </c>
      <c r="L112" s="75">
        <f t="shared" si="23"/>
        <v>0</v>
      </c>
    </row>
    <row r="113" spans="1:13" ht="15.75" customHeight="1" x14ac:dyDescent="0.25">
      <c r="A113" s="112" t="s">
        <v>233</v>
      </c>
      <c r="B113" s="75">
        <f t="shared" si="17"/>
        <v>0</v>
      </c>
      <c r="C113" s="75">
        <f t="shared" si="18"/>
        <v>0</v>
      </c>
      <c r="D113" s="75"/>
      <c r="E113" s="75"/>
      <c r="F113" s="75"/>
      <c r="G113" s="75"/>
      <c r="H113" s="75"/>
      <c r="I113" s="75"/>
      <c r="J113" s="75"/>
      <c r="K113" s="75"/>
      <c r="L113" s="75">
        <f t="shared" si="23"/>
        <v>0</v>
      </c>
    </row>
    <row r="114" spans="1:13" ht="51" customHeight="1" x14ac:dyDescent="0.25">
      <c r="A114" s="112" t="s">
        <v>229</v>
      </c>
      <c r="B114" s="75">
        <f t="shared" si="17"/>
        <v>0</v>
      </c>
      <c r="C114" s="75">
        <f t="shared" si="18"/>
        <v>0</v>
      </c>
      <c r="D114" s="75"/>
      <c r="E114" s="75"/>
      <c r="F114" s="75"/>
      <c r="G114" s="75"/>
      <c r="H114" s="75"/>
      <c r="I114" s="75"/>
      <c r="J114" s="75"/>
      <c r="K114" s="75"/>
      <c r="L114" s="75">
        <f t="shared" si="23"/>
        <v>0</v>
      </c>
    </row>
    <row r="115" spans="1:13" ht="18.75" customHeight="1" x14ac:dyDescent="0.25">
      <c r="A115" s="112" t="s">
        <v>230</v>
      </c>
      <c r="B115" s="75">
        <f t="shared" si="17"/>
        <v>0</v>
      </c>
      <c r="C115" s="75">
        <f t="shared" si="18"/>
        <v>0</v>
      </c>
      <c r="D115" s="75"/>
      <c r="E115" s="75"/>
      <c r="F115" s="75"/>
      <c r="G115" s="75"/>
      <c r="H115" s="75"/>
      <c r="I115" s="75"/>
      <c r="J115" s="75"/>
      <c r="K115" s="75"/>
      <c r="L115" s="75">
        <f t="shared" si="23"/>
        <v>0</v>
      </c>
    </row>
    <row r="116" spans="1:13" ht="18.75" customHeight="1" x14ac:dyDescent="0.25">
      <c r="A116" s="112" t="s">
        <v>231</v>
      </c>
      <c r="B116" s="75">
        <f t="shared" si="17"/>
        <v>0</v>
      </c>
      <c r="C116" s="75">
        <f t="shared" si="18"/>
        <v>0</v>
      </c>
      <c r="D116" s="75"/>
      <c r="E116" s="75"/>
      <c r="F116" s="75"/>
      <c r="G116" s="75"/>
      <c r="H116" s="75"/>
      <c r="I116" s="75"/>
      <c r="J116" s="75"/>
      <c r="K116" s="75">
        <f t="shared" si="22"/>
        <v>0</v>
      </c>
      <c r="L116" s="75">
        <f t="shared" si="23"/>
        <v>0</v>
      </c>
    </row>
    <row r="117" spans="1:13" ht="38.25" customHeight="1" x14ac:dyDescent="0.25">
      <c r="A117" s="112" t="s">
        <v>234</v>
      </c>
      <c r="B117" s="75">
        <f t="shared" si="17"/>
        <v>0</v>
      </c>
      <c r="C117" s="75">
        <f t="shared" si="18"/>
        <v>0</v>
      </c>
      <c r="D117" s="75">
        <f>D102+D111</f>
        <v>0</v>
      </c>
      <c r="E117" s="75">
        <f t="shared" ref="E117:L117" si="25">E111+E102</f>
        <v>0</v>
      </c>
      <c r="F117" s="75">
        <f t="shared" si="25"/>
        <v>0</v>
      </c>
      <c r="G117" s="75">
        <f t="shared" si="25"/>
        <v>0</v>
      </c>
      <c r="H117" s="75">
        <f t="shared" si="25"/>
        <v>0</v>
      </c>
      <c r="I117" s="75">
        <f t="shared" si="25"/>
        <v>0</v>
      </c>
      <c r="J117" s="75">
        <f t="shared" si="25"/>
        <v>0</v>
      </c>
      <c r="K117" s="75">
        <f t="shared" si="25"/>
        <v>0</v>
      </c>
      <c r="L117" s="75">
        <f t="shared" si="25"/>
        <v>0</v>
      </c>
    </row>
    <row r="118" spans="1:13" x14ac:dyDescent="0.25">
      <c r="A118" s="115"/>
      <c r="B118" s="118"/>
      <c r="G118" s="109"/>
      <c r="K118" s="101">
        <f>K117+L117-'1'!C12-'1'!C22</f>
        <v>-28447442</v>
      </c>
    </row>
    <row r="119" spans="1:13" ht="16.2" x14ac:dyDescent="0.25">
      <c r="A119" s="115"/>
      <c r="C119" s="116"/>
      <c r="D119" s="109"/>
      <c r="E119" s="109"/>
      <c r="F119" s="109"/>
      <c r="G119" s="109"/>
    </row>
    <row r="120" spans="1:13" x14ac:dyDescent="0.25">
      <c r="C120" s="121" t="s">
        <v>236</v>
      </c>
      <c r="D120" s="109"/>
      <c r="E120" s="109"/>
      <c r="F120" s="109"/>
      <c r="G120" s="109"/>
    </row>
    <row r="121" spans="1:13" x14ac:dyDescent="0.25">
      <c r="A121" s="409" t="s">
        <v>57</v>
      </c>
      <c r="B121" s="409" t="s">
        <v>95</v>
      </c>
      <c r="C121" s="400" t="s">
        <v>178</v>
      </c>
      <c r="D121" s="400"/>
      <c r="E121" s="403" t="s">
        <v>237</v>
      </c>
      <c r="F121" s="403" t="s">
        <v>180</v>
      </c>
      <c r="G121" s="403"/>
      <c r="H121" s="396" t="s">
        <v>238</v>
      </c>
      <c r="I121" s="396" t="s">
        <v>239</v>
      </c>
      <c r="J121" s="400" t="s">
        <v>183</v>
      </c>
      <c r="K121" s="400"/>
    </row>
    <row r="122" spans="1:13" ht="62.4" x14ac:dyDescent="0.25">
      <c r="A122" s="410"/>
      <c r="B122" s="410"/>
      <c r="C122" s="75" t="s">
        <v>240</v>
      </c>
      <c r="D122" s="113" t="s">
        <v>241</v>
      </c>
      <c r="E122" s="403"/>
      <c r="F122" s="75" t="s">
        <v>240</v>
      </c>
      <c r="G122" s="113" t="s">
        <v>242</v>
      </c>
      <c r="H122" s="397"/>
      <c r="I122" s="397"/>
      <c r="J122" s="75" t="s">
        <v>240</v>
      </c>
      <c r="K122" s="113" t="s">
        <v>241</v>
      </c>
    </row>
    <row r="123" spans="1:13" x14ac:dyDescent="0.25">
      <c r="A123" s="112" t="s">
        <v>243</v>
      </c>
      <c r="B123" s="112">
        <v>1210</v>
      </c>
      <c r="C123" s="75"/>
      <c r="D123" s="75">
        <f t="shared" ref="D123:J123" si="26">SUM(D124:D130)</f>
        <v>0</v>
      </c>
      <c r="E123" s="75">
        <f t="shared" si="26"/>
        <v>0</v>
      </c>
      <c r="F123" s="75">
        <f t="shared" si="26"/>
        <v>0</v>
      </c>
      <c r="G123" s="75">
        <f t="shared" si="26"/>
        <v>0</v>
      </c>
      <c r="H123" s="75">
        <f t="shared" si="26"/>
        <v>0</v>
      </c>
      <c r="I123" s="75">
        <f t="shared" si="26"/>
        <v>0</v>
      </c>
      <c r="J123" s="75">
        <f t="shared" si="26"/>
        <v>0</v>
      </c>
      <c r="K123" s="75"/>
      <c r="L123" s="101">
        <f>C123-'1'!E17</f>
        <v>-2594147</v>
      </c>
      <c r="M123" s="101">
        <f>J123-'1'!D17</f>
        <v>-2454097</v>
      </c>
    </row>
    <row r="124" spans="1:13" x14ac:dyDescent="0.25">
      <c r="A124" s="112" t="s">
        <v>153</v>
      </c>
      <c r="C124" s="75"/>
      <c r="D124" s="75"/>
      <c r="E124" s="75"/>
      <c r="F124" s="75"/>
      <c r="G124" s="75"/>
      <c r="H124" s="75"/>
      <c r="I124" s="75"/>
      <c r="J124" s="75">
        <f>C124+E124-F124+I124</f>
        <v>0</v>
      </c>
      <c r="K124" s="75"/>
    </row>
    <row r="125" spans="1:13" ht="31.2" x14ac:dyDescent="0.25">
      <c r="A125" s="112" t="s">
        <v>244</v>
      </c>
      <c r="B125" s="112">
        <v>1211</v>
      </c>
      <c r="C125" s="75"/>
      <c r="D125" s="75"/>
      <c r="E125" s="75"/>
      <c r="F125" s="75"/>
      <c r="G125" s="75"/>
      <c r="H125" s="75"/>
      <c r="I125" s="75"/>
      <c r="J125" s="75">
        <f t="shared" ref="J125:J130" si="27">C125+E125+F125+I125</f>
        <v>0</v>
      </c>
      <c r="K125" s="75"/>
    </row>
    <row r="126" spans="1:13" ht="31.2" x14ac:dyDescent="0.25">
      <c r="A126" s="112" t="s">
        <v>245</v>
      </c>
      <c r="B126" s="112">
        <v>1212</v>
      </c>
      <c r="C126" s="75"/>
      <c r="D126" s="75"/>
      <c r="E126" s="75"/>
      <c r="F126" s="75"/>
      <c r="G126" s="75"/>
      <c r="H126" s="75"/>
      <c r="I126" s="75"/>
      <c r="J126" s="75">
        <f t="shared" si="27"/>
        <v>0</v>
      </c>
      <c r="K126" s="75"/>
    </row>
    <row r="127" spans="1:13" x14ac:dyDescent="0.25">
      <c r="A127" s="112" t="s">
        <v>246</v>
      </c>
      <c r="B127" s="112">
        <v>1213</v>
      </c>
      <c r="C127" s="75"/>
      <c r="D127" s="75"/>
      <c r="E127" s="75"/>
      <c r="F127" s="75"/>
      <c r="G127" s="75"/>
      <c r="H127" s="75"/>
      <c r="I127" s="75"/>
      <c r="J127" s="75"/>
      <c r="K127" s="75"/>
    </row>
    <row r="128" spans="1:13" x14ac:dyDescent="0.25">
      <c r="A128" s="112" t="s">
        <v>247</v>
      </c>
      <c r="B128" s="112">
        <v>1214</v>
      </c>
      <c r="C128" s="75"/>
      <c r="D128" s="75"/>
      <c r="E128" s="75"/>
      <c r="F128" s="75"/>
      <c r="G128" s="75"/>
      <c r="H128" s="75"/>
      <c r="I128" s="75">
        <f>-I127</f>
        <v>0</v>
      </c>
      <c r="J128" s="75">
        <f t="shared" si="27"/>
        <v>0</v>
      </c>
      <c r="K128" s="75"/>
    </row>
    <row r="129" spans="1:12" x14ac:dyDescent="0.25">
      <c r="A129" s="112" t="s">
        <v>248</v>
      </c>
      <c r="B129" s="112"/>
      <c r="C129" s="75"/>
      <c r="D129" s="75"/>
      <c r="E129" s="75"/>
      <c r="F129" s="75"/>
      <c r="G129" s="75"/>
      <c r="H129" s="75"/>
      <c r="I129" s="75"/>
      <c r="J129" s="75">
        <f t="shared" si="27"/>
        <v>0</v>
      </c>
      <c r="K129" s="75"/>
    </row>
    <row r="130" spans="1:12" x14ac:dyDescent="0.25">
      <c r="A130" s="112" t="s">
        <v>249</v>
      </c>
      <c r="B130" s="112"/>
      <c r="C130" s="75"/>
      <c r="D130" s="75"/>
      <c r="E130" s="75"/>
      <c r="F130" s="75"/>
      <c r="G130" s="75"/>
      <c r="H130" s="75"/>
      <c r="I130" s="75"/>
      <c r="J130" s="75">
        <f t="shared" si="27"/>
        <v>0</v>
      </c>
      <c r="K130" s="75"/>
    </row>
    <row r="131" spans="1:12" x14ac:dyDescent="0.25">
      <c r="A131" s="115"/>
      <c r="B131" s="118"/>
      <c r="C131" s="109"/>
      <c r="D131" s="118"/>
      <c r="E131" s="118"/>
      <c r="F131" s="118"/>
      <c r="G131" s="120"/>
    </row>
    <row r="132" spans="1:12" x14ac:dyDescent="0.25">
      <c r="C132" s="108" t="s">
        <v>250</v>
      </c>
      <c r="D132" s="109"/>
      <c r="E132" s="109"/>
      <c r="F132" s="109"/>
      <c r="G132" s="109"/>
    </row>
    <row r="133" spans="1:12" x14ac:dyDescent="0.25">
      <c r="A133" s="409" t="s">
        <v>57</v>
      </c>
      <c r="B133" s="409" t="s">
        <v>95</v>
      </c>
      <c r="C133" s="400" t="s">
        <v>178</v>
      </c>
      <c r="D133" s="400"/>
      <c r="E133" s="403" t="s">
        <v>237</v>
      </c>
      <c r="F133" s="403" t="s">
        <v>180</v>
      </c>
      <c r="G133" s="403"/>
      <c r="H133" s="396" t="s">
        <v>238</v>
      </c>
      <c r="I133" s="396" t="s">
        <v>239</v>
      </c>
      <c r="J133" s="400" t="s">
        <v>183</v>
      </c>
      <c r="K133" s="400"/>
    </row>
    <row r="134" spans="1:12" ht="46.95" customHeight="1" x14ac:dyDescent="0.25">
      <c r="A134" s="410"/>
      <c r="B134" s="410"/>
      <c r="C134" s="75" t="s">
        <v>240</v>
      </c>
      <c r="D134" s="113" t="s">
        <v>241</v>
      </c>
      <c r="E134" s="403"/>
      <c r="F134" s="75" t="s">
        <v>240</v>
      </c>
      <c r="G134" s="113" t="s">
        <v>242</v>
      </c>
      <c r="H134" s="397"/>
      <c r="I134" s="397"/>
      <c r="J134" s="75" t="s">
        <v>240</v>
      </c>
      <c r="K134" s="113" t="s">
        <v>241</v>
      </c>
    </row>
    <row r="135" spans="1:12" x14ac:dyDescent="0.25">
      <c r="A135" s="112" t="s">
        <v>243</v>
      </c>
      <c r="B135" s="112">
        <v>1210</v>
      </c>
      <c r="C135" s="75">
        <f t="shared" ref="C135:C142" si="28">J123</f>
        <v>0</v>
      </c>
      <c r="D135" s="75">
        <f t="shared" ref="D135:D142" si="29">K123</f>
        <v>0</v>
      </c>
      <c r="E135" s="75">
        <f t="shared" ref="E135:J135" si="30">SUM(E136:E142)</f>
        <v>0</v>
      </c>
      <c r="F135" s="75">
        <f t="shared" si="30"/>
        <v>0</v>
      </c>
      <c r="G135" s="75">
        <f t="shared" si="30"/>
        <v>0</v>
      </c>
      <c r="H135" s="75">
        <f t="shared" si="30"/>
        <v>0</v>
      </c>
      <c r="I135" s="75">
        <f t="shared" si="30"/>
        <v>0</v>
      </c>
      <c r="J135" s="75">
        <f t="shared" si="30"/>
        <v>0</v>
      </c>
      <c r="K135" s="75"/>
      <c r="L135" s="101">
        <f>J135-'1'!C17</f>
        <v>-3359236</v>
      </c>
    </row>
    <row r="136" spans="1:12" x14ac:dyDescent="0.25">
      <c r="A136" s="112" t="s">
        <v>153</v>
      </c>
      <c r="C136" s="75">
        <f t="shared" si="28"/>
        <v>0</v>
      </c>
      <c r="D136" s="75">
        <f t="shared" si="29"/>
        <v>0</v>
      </c>
      <c r="E136" s="75"/>
      <c r="F136" s="75"/>
      <c r="G136" s="75"/>
      <c r="H136" s="75"/>
      <c r="I136" s="75"/>
      <c r="J136" s="75">
        <f>C136+E136-F136+I136</f>
        <v>0</v>
      </c>
      <c r="K136" s="75"/>
    </row>
    <row r="137" spans="1:12" ht="31.2" x14ac:dyDescent="0.25">
      <c r="A137" s="112" t="s">
        <v>244</v>
      </c>
      <c r="B137" s="112">
        <v>1211</v>
      </c>
      <c r="C137" s="75">
        <f t="shared" si="28"/>
        <v>0</v>
      </c>
      <c r="D137" s="75">
        <f t="shared" si="29"/>
        <v>0</v>
      </c>
      <c r="E137" s="75"/>
      <c r="F137" s="75"/>
      <c r="G137" s="75"/>
      <c r="H137" s="75"/>
      <c r="I137" s="75"/>
      <c r="J137" s="75">
        <f t="shared" ref="J137:J142" si="31">C137+E137+F137+I137</f>
        <v>0</v>
      </c>
      <c r="K137" s="75"/>
    </row>
    <row r="138" spans="1:12" ht="31.2" x14ac:dyDescent="0.25">
      <c r="A138" s="112" t="s">
        <v>245</v>
      </c>
      <c r="B138" s="112">
        <v>1212</v>
      </c>
      <c r="C138" s="75">
        <f t="shared" si="28"/>
        <v>0</v>
      </c>
      <c r="D138" s="75">
        <f t="shared" si="29"/>
        <v>0</v>
      </c>
      <c r="E138" s="75"/>
      <c r="F138" s="75"/>
      <c r="G138" s="75"/>
      <c r="H138" s="75"/>
      <c r="I138" s="75"/>
      <c r="J138" s="75">
        <f t="shared" si="31"/>
        <v>0</v>
      </c>
      <c r="K138" s="75"/>
    </row>
    <row r="139" spans="1:12" x14ac:dyDescent="0.25">
      <c r="A139" s="112" t="s">
        <v>246</v>
      </c>
      <c r="B139" s="112">
        <v>1213</v>
      </c>
      <c r="C139" s="75">
        <f t="shared" si="28"/>
        <v>0</v>
      </c>
      <c r="D139" s="75">
        <f t="shared" si="29"/>
        <v>0</v>
      </c>
      <c r="E139" s="75"/>
      <c r="F139" s="75"/>
      <c r="G139" s="75"/>
      <c r="H139" s="75"/>
      <c r="I139" s="75"/>
      <c r="J139" s="75">
        <f t="shared" si="31"/>
        <v>0</v>
      </c>
      <c r="K139" s="75"/>
    </row>
    <row r="140" spans="1:12" x14ac:dyDescent="0.25">
      <c r="A140" s="112" t="s">
        <v>247</v>
      </c>
      <c r="B140" s="112">
        <v>1214</v>
      </c>
      <c r="C140" s="75">
        <f t="shared" si="28"/>
        <v>0</v>
      </c>
      <c r="D140" s="75">
        <f t="shared" si="29"/>
        <v>0</v>
      </c>
      <c r="E140" s="75"/>
      <c r="F140" s="75"/>
      <c r="G140" s="75"/>
      <c r="H140" s="75"/>
      <c r="I140" s="75"/>
      <c r="J140" s="75">
        <f t="shared" si="31"/>
        <v>0</v>
      </c>
      <c r="K140" s="75"/>
    </row>
    <row r="141" spans="1:12" x14ac:dyDescent="0.25">
      <c r="A141" s="112" t="s">
        <v>248</v>
      </c>
      <c r="B141" s="112"/>
      <c r="C141" s="75">
        <f t="shared" si="28"/>
        <v>0</v>
      </c>
      <c r="D141" s="75">
        <f t="shared" si="29"/>
        <v>0</v>
      </c>
      <c r="E141" s="75"/>
      <c r="F141" s="75"/>
      <c r="G141" s="75"/>
      <c r="H141" s="75"/>
      <c r="I141" s="75"/>
      <c r="J141" s="75"/>
      <c r="K141" s="75"/>
    </row>
    <row r="142" spans="1:12" x14ac:dyDescent="0.25">
      <c r="A142" s="112" t="s">
        <v>249</v>
      </c>
      <c r="B142" s="112"/>
      <c r="C142" s="75">
        <f t="shared" si="28"/>
        <v>0</v>
      </c>
      <c r="D142" s="75">
        <f t="shared" si="29"/>
        <v>0</v>
      </c>
      <c r="E142" s="75"/>
      <c r="F142" s="75"/>
      <c r="G142" s="75"/>
      <c r="H142" s="75"/>
      <c r="I142" s="75"/>
      <c r="J142" s="75">
        <f t="shared" si="31"/>
        <v>0</v>
      </c>
      <c r="K142" s="75"/>
    </row>
    <row r="143" spans="1:12" x14ac:dyDescent="0.25">
      <c r="G143" s="120"/>
    </row>
    <row r="144" spans="1:12" x14ac:dyDescent="0.25">
      <c r="C144" s="108" t="s">
        <v>251</v>
      </c>
      <c r="D144" s="109"/>
      <c r="E144" s="109"/>
      <c r="F144" s="109"/>
      <c r="G144" s="109"/>
    </row>
    <row r="145" spans="1:13" s="109" customFormat="1" ht="25.5" customHeight="1" x14ac:dyDescent="0.25">
      <c r="A145" s="110" t="s">
        <v>177</v>
      </c>
      <c r="B145" s="400" t="s">
        <v>178</v>
      </c>
      <c r="C145" s="400"/>
      <c r="D145" s="403" t="s">
        <v>252</v>
      </c>
      <c r="E145" s="403"/>
      <c r="F145" s="403" t="s">
        <v>253</v>
      </c>
      <c r="G145" s="403"/>
      <c r="H145" s="403"/>
      <c r="I145" s="401" t="s">
        <v>254</v>
      </c>
      <c r="J145" s="400" t="s">
        <v>183</v>
      </c>
      <c r="K145" s="400"/>
    </row>
    <row r="146" spans="1:13" ht="78" x14ac:dyDescent="0.25">
      <c r="A146" s="112" t="s">
        <v>184</v>
      </c>
      <c r="B146" s="75" t="s">
        <v>255</v>
      </c>
      <c r="C146" s="113" t="s">
        <v>256</v>
      </c>
      <c r="D146" s="123" t="s">
        <v>257</v>
      </c>
      <c r="E146" s="114" t="s">
        <v>258</v>
      </c>
      <c r="F146" s="122" t="s">
        <v>259</v>
      </c>
      <c r="G146" s="123" t="s">
        <v>260</v>
      </c>
      <c r="H146" s="114" t="s">
        <v>261</v>
      </c>
      <c r="I146" s="402"/>
      <c r="J146" s="75" t="s">
        <v>255</v>
      </c>
      <c r="K146" s="113" t="s">
        <v>256</v>
      </c>
    </row>
    <row r="147" spans="1:13" ht="31.2" x14ac:dyDescent="0.25">
      <c r="A147" s="112" t="s">
        <v>262</v>
      </c>
      <c r="B147" s="75"/>
      <c r="C147" s="75">
        <f t="shared" ref="C147:I152" si="32">SUM(C149:C151)</f>
        <v>0</v>
      </c>
      <c r="D147" s="75">
        <f t="shared" si="32"/>
        <v>0</v>
      </c>
      <c r="E147" s="75">
        <f t="shared" si="32"/>
        <v>0</v>
      </c>
      <c r="F147" s="75">
        <f t="shared" si="32"/>
        <v>0</v>
      </c>
      <c r="G147" s="75">
        <f t="shared" si="32"/>
        <v>0</v>
      </c>
      <c r="H147" s="75">
        <f t="shared" si="32"/>
        <v>0</v>
      </c>
      <c r="I147" s="75">
        <f t="shared" si="32"/>
        <v>0</v>
      </c>
      <c r="J147" s="75">
        <f t="shared" ref="J147:J157" si="33">B147+D147+E147+F147+G147</f>
        <v>0</v>
      </c>
      <c r="K147" s="75">
        <f>SUM(K149:K151)</f>
        <v>0</v>
      </c>
    </row>
    <row r="148" spans="1:13" x14ac:dyDescent="0.25">
      <c r="A148" s="112" t="s">
        <v>153</v>
      </c>
      <c r="B148" s="75"/>
      <c r="C148" s="75"/>
      <c r="D148" s="75"/>
      <c r="E148" s="75"/>
      <c r="F148" s="75"/>
      <c r="G148" s="75"/>
      <c r="H148" s="75"/>
      <c r="I148" s="75"/>
      <c r="J148" s="75">
        <f t="shared" si="33"/>
        <v>0</v>
      </c>
      <c r="K148" s="75"/>
    </row>
    <row r="149" spans="1:13" x14ac:dyDescent="0.25">
      <c r="A149" s="112" t="s">
        <v>263</v>
      </c>
      <c r="B149" s="75"/>
      <c r="C149" s="75"/>
      <c r="D149" s="75"/>
      <c r="E149" s="75"/>
      <c r="F149" s="75"/>
      <c r="G149" s="75"/>
      <c r="H149" s="75"/>
      <c r="I149" s="75"/>
      <c r="J149" s="75">
        <f t="shared" si="33"/>
        <v>0</v>
      </c>
      <c r="K149" s="75"/>
    </row>
    <row r="150" spans="1:13" x14ac:dyDescent="0.25">
      <c r="A150" s="112" t="s">
        <v>264</v>
      </c>
      <c r="B150" s="75"/>
      <c r="C150" s="75"/>
      <c r="D150" s="75"/>
      <c r="E150" s="75"/>
      <c r="F150" s="75"/>
      <c r="G150" s="75"/>
      <c r="H150" s="75"/>
      <c r="I150" s="75"/>
      <c r="J150" s="75">
        <f t="shared" si="33"/>
        <v>0</v>
      </c>
      <c r="K150" s="75"/>
    </row>
    <row r="151" spans="1:13" x14ac:dyDescent="0.25">
      <c r="A151" s="112" t="s">
        <v>265</v>
      </c>
      <c r="B151" s="75"/>
      <c r="C151" s="75"/>
      <c r="D151" s="75"/>
      <c r="E151" s="75"/>
      <c r="F151" s="75"/>
      <c r="G151" s="75"/>
      <c r="H151" s="75"/>
      <c r="I151" s="75"/>
      <c r="J151" s="75">
        <f t="shared" si="33"/>
        <v>0</v>
      </c>
      <c r="K151" s="75"/>
    </row>
    <row r="152" spans="1:13" ht="31.2" x14ac:dyDescent="0.25">
      <c r="A152" s="112" t="s">
        <v>266</v>
      </c>
      <c r="B152" s="75"/>
      <c r="C152" s="75">
        <f t="shared" si="32"/>
        <v>0</v>
      </c>
      <c r="D152" s="75">
        <f t="shared" si="32"/>
        <v>0</v>
      </c>
      <c r="E152" s="75">
        <f t="shared" si="32"/>
        <v>0</v>
      </c>
      <c r="F152" s="75">
        <f t="shared" si="32"/>
        <v>0</v>
      </c>
      <c r="G152" s="75">
        <f t="shared" si="32"/>
        <v>0</v>
      </c>
      <c r="H152" s="75">
        <f t="shared" si="32"/>
        <v>0</v>
      </c>
      <c r="I152" s="75">
        <f t="shared" si="32"/>
        <v>0</v>
      </c>
      <c r="J152" s="75">
        <f t="shared" si="33"/>
        <v>0</v>
      </c>
      <c r="K152" s="75">
        <f>SUM(K154:K156)</f>
        <v>0</v>
      </c>
      <c r="L152" s="101">
        <f>B152-'1'!E19+B147</f>
        <v>-3241082</v>
      </c>
      <c r="M152" s="101">
        <f>J152+J151-'1'!D19+K152</f>
        <v>-3097566</v>
      </c>
    </row>
    <row r="153" spans="1:13" x14ac:dyDescent="0.25">
      <c r="A153" s="112" t="s">
        <v>153</v>
      </c>
      <c r="B153" s="75"/>
      <c r="C153" s="75"/>
      <c r="D153" s="75"/>
      <c r="E153" s="75"/>
      <c r="F153" s="75"/>
      <c r="G153" s="75"/>
      <c r="H153" s="75"/>
      <c r="I153" s="75"/>
      <c r="J153" s="75">
        <f t="shared" si="33"/>
        <v>0</v>
      </c>
      <c r="K153" s="75"/>
    </row>
    <row r="154" spans="1:13" x14ac:dyDescent="0.25">
      <c r="A154" s="112" t="s">
        <v>263</v>
      </c>
      <c r="B154" s="75"/>
      <c r="C154" s="75"/>
      <c r="D154" s="75"/>
      <c r="E154" s="75"/>
      <c r="F154" s="75"/>
      <c r="G154" s="75"/>
      <c r="H154" s="75"/>
      <c r="I154" s="75"/>
      <c r="J154" s="75">
        <f t="shared" si="33"/>
        <v>0</v>
      </c>
      <c r="K154" s="75"/>
    </row>
    <row r="155" spans="1:13" x14ac:dyDescent="0.25">
      <c r="A155" s="112" t="s">
        <v>264</v>
      </c>
      <c r="B155" s="75"/>
      <c r="C155" s="75"/>
      <c r="D155" s="75"/>
      <c r="E155" s="75"/>
      <c r="F155" s="75"/>
      <c r="G155" s="75"/>
      <c r="H155" s="75"/>
      <c r="I155" s="75"/>
      <c r="J155" s="75">
        <f t="shared" si="33"/>
        <v>0</v>
      </c>
      <c r="K155" s="75"/>
    </row>
    <row r="156" spans="1:13" x14ac:dyDescent="0.25">
      <c r="A156" s="112" t="s">
        <v>265</v>
      </c>
      <c r="B156" s="75"/>
      <c r="C156" s="75"/>
      <c r="D156" s="75"/>
      <c r="E156" s="75"/>
      <c r="F156" s="75"/>
      <c r="G156" s="75"/>
      <c r="H156" s="75"/>
      <c r="I156" s="75"/>
      <c r="J156" s="75">
        <f t="shared" si="33"/>
        <v>0</v>
      </c>
      <c r="K156" s="75"/>
    </row>
    <row r="157" spans="1:13" x14ac:dyDescent="0.25">
      <c r="A157" s="112" t="s">
        <v>98</v>
      </c>
      <c r="B157" s="75"/>
      <c r="C157" s="75">
        <f t="shared" ref="C157:K157" si="34">C147+C152</f>
        <v>0</v>
      </c>
      <c r="D157" s="75">
        <f t="shared" si="34"/>
        <v>0</v>
      </c>
      <c r="E157" s="75">
        <f t="shared" si="34"/>
        <v>0</v>
      </c>
      <c r="F157" s="75">
        <f t="shared" si="34"/>
        <v>0</v>
      </c>
      <c r="G157" s="75">
        <f t="shared" si="34"/>
        <v>0</v>
      </c>
      <c r="H157" s="75">
        <f t="shared" si="34"/>
        <v>0</v>
      </c>
      <c r="I157" s="75">
        <f t="shared" si="34"/>
        <v>0</v>
      </c>
      <c r="J157" s="75">
        <f t="shared" si="33"/>
        <v>0</v>
      </c>
      <c r="K157" s="75">
        <f t="shared" si="34"/>
        <v>0</v>
      </c>
    </row>
    <row r="158" spans="1:13" x14ac:dyDescent="0.25">
      <c r="A158" s="115"/>
      <c r="B158" s="118">
        <f>'1'!E19-B157</f>
        <v>3241082</v>
      </c>
      <c r="C158" s="118"/>
      <c r="D158" s="118"/>
      <c r="E158" s="118"/>
      <c r="F158" s="118"/>
      <c r="G158" s="118"/>
      <c r="J158" s="101">
        <f>'1'!D19-'5'!J157</f>
        <v>3097566</v>
      </c>
    </row>
    <row r="159" spans="1:13" x14ac:dyDescent="0.25">
      <c r="C159" s="108" t="s">
        <v>267</v>
      </c>
      <c r="D159" s="109"/>
      <c r="E159" s="109"/>
      <c r="F159" s="109"/>
      <c r="G159" s="109"/>
    </row>
    <row r="160" spans="1:13" ht="12.75" customHeight="1" x14ac:dyDescent="0.25">
      <c r="A160" s="110" t="s">
        <v>177</v>
      </c>
      <c r="B160" s="400" t="s">
        <v>178</v>
      </c>
      <c r="C160" s="400"/>
      <c r="D160" s="403" t="s">
        <v>252</v>
      </c>
      <c r="E160" s="403"/>
      <c r="F160" s="403" t="s">
        <v>253</v>
      </c>
      <c r="G160" s="403"/>
      <c r="H160" s="403"/>
      <c r="I160" s="401" t="s">
        <v>254</v>
      </c>
      <c r="J160" s="400" t="s">
        <v>183</v>
      </c>
      <c r="K160" s="400"/>
    </row>
    <row r="161" spans="1:12" ht="45" customHeight="1" x14ac:dyDescent="0.25">
      <c r="A161" s="112" t="s">
        <v>184</v>
      </c>
      <c r="B161" s="75" t="s">
        <v>255</v>
      </c>
      <c r="C161" s="113" t="s">
        <v>256</v>
      </c>
      <c r="D161" s="123" t="s">
        <v>257</v>
      </c>
      <c r="E161" s="114" t="s">
        <v>258</v>
      </c>
      <c r="F161" s="122" t="s">
        <v>259</v>
      </c>
      <c r="G161" s="123" t="s">
        <v>260</v>
      </c>
      <c r="H161" s="114" t="s">
        <v>261</v>
      </c>
      <c r="I161" s="402"/>
      <c r="J161" s="75" t="s">
        <v>255</v>
      </c>
      <c r="K161" s="113" t="s">
        <v>256</v>
      </c>
    </row>
    <row r="162" spans="1:12" ht="31.2" x14ac:dyDescent="0.25">
      <c r="A162" s="112" t="s">
        <v>262</v>
      </c>
      <c r="B162" s="75">
        <f t="shared" ref="B162:C172" si="35">J147</f>
        <v>0</v>
      </c>
      <c r="C162" s="75">
        <f t="shared" ref="C162:C172" si="36">K147</f>
        <v>0</v>
      </c>
      <c r="D162" s="75">
        <f>SUM(D164:D166)</f>
        <v>0</v>
      </c>
      <c r="E162" s="75">
        <f t="shared" ref="E162:K167" si="37">SUM(E164:E166)</f>
        <v>0</v>
      </c>
      <c r="F162" s="75">
        <f t="shared" si="37"/>
        <v>0</v>
      </c>
      <c r="G162" s="75">
        <f t="shared" si="37"/>
        <v>0</v>
      </c>
      <c r="H162" s="75">
        <f t="shared" si="37"/>
        <v>0</v>
      </c>
      <c r="I162" s="75">
        <f t="shared" si="37"/>
        <v>0</v>
      </c>
      <c r="J162" s="75">
        <f t="shared" si="37"/>
        <v>0</v>
      </c>
      <c r="K162" s="75">
        <f t="shared" si="37"/>
        <v>0</v>
      </c>
    </row>
    <row r="163" spans="1:12" x14ac:dyDescent="0.25">
      <c r="A163" s="112" t="s">
        <v>153</v>
      </c>
      <c r="B163" s="75">
        <f t="shared" si="35"/>
        <v>0</v>
      </c>
      <c r="C163" s="75">
        <f t="shared" si="36"/>
        <v>0</v>
      </c>
      <c r="D163" s="75"/>
      <c r="E163" s="75"/>
      <c r="F163" s="75"/>
      <c r="G163" s="75"/>
      <c r="H163" s="75"/>
      <c r="I163" s="75"/>
      <c r="J163" s="75">
        <f t="shared" ref="J163:J172" si="38">B163+D163+E163+F163+G163+I163</f>
        <v>0</v>
      </c>
      <c r="K163" s="75"/>
    </row>
    <row r="164" spans="1:12" x14ac:dyDescent="0.25">
      <c r="A164" s="112" t="s">
        <v>263</v>
      </c>
      <c r="B164" s="75">
        <f t="shared" si="35"/>
        <v>0</v>
      </c>
      <c r="C164" s="75">
        <f t="shared" si="36"/>
        <v>0</v>
      </c>
      <c r="D164" s="75"/>
      <c r="E164" s="75"/>
      <c r="F164" s="75"/>
      <c r="G164" s="75"/>
      <c r="H164" s="75"/>
      <c r="I164" s="75">
        <f>-B162</f>
        <v>0</v>
      </c>
      <c r="J164" s="75">
        <f t="shared" si="38"/>
        <v>0</v>
      </c>
      <c r="K164" s="75"/>
    </row>
    <row r="165" spans="1:12" x14ac:dyDescent="0.25">
      <c r="A165" s="112" t="s">
        <v>264</v>
      </c>
      <c r="B165" s="75">
        <f t="shared" si="35"/>
        <v>0</v>
      </c>
      <c r="C165" s="75">
        <f t="shared" si="36"/>
        <v>0</v>
      </c>
      <c r="D165" s="75"/>
      <c r="E165" s="75"/>
      <c r="F165" s="75"/>
      <c r="G165" s="75"/>
      <c r="H165" s="75"/>
      <c r="I165" s="75"/>
      <c r="J165" s="75">
        <f t="shared" si="38"/>
        <v>0</v>
      </c>
      <c r="K165" s="75"/>
    </row>
    <row r="166" spans="1:12" x14ac:dyDescent="0.25">
      <c r="A166" s="112" t="s">
        <v>265</v>
      </c>
      <c r="B166" s="75">
        <f t="shared" si="35"/>
        <v>0</v>
      </c>
      <c r="C166" s="75">
        <f t="shared" si="36"/>
        <v>0</v>
      </c>
      <c r="D166" s="75"/>
      <c r="E166" s="75"/>
      <c r="F166" s="75"/>
      <c r="G166" s="75"/>
      <c r="H166" s="75"/>
      <c r="I166" s="75"/>
      <c r="J166" s="75">
        <f t="shared" si="38"/>
        <v>0</v>
      </c>
      <c r="K166" s="75"/>
    </row>
    <row r="167" spans="1:12" ht="31.2" x14ac:dyDescent="0.25">
      <c r="A167" s="112" t="s">
        <v>266</v>
      </c>
      <c r="B167" s="75">
        <f t="shared" si="35"/>
        <v>0</v>
      </c>
      <c r="C167" s="75">
        <f t="shared" si="35"/>
        <v>0</v>
      </c>
      <c r="D167" s="75">
        <f>SUM(D169:D171)</f>
        <v>0</v>
      </c>
      <c r="E167" s="75">
        <f t="shared" si="37"/>
        <v>0</v>
      </c>
      <c r="F167" s="75">
        <f>SUM(F169:F171)</f>
        <v>0</v>
      </c>
      <c r="G167" s="75">
        <f>SUM(G169:G171)</f>
        <v>0</v>
      </c>
      <c r="H167" s="75">
        <f>-C167</f>
        <v>0</v>
      </c>
      <c r="I167" s="75">
        <f>SUM(I169:I171)</f>
        <v>0</v>
      </c>
      <c r="J167" s="75">
        <f t="shared" si="38"/>
        <v>0</v>
      </c>
      <c r="K167" s="75"/>
      <c r="L167" s="101">
        <f>J167+K167-'1'!C19</f>
        <v>-2703825</v>
      </c>
    </row>
    <row r="168" spans="1:12" x14ac:dyDescent="0.25">
      <c r="A168" s="112" t="s">
        <v>153</v>
      </c>
      <c r="B168" s="75">
        <f t="shared" si="35"/>
        <v>0</v>
      </c>
      <c r="C168" s="75">
        <f t="shared" si="36"/>
        <v>0</v>
      </c>
      <c r="D168" s="75"/>
      <c r="E168" s="75"/>
      <c r="F168" s="75"/>
      <c r="G168" s="75"/>
      <c r="H168" s="75"/>
      <c r="I168" s="75"/>
      <c r="J168" s="75">
        <f t="shared" si="38"/>
        <v>0</v>
      </c>
      <c r="K168" s="75"/>
    </row>
    <row r="169" spans="1:12" x14ac:dyDescent="0.25">
      <c r="A169" s="112" t="s">
        <v>263</v>
      </c>
      <c r="B169" s="75">
        <f t="shared" si="35"/>
        <v>0</v>
      </c>
      <c r="C169" s="75"/>
      <c r="D169" s="75"/>
      <c r="E169" s="75"/>
      <c r="F169" s="75"/>
      <c r="G169" s="75"/>
      <c r="H169" s="75"/>
      <c r="I169" s="75"/>
      <c r="J169" s="75">
        <f t="shared" si="38"/>
        <v>0</v>
      </c>
      <c r="K169" s="75"/>
    </row>
    <row r="170" spans="1:12" x14ac:dyDescent="0.25">
      <c r="A170" s="112" t="s">
        <v>264</v>
      </c>
      <c r="B170" s="75">
        <f t="shared" si="35"/>
        <v>0</v>
      </c>
      <c r="C170" s="75"/>
      <c r="D170" s="75"/>
      <c r="E170" s="75"/>
      <c r="F170" s="75"/>
      <c r="G170" s="75"/>
      <c r="H170" s="75"/>
      <c r="I170" s="75"/>
      <c r="J170" s="75">
        <f t="shared" si="38"/>
        <v>0</v>
      </c>
      <c r="K170" s="75"/>
    </row>
    <row r="171" spans="1:12" x14ac:dyDescent="0.25">
      <c r="A171" s="112" t="s">
        <v>265</v>
      </c>
      <c r="B171" s="75">
        <f t="shared" si="35"/>
        <v>0</v>
      </c>
      <c r="C171" s="75">
        <f t="shared" si="36"/>
        <v>0</v>
      </c>
      <c r="D171" s="75"/>
      <c r="E171" s="75"/>
      <c r="F171" s="75"/>
      <c r="G171" s="75"/>
      <c r="H171" s="75"/>
      <c r="I171" s="75"/>
      <c r="J171" s="75">
        <f t="shared" si="38"/>
        <v>0</v>
      </c>
      <c r="K171" s="75"/>
    </row>
    <row r="172" spans="1:12" x14ac:dyDescent="0.25">
      <c r="A172" s="112" t="s">
        <v>98</v>
      </c>
      <c r="B172" s="75">
        <f t="shared" si="35"/>
        <v>0</v>
      </c>
      <c r="C172" s="75">
        <f t="shared" si="36"/>
        <v>0</v>
      </c>
      <c r="D172" s="75">
        <f t="shared" ref="D172:I172" si="39">D162+D167</f>
        <v>0</v>
      </c>
      <c r="E172" s="75">
        <f t="shared" si="39"/>
        <v>0</v>
      </c>
      <c r="F172" s="75">
        <f t="shared" si="39"/>
        <v>0</v>
      </c>
      <c r="G172" s="75">
        <f t="shared" si="39"/>
        <v>0</v>
      </c>
      <c r="H172" s="75">
        <f t="shared" si="39"/>
        <v>0</v>
      </c>
      <c r="I172" s="75">
        <f t="shared" si="39"/>
        <v>0</v>
      </c>
      <c r="J172" s="75">
        <f t="shared" si="38"/>
        <v>0</v>
      </c>
      <c r="K172" s="75">
        <f>K162+K167</f>
        <v>0</v>
      </c>
    </row>
    <row r="173" spans="1:12" x14ac:dyDescent="0.25">
      <c r="A173" s="115"/>
      <c r="B173" s="101">
        <f>'1'!D19-B172</f>
        <v>3097566</v>
      </c>
      <c r="J173" s="101">
        <f>'1'!C19-J172-K172</f>
        <v>2703825</v>
      </c>
    </row>
    <row r="174" spans="1:12" x14ac:dyDescent="0.25">
      <c r="A174" s="115"/>
      <c r="C174" s="121" t="s">
        <v>268</v>
      </c>
    </row>
    <row r="175" spans="1:12" x14ac:dyDescent="0.25">
      <c r="A175" s="396" t="s">
        <v>57</v>
      </c>
      <c r="B175" s="396" t="s">
        <v>269</v>
      </c>
      <c r="C175" s="404" t="s">
        <v>15</v>
      </c>
      <c r="D175" s="408"/>
      <c r="E175" s="404" t="s">
        <v>211</v>
      </c>
      <c r="F175" s="408"/>
      <c r="G175" s="404" t="s">
        <v>212</v>
      </c>
      <c r="H175" s="408"/>
    </row>
    <row r="176" spans="1:12" ht="46.8" x14ac:dyDescent="0.25">
      <c r="A176" s="397"/>
      <c r="B176" s="397"/>
      <c r="C176" s="75" t="s">
        <v>255</v>
      </c>
      <c r="D176" s="75" t="s">
        <v>270</v>
      </c>
      <c r="E176" s="75" t="s">
        <v>255</v>
      </c>
      <c r="F176" s="75" t="s">
        <v>270</v>
      </c>
      <c r="G176" s="75" t="s">
        <v>255</v>
      </c>
      <c r="H176" s="75" t="s">
        <v>270</v>
      </c>
    </row>
    <row r="177" spans="1:8" ht="31.2" x14ac:dyDescent="0.25">
      <c r="A177" s="112" t="s">
        <v>271</v>
      </c>
      <c r="B177" s="75">
        <v>5540</v>
      </c>
      <c r="C177" s="75">
        <f t="shared" ref="C177:H177" si="40">SUM(C179:C181)</f>
        <v>0</v>
      </c>
      <c r="D177" s="75">
        <f t="shared" si="40"/>
        <v>0</v>
      </c>
      <c r="E177" s="75">
        <f t="shared" si="40"/>
        <v>0</v>
      </c>
      <c r="F177" s="75">
        <f t="shared" si="40"/>
        <v>0</v>
      </c>
      <c r="G177" s="75">
        <f t="shared" si="40"/>
        <v>0</v>
      </c>
      <c r="H177" s="75">
        <f t="shared" si="40"/>
        <v>0</v>
      </c>
    </row>
    <row r="178" spans="1:8" x14ac:dyDescent="0.25">
      <c r="A178" s="112" t="s">
        <v>153</v>
      </c>
      <c r="B178" s="75"/>
      <c r="C178" s="75"/>
      <c r="D178" s="75"/>
      <c r="E178" s="75"/>
      <c r="F178" s="75"/>
      <c r="G178" s="75"/>
      <c r="H178" s="75"/>
    </row>
    <row r="179" spans="1:8" x14ac:dyDescent="0.25">
      <c r="A179" s="112" t="s">
        <v>263</v>
      </c>
      <c r="B179" s="75"/>
      <c r="C179" s="75"/>
      <c r="D179" s="75"/>
      <c r="E179" s="75"/>
      <c r="F179" s="75"/>
      <c r="G179" s="75"/>
      <c r="H179" s="75"/>
    </row>
    <row r="180" spans="1:8" x14ac:dyDescent="0.25">
      <c r="A180" s="112" t="s">
        <v>264</v>
      </c>
      <c r="B180" s="75"/>
      <c r="C180" s="75"/>
      <c r="D180" s="75"/>
      <c r="E180" s="75"/>
      <c r="F180" s="75"/>
      <c r="G180" s="75"/>
      <c r="H180" s="75"/>
    </row>
    <row r="181" spans="1:8" x14ac:dyDescent="0.25">
      <c r="A181" s="112" t="s">
        <v>265</v>
      </c>
      <c r="B181" s="75"/>
      <c r="C181" s="75"/>
      <c r="D181" s="75"/>
      <c r="E181" s="75"/>
      <c r="F181" s="75"/>
      <c r="G181" s="75"/>
      <c r="H181" s="75"/>
    </row>
    <row r="182" spans="1:8" x14ac:dyDescent="0.25">
      <c r="A182" s="115"/>
    </row>
    <row r="183" spans="1:8" x14ac:dyDescent="0.25">
      <c r="A183" s="115"/>
    </row>
    <row r="184" spans="1:8" x14ac:dyDescent="0.25">
      <c r="A184" s="115"/>
      <c r="C184" s="121" t="s">
        <v>272</v>
      </c>
      <c r="D184" s="109"/>
      <c r="E184" s="109"/>
      <c r="F184" s="109"/>
    </row>
    <row r="185" spans="1:8" ht="15.75" customHeight="1" x14ac:dyDescent="0.25">
      <c r="A185" s="110" t="s">
        <v>177</v>
      </c>
      <c r="B185" s="400" t="s">
        <v>273</v>
      </c>
      <c r="C185" s="403" t="s">
        <v>252</v>
      </c>
      <c r="D185" s="403"/>
      <c r="E185" s="404" t="s">
        <v>253</v>
      </c>
      <c r="F185" s="405"/>
      <c r="G185" s="401" t="s">
        <v>254</v>
      </c>
      <c r="H185" s="400" t="s">
        <v>274</v>
      </c>
    </row>
    <row r="186" spans="1:8" ht="78" x14ac:dyDescent="0.25">
      <c r="A186" s="112" t="s">
        <v>184</v>
      </c>
      <c r="B186" s="400"/>
      <c r="C186" s="123" t="s">
        <v>257</v>
      </c>
      <c r="D186" s="114" t="s">
        <v>258</v>
      </c>
      <c r="E186" s="122" t="s">
        <v>259</v>
      </c>
      <c r="F186" s="123" t="s">
        <v>260</v>
      </c>
      <c r="G186" s="402"/>
      <c r="H186" s="400"/>
    </row>
    <row r="187" spans="1:8" ht="31.2" x14ac:dyDescent="0.25">
      <c r="A187" s="112" t="s">
        <v>275</v>
      </c>
      <c r="B187" s="75">
        <v>0</v>
      </c>
      <c r="C187" s="75">
        <v>0</v>
      </c>
      <c r="D187" s="75">
        <f>SUM(D189:D194)</f>
        <v>0</v>
      </c>
      <c r="E187" s="75">
        <f>SUM(E189:E194)</f>
        <v>0</v>
      </c>
      <c r="F187" s="75">
        <f>SUM(F189:F194)</f>
        <v>0</v>
      </c>
      <c r="G187" s="75">
        <f>SUM(G189:G194)</f>
        <v>0</v>
      </c>
      <c r="H187" s="75">
        <f t="shared" ref="H187:H194" si="41">B187+C187-E187-F187</f>
        <v>0</v>
      </c>
    </row>
    <row r="188" spans="1:8" x14ac:dyDescent="0.25">
      <c r="A188" s="112" t="s">
        <v>153</v>
      </c>
      <c r="B188" s="75">
        <v>0</v>
      </c>
      <c r="C188" s="75"/>
      <c r="D188" s="75"/>
      <c r="E188" s="75"/>
      <c r="F188" s="75"/>
      <c r="G188" s="75"/>
      <c r="H188" s="75">
        <f t="shared" si="41"/>
        <v>0</v>
      </c>
    </row>
    <row r="189" spans="1:8" x14ac:dyDescent="0.25">
      <c r="A189" s="112" t="s">
        <v>276</v>
      </c>
      <c r="B189" s="75">
        <v>0</v>
      </c>
      <c r="C189" s="75"/>
      <c r="D189" s="75"/>
      <c r="E189" s="75"/>
      <c r="F189" s="75"/>
      <c r="G189" s="75"/>
      <c r="H189" s="75">
        <f t="shared" si="41"/>
        <v>0</v>
      </c>
    </row>
    <row r="190" spans="1:8" x14ac:dyDescent="0.25">
      <c r="A190" s="112" t="s">
        <v>277</v>
      </c>
      <c r="B190" s="75">
        <v>0</v>
      </c>
      <c r="C190" s="75"/>
      <c r="D190" s="75"/>
      <c r="E190" s="75"/>
      <c r="F190" s="75"/>
      <c r="G190" s="75"/>
      <c r="H190" s="75">
        <f t="shared" si="41"/>
        <v>0</v>
      </c>
    </row>
    <row r="191" spans="1:8" ht="31.2" x14ac:dyDescent="0.25">
      <c r="A191" s="112" t="s">
        <v>278</v>
      </c>
      <c r="B191" s="75">
        <v>0</v>
      </c>
      <c r="C191" s="75"/>
      <c r="D191" s="75"/>
      <c r="E191" s="75"/>
      <c r="F191" s="75"/>
      <c r="G191" s="75"/>
      <c r="H191" s="75">
        <f t="shared" si="41"/>
        <v>0</v>
      </c>
    </row>
    <row r="192" spans="1:8" ht="46.8" x14ac:dyDescent="0.25">
      <c r="A192" s="112" t="s">
        <v>279</v>
      </c>
      <c r="B192" s="75">
        <v>0</v>
      </c>
      <c r="C192" s="75"/>
      <c r="D192" s="75"/>
      <c r="E192" s="75"/>
      <c r="F192" s="75"/>
      <c r="G192" s="75"/>
      <c r="H192" s="75">
        <f t="shared" si="41"/>
        <v>0</v>
      </c>
    </row>
    <row r="193" spans="1:10" ht="31.2" x14ac:dyDescent="0.25">
      <c r="A193" s="112" t="s">
        <v>280</v>
      </c>
      <c r="B193" s="75">
        <v>0</v>
      </c>
      <c r="C193" s="75"/>
      <c r="D193" s="75"/>
      <c r="E193" s="75"/>
      <c r="F193" s="75"/>
      <c r="G193" s="75"/>
      <c r="H193" s="75">
        <f t="shared" si="41"/>
        <v>0</v>
      </c>
    </row>
    <row r="194" spans="1:10" x14ac:dyDescent="0.25">
      <c r="A194" s="112" t="s">
        <v>281</v>
      </c>
      <c r="B194" s="75">
        <v>0</v>
      </c>
      <c r="C194" s="75"/>
      <c r="D194" s="75"/>
      <c r="E194" s="75"/>
      <c r="F194" s="75"/>
      <c r="G194" s="75"/>
      <c r="H194" s="75">
        <f t="shared" si="41"/>
        <v>0</v>
      </c>
    </row>
    <row r="195" spans="1:10" ht="31.2" x14ac:dyDescent="0.25">
      <c r="A195" s="112" t="s">
        <v>282</v>
      </c>
      <c r="B195" s="75"/>
      <c r="C195" s="75"/>
      <c r="D195" s="75">
        <f>SUM(D197:D202)</f>
        <v>0</v>
      </c>
      <c r="E195" s="75">
        <f>SUM(E197:E202)</f>
        <v>0</v>
      </c>
      <c r="F195" s="75">
        <f>SUM(F197:F202)</f>
        <v>0</v>
      </c>
      <c r="G195" s="75">
        <f>SUM(G197:G202)</f>
        <v>0</v>
      </c>
      <c r="H195" s="75">
        <f t="shared" ref="H195:H203" si="42">B195+C195+E195+F195</f>
        <v>0</v>
      </c>
      <c r="I195" s="101">
        <f>B195-'1'!E46</f>
        <v>-2565248</v>
      </c>
      <c r="J195" s="101">
        <f>H195-'1'!D46</f>
        <v>-2027319</v>
      </c>
    </row>
    <row r="196" spans="1:10" x14ac:dyDescent="0.25">
      <c r="A196" s="112" t="s">
        <v>153</v>
      </c>
      <c r="B196" s="75"/>
      <c r="C196" s="75"/>
      <c r="D196" s="75"/>
      <c r="E196" s="75"/>
      <c r="F196" s="75"/>
      <c r="G196" s="75"/>
      <c r="H196" s="75">
        <f t="shared" si="42"/>
        <v>0</v>
      </c>
    </row>
    <row r="197" spans="1:10" x14ac:dyDescent="0.25">
      <c r="A197" s="112" t="s">
        <v>276</v>
      </c>
      <c r="B197" s="75"/>
      <c r="C197" s="75"/>
      <c r="D197" s="75"/>
      <c r="E197" s="75"/>
      <c r="F197" s="75"/>
      <c r="G197" s="75"/>
      <c r="H197" s="75">
        <f t="shared" si="42"/>
        <v>0</v>
      </c>
    </row>
    <row r="198" spans="1:10" x14ac:dyDescent="0.25">
      <c r="A198" s="112" t="s">
        <v>277</v>
      </c>
      <c r="B198" s="75"/>
      <c r="C198" s="75"/>
      <c r="D198" s="75"/>
      <c r="E198" s="75"/>
      <c r="F198" s="75"/>
      <c r="G198" s="75"/>
      <c r="H198" s="75">
        <f t="shared" si="42"/>
        <v>0</v>
      </c>
    </row>
    <row r="199" spans="1:10" ht="31.2" x14ac:dyDescent="0.25">
      <c r="A199" s="112" t="s">
        <v>278</v>
      </c>
      <c r="B199" s="75"/>
      <c r="C199" s="75"/>
      <c r="D199" s="75"/>
      <c r="E199" s="75"/>
      <c r="F199" s="75"/>
      <c r="G199" s="75"/>
      <c r="H199" s="75">
        <f t="shared" si="42"/>
        <v>0</v>
      </c>
    </row>
    <row r="200" spans="1:10" ht="46.8" x14ac:dyDescent="0.25">
      <c r="A200" s="112" t="s">
        <v>279</v>
      </c>
      <c r="B200" s="75"/>
      <c r="C200" s="75"/>
      <c r="D200" s="75"/>
      <c r="E200" s="75"/>
      <c r="F200" s="75"/>
      <c r="G200" s="75"/>
      <c r="H200" s="75">
        <f t="shared" si="42"/>
        <v>0</v>
      </c>
    </row>
    <row r="201" spans="1:10" ht="31.2" x14ac:dyDescent="0.25">
      <c r="A201" s="112" t="s">
        <v>280</v>
      </c>
      <c r="B201" s="75"/>
      <c r="C201" s="75"/>
      <c r="D201" s="75"/>
      <c r="E201" s="75"/>
      <c r="F201" s="75"/>
      <c r="G201" s="75"/>
      <c r="H201" s="75">
        <f t="shared" si="42"/>
        <v>0</v>
      </c>
    </row>
    <row r="202" spans="1:10" x14ac:dyDescent="0.25">
      <c r="A202" s="112" t="s">
        <v>281</v>
      </c>
      <c r="B202" s="75"/>
      <c r="C202" s="75"/>
      <c r="D202" s="75"/>
      <c r="E202" s="75"/>
      <c r="F202" s="75"/>
      <c r="G202" s="75"/>
      <c r="H202" s="75">
        <f t="shared" si="42"/>
        <v>0</v>
      </c>
    </row>
    <row r="203" spans="1:10" x14ac:dyDescent="0.25">
      <c r="A203" s="112" t="s">
        <v>98</v>
      </c>
      <c r="B203" s="75"/>
      <c r="C203" s="75"/>
      <c r="D203" s="75">
        <f>D195+D187</f>
        <v>0</v>
      </c>
      <c r="E203" s="75">
        <f>E195+E187</f>
        <v>0</v>
      </c>
      <c r="F203" s="75">
        <f>F195+F187</f>
        <v>0</v>
      </c>
      <c r="G203" s="75">
        <f>G195+G187</f>
        <v>0</v>
      </c>
      <c r="H203" s="75">
        <f t="shared" si="42"/>
        <v>0</v>
      </c>
    </row>
    <row r="204" spans="1:10" x14ac:dyDescent="0.25">
      <c r="A204" s="115"/>
      <c r="B204" s="101">
        <f>B203-'1'!E46</f>
        <v>-2565248</v>
      </c>
      <c r="H204" s="101">
        <f>H203-'1'!D46</f>
        <v>-2027319</v>
      </c>
    </row>
    <row r="205" spans="1:10" x14ac:dyDescent="0.25">
      <c r="A205" s="115"/>
      <c r="C205" s="121" t="s">
        <v>283</v>
      </c>
      <c r="D205" s="109"/>
      <c r="E205" s="109"/>
      <c r="F205" s="109"/>
    </row>
    <row r="206" spans="1:10" x14ac:dyDescent="0.25">
      <c r="A206" s="110" t="s">
        <v>177</v>
      </c>
      <c r="B206" s="400" t="s">
        <v>273</v>
      </c>
      <c r="C206" s="403" t="s">
        <v>252</v>
      </c>
      <c r="D206" s="403"/>
      <c r="E206" s="404" t="s">
        <v>253</v>
      </c>
      <c r="F206" s="405"/>
      <c r="G206" s="401" t="s">
        <v>254</v>
      </c>
      <c r="H206" s="400" t="s">
        <v>274</v>
      </c>
    </row>
    <row r="207" spans="1:10" ht="78" x14ac:dyDescent="0.25">
      <c r="A207" s="112" t="s">
        <v>184</v>
      </c>
      <c r="B207" s="400"/>
      <c r="C207" s="123" t="s">
        <v>257</v>
      </c>
      <c r="D207" s="114" t="s">
        <v>258</v>
      </c>
      <c r="E207" s="122" t="s">
        <v>259</v>
      </c>
      <c r="F207" s="123" t="s">
        <v>260</v>
      </c>
      <c r="G207" s="402"/>
      <c r="H207" s="400"/>
    </row>
    <row r="208" spans="1:10" ht="31.2" x14ac:dyDescent="0.25">
      <c r="A208" s="112" t="s">
        <v>275</v>
      </c>
      <c r="B208" s="75">
        <f t="shared" ref="B208:B224" si="43">H187</f>
        <v>0</v>
      </c>
      <c r="C208" s="75">
        <f>SUM(C210:C215)</f>
        <v>0</v>
      </c>
      <c r="D208" s="75">
        <f>SUM(D210:D215)</f>
        <v>0</v>
      </c>
      <c r="E208" s="75">
        <f>SUM(E210:E215)</f>
        <v>0</v>
      </c>
      <c r="F208" s="75">
        <f>SUM(F210:F215)</f>
        <v>0</v>
      </c>
      <c r="G208" s="75">
        <f>SUM(G210:G215)</f>
        <v>0</v>
      </c>
      <c r="H208" s="75">
        <f t="shared" ref="H208:H215" si="44">B208+C208+E208+F208+G208</f>
        <v>0</v>
      </c>
    </row>
    <row r="209" spans="1:9" x14ac:dyDescent="0.25">
      <c r="A209" s="112" t="s">
        <v>153</v>
      </c>
      <c r="B209" s="75">
        <f t="shared" si="43"/>
        <v>0</v>
      </c>
      <c r="C209" s="75"/>
      <c r="D209" s="75"/>
      <c r="E209" s="75"/>
      <c r="F209" s="75"/>
      <c r="G209" s="75"/>
      <c r="H209" s="75">
        <f t="shared" si="44"/>
        <v>0</v>
      </c>
    </row>
    <row r="210" spans="1:9" x14ac:dyDescent="0.25">
      <c r="A210" s="112" t="s">
        <v>276</v>
      </c>
      <c r="B210" s="75">
        <f t="shared" si="43"/>
        <v>0</v>
      </c>
      <c r="C210" s="75"/>
      <c r="D210" s="75"/>
      <c r="E210" s="75"/>
      <c r="F210" s="75"/>
      <c r="G210" s="75"/>
      <c r="H210" s="75">
        <f t="shared" si="44"/>
        <v>0</v>
      </c>
    </row>
    <row r="211" spans="1:9" x14ac:dyDescent="0.25">
      <c r="A211" s="112" t="s">
        <v>277</v>
      </c>
      <c r="B211" s="75">
        <f t="shared" si="43"/>
        <v>0</v>
      </c>
      <c r="C211" s="75"/>
      <c r="D211" s="75"/>
      <c r="E211" s="75"/>
      <c r="F211" s="75"/>
      <c r="G211" s="75"/>
      <c r="H211" s="75">
        <f t="shared" si="44"/>
        <v>0</v>
      </c>
    </row>
    <row r="212" spans="1:9" ht="31.2" x14ac:dyDescent="0.25">
      <c r="A212" s="112" t="s">
        <v>278</v>
      </c>
      <c r="B212" s="75">
        <f t="shared" si="43"/>
        <v>0</v>
      </c>
      <c r="C212" s="75"/>
      <c r="D212" s="75"/>
      <c r="E212" s="75"/>
      <c r="F212" s="75"/>
      <c r="G212" s="75"/>
      <c r="H212" s="75">
        <f t="shared" si="44"/>
        <v>0</v>
      </c>
    </row>
    <row r="213" spans="1:9" ht="46.8" x14ac:dyDescent="0.25">
      <c r="A213" s="112" t="s">
        <v>279</v>
      </c>
      <c r="B213" s="75">
        <f t="shared" si="43"/>
        <v>0</v>
      </c>
      <c r="C213" s="75"/>
      <c r="D213" s="75"/>
      <c r="E213" s="75"/>
      <c r="F213" s="75"/>
      <c r="G213" s="75"/>
      <c r="H213" s="75">
        <f t="shared" si="44"/>
        <v>0</v>
      </c>
    </row>
    <row r="214" spans="1:9" ht="31.2" x14ac:dyDescent="0.25">
      <c r="A214" s="112" t="s">
        <v>280</v>
      </c>
      <c r="B214" s="75">
        <f t="shared" si="43"/>
        <v>0</v>
      </c>
      <c r="C214" s="75"/>
      <c r="D214" s="75"/>
      <c r="E214" s="75"/>
      <c r="F214" s="75"/>
      <c r="G214" s="75"/>
      <c r="H214" s="75">
        <f t="shared" si="44"/>
        <v>0</v>
      </c>
    </row>
    <row r="215" spans="1:9" x14ac:dyDescent="0.25">
      <c r="A215" s="112" t="s">
        <v>281</v>
      </c>
      <c r="B215" s="75">
        <f t="shared" si="43"/>
        <v>0</v>
      </c>
      <c r="C215" s="75"/>
      <c r="D215" s="75"/>
      <c r="E215" s="75"/>
      <c r="F215" s="75"/>
      <c r="G215" s="75"/>
      <c r="H215" s="75">
        <f t="shared" si="44"/>
        <v>0</v>
      </c>
    </row>
    <row r="216" spans="1:9" ht="31.2" x14ac:dyDescent="0.25">
      <c r="A216" s="112" t="s">
        <v>282</v>
      </c>
      <c r="B216" s="75">
        <f t="shared" ref="B216:G216" si="45">SUM(B218:B223)</f>
        <v>0</v>
      </c>
      <c r="C216" s="75">
        <f t="shared" si="45"/>
        <v>0</v>
      </c>
      <c r="D216" s="75">
        <f t="shared" si="45"/>
        <v>0</v>
      </c>
      <c r="E216" s="75">
        <f t="shared" si="45"/>
        <v>0</v>
      </c>
      <c r="F216" s="75">
        <f t="shared" si="45"/>
        <v>0</v>
      </c>
      <c r="G216" s="75">
        <f t="shared" si="45"/>
        <v>0</v>
      </c>
      <c r="H216" s="75">
        <f t="shared" ref="H216:H224" si="46">B216+C216+D216+E216+F216+G216</f>
        <v>0</v>
      </c>
      <c r="I216" s="101">
        <f>H216-'1'!C46</f>
        <v>-6817353</v>
      </c>
    </row>
    <row r="217" spans="1:9" x14ac:dyDescent="0.25">
      <c r="A217" s="112" t="s">
        <v>153</v>
      </c>
      <c r="B217" s="75">
        <f t="shared" si="43"/>
        <v>0</v>
      </c>
      <c r="C217" s="75"/>
      <c r="D217" s="75"/>
      <c r="E217" s="75"/>
      <c r="F217" s="75"/>
      <c r="G217" s="75"/>
      <c r="H217" s="75">
        <f t="shared" si="46"/>
        <v>0</v>
      </c>
    </row>
    <row r="218" spans="1:9" x14ac:dyDescent="0.25">
      <c r="A218" s="112" t="s">
        <v>276</v>
      </c>
      <c r="B218" s="75">
        <f t="shared" si="43"/>
        <v>0</v>
      </c>
      <c r="C218" s="75"/>
      <c r="D218" s="75"/>
      <c r="E218" s="75"/>
      <c r="F218" s="75"/>
      <c r="G218" s="75"/>
      <c r="H218" s="75">
        <f t="shared" si="46"/>
        <v>0</v>
      </c>
    </row>
    <row r="219" spans="1:9" x14ac:dyDescent="0.25">
      <c r="A219" s="112" t="s">
        <v>277</v>
      </c>
      <c r="B219" s="75">
        <f t="shared" si="43"/>
        <v>0</v>
      </c>
      <c r="C219" s="75"/>
      <c r="D219" s="75"/>
      <c r="E219" s="75"/>
      <c r="F219" s="75"/>
      <c r="G219" s="75"/>
      <c r="H219" s="75">
        <f t="shared" si="46"/>
        <v>0</v>
      </c>
    </row>
    <row r="220" spans="1:9" ht="31.2" x14ac:dyDescent="0.25">
      <c r="A220" s="112" t="s">
        <v>278</v>
      </c>
      <c r="B220" s="75">
        <f t="shared" si="43"/>
        <v>0</v>
      </c>
      <c r="C220" s="75"/>
      <c r="D220" s="75"/>
      <c r="E220" s="75"/>
      <c r="F220" s="75"/>
      <c r="G220" s="75"/>
      <c r="H220" s="75">
        <f t="shared" si="46"/>
        <v>0</v>
      </c>
    </row>
    <row r="221" spans="1:9" ht="46.8" x14ac:dyDescent="0.25">
      <c r="A221" s="112" t="s">
        <v>279</v>
      </c>
      <c r="B221" s="75">
        <f t="shared" si="43"/>
        <v>0</v>
      </c>
      <c r="C221" s="75"/>
      <c r="D221" s="75"/>
      <c r="E221" s="75"/>
      <c r="F221" s="75"/>
      <c r="G221" s="75"/>
      <c r="H221" s="75">
        <f t="shared" si="46"/>
        <v>0</v>
      </c>
    </row>
    <row r="222" spans="1:9" ht="31.2" x14ac:dyDescent="0.25">
      <c r="A222" s="112" t="s">
        <v>280</v>
      </c>
      <c r="B222" s="75">
        <f t="shared" si="43"/>
        <v>0</v>
      </c>
      <c r="C222" s="75"/>
      <c r="D222" s="75"/>
      <c r="E222" s="75"/>
      <c r="F222" s="75"/>
      <c r="G222" s="75"/>
      <c r="H222" s="75">
        <f t="shared" si="46"/>
        <v>0</v>
      </c>
    </row>
    <row r="223" spans="1:9" x14ac:dyDescent="0.25">
      <c r="A223" s="112" t="s">
        <v>281</v>
      </c>
      <c r="B223" s="75">
        <f t="shared" si="43"/>
        <v>0</v>
      </c>
      <c r="C223" s="75"/>
      <c r="D223" s="75"/>
      <c r="E223" s="75"/>
      <c r="F223" s="75"/>
      <c r="G223" s="75"/>
      <c r="H223" s="75">
        <f t="shared" si="46"/>
        <v>0</v>
      </c>
    </row>
    <row r="224" spans="1:9" x14ac:dyDescent="0.25">
      <c r="A224" s="112" t="s">
        <v>98</v>
      </c>
      <c r="B224" s="75">
        <f t="shared" si="43"/>
        <v>0</v>
      </c>
      <c r="C224" s="75">
        <f>C216+C208</f>
        <v>0</v>
      </c>
      <c r="D224" s="75">
        <f>D216+D208</f>
        <v>0</v>
      </c>
      <c r="E224" s="75">
        <f>E216+E208</f>
        <v>0</v>
      </c>
      <c r="F224" s="75">
        <f>F216+F208</f>
        <v>0</v>
      </c>
      <c r="G224" s="75">
        <f>G216+G208</f>
        <v>0</v>
      </c>
      <c r="H224" s="75">
        <f t="shared" si="46"/>
        <v>0</v>
      </c>
    </row>
    <row r="225" spans="1:10" x14ac:dyDescent="0.25">
      <c r="A225" s="115"/>
      <c r="H225" s="101">
        <f>H224-'1'!C46</f>
        <v>-6817353</v>
      </c>
    </row>
    <row r="226" spans="1:10" x14ac:dyDescent="0.25">
      <c r="A226" s="104" t="s">
        <v>284</v>
      </c>
      <c r="C226" s="126"/>
      <c r="D226" s="126"/>
    </row>
    <row r="227" spans="1:10" s="109" customFormat="1" ht="45" customHeight="1" x14ac:dyDescent="0.25">
      <c r="A227" s="127" t="s">
        <v>177</v>
      </c>
      <c r="B227" s="128" t="s">
        <v>95</v>
      </c>
      <c r="C227" s="129" t="str">
        <f t="shared" ref="C227:I227" si="47">B256</f>
        <v>2019 год</v>
      </c>
      <c r="D227" s="129" t="str">
        <f t="shared" si="47"/>
        <v>2018 год</v>
      </c>
      <c r="E227" s="129" t="str">
        <f t="shared" si="47"/>
        <v>2017 год</v>
      </c>
      <c r="F227" s="129" t="str">
        <f t="shared" si="47"/>
        <v>2016 год</v>
      </c>
      <c r="G227" s="129" t="str">
        <f t="shared" si="47"/>
        <v>2015 год</v>
      </c>
      <c r="H227" s="129" t="str">
        <f t="shared" si="47"/>
        <v>2014 год</v>
      </c>
      <c r="I227" s="129" t="str">
        <f t="shared" si="47"/>
        <v>2013 год</v>
      </c>
      <c r="J227" s="101"/>
    </row>
    <row r="228" spans="1:10" ht="15" customHeight="1" x14ac:dyDescent="0.25">
      <c r="A228" s="125" t="s">
        <v>285</v>
      </c>
      <c r="B228" s="130">
        <v>5610</v>
      </c>
      <c r="C228" s="111"/>
      <c r="D228" s="111"/>
      <c r="E228" s="111"/>
      <c r="F228" s="111"/>
      <c r="G228" s="111"/>
      <c r="H228" s="111"/>
      <c r="I228" s="111"/>
    </row>
    <row r="229" spans="1:10" x14ac:dyDescent="0.25">
      <c r="A229" s="125" t="s">
        <v>286</v>
      </c>
      <c r="B229" s="130">
        <v>5620</v>
      </c>
      <c r="C229" s="44"/>
      <c r="D229" s="44"/>
      <c r="E229" s="44"/>
      <c r="F229" s="44"/>
      <c r="G229" s="44"/>
      <c r="H229" s="44"/>
      <c r="I229" s="44"/>
    </row>
    <row r="230" spans="1:10" ht="31.2" x14ac:dyDescent="0.25">
      <c r="A230" s="125" t="s">
        <v>287</v>
      </c>
      <c r="B230" s="130">
        <v>5630</v>
      </c>
      <c r="C230" s="44"/>
      <c r="D230" s="44"/>
      <c r="E230" s="44"/>
      <c r="F230" s="44"/>
      <c r="G230" s="44"/>
      <c r="H230" s="44"/>
      <c r="I230" s="44"/>
    </row>
    <row r="231" spans="1:10" x14ac:dyDescent="0.25">
      <c r="A231" s="125" t="s">
        <v>288</v>
      </c>
      <c r="B231" s="130">
        <v>5640</v>
      </c>
      <c r="C231" s="44"/>
      <c r="D231" s="44"/>
      <c r="E231" s="44"/>
      <c r="F231" s="44"/>
      <c r="G231" s="44"/>
      <c r="H231" s="44"/>
      <c r="I231" s="44"/>
    </row>
    <row r="232" spans="1:10" x14ac:dyDescent="0.25">
      <c r="A232" s="125" t="s">
        <v>289</v>
      </c>
      <c r="B232" s="130">
        <v>5650</v>
      </c>
      <c r="C232" s="44"/>
      <c r="D232" s="44"/>
      <c r="E232" s="44"/>
      <c r="F232" s="44"/>
      <c r="G232" s="44"/>
      <c r="H232" s="44"/>
      <c r="I232" s="44"/>
    </row>
    <row r="233" spans="1:10" x14ac:dyDescent="0.25">
      <c r="A233" s="125" t="s">
        <v>290</v>
      </c>
      <c r="B233" s="130">
        <v>5660</v>
      </c>
      <c r="C233" s="131"/>
      <c r="D233" s="131"/>
      <c r="E233" s="131"/>
      <c r="F233" s="131"/>
      <c r="G233" s="131"/>
      <c r="H233" s="131"/>
      <c r="I233" s="131"/>
    </row>
    <row r="234" spans="1:10" ht="31.2" x14ac:dyDescent="0.25">
      <c r="A234" s="125" t="s">
        <v>291</v>
      </c>
      <c r="B234" s="130"/>
      <c r="C234" s="132"/>
      <c r="D234" s="132"/>
      <c r="E234" s="132"/>
      <c r="F234" s="132"/>
      <c r="G234" s="132"/>
      <c r="H234" s="132"/>
      <c r="I234" s="132"/>
    </row>
    <row r="235" spans="1:10" ht="31.2" x14ac:dyDescent="0.25">
      <c r="A235" s="125" t="s">
        <v>292</v>
      </c>
      <c r="B235" s="130">
        <v>5670</v>
      </c>
      <c r="C235" s="131"/>
      <c r="D235" s="131"/>
      <c r="E235" s="131"/>
      <c r="F235" s="131"/>
      <c r="G235" s="131"/>
      <c r="H235" s="131"/>
      <c r="I235" s="131"/>
    </row>
    <row r="236" spans="1:10" x14ac:dyDescent="0.25">
      <c r="A236" s="125" t="s">
        <v>293</v>
      </c>
      <c r="B236" s="130">
        <v>5680</v>
      </c>
      <c r="C236" s="131"/>
      <c r="D236" s="131"/>
      <c r="E236" s="131"/>
      <c r="F236" s="131"/>
      <c r="G236" s="131"/>
      <c r="H236" s="131"/>
      <c r="I236" s="131"/>
    </row>
    <row r="237" spans="1:10" x14ac:dyDescent="0.25">
      <c r="A237" s="125"/>
      <c r="B237" s="130"/>
      <c r="C237" s="133"/>
      <c r="D237" s="133"/>
      <c r="E237" s="133"/>
      <c r="F237" s="133"/>
      <c r="G237" s="133"/>
      <c r="H237" s="133"/>
      <c r="I237" s="133"/>
    </row>
    <row r="238" spans="1:10" ht="31.2" x14ac:dyDescent="0.25">
      <c r="A238" s="112" t="s">
        <v>294</v>
      </c>
      <c r="B238" s="134">
        <v>5600</v>
      </c>
      <c r="C238" s="132">
        <f t="shared" ref="C238:I238" si="48">C234+C233+C235+C236</f>
        <v>0</v>
      </c>
      <c r="D238" s="132">
        <f t="shared" si="48"/>
        <v>0</v>
      </c>
      <c r="E238" s="132">
        <f t="shared" si="48"/>
        <v>0</v>
      </c>
      <c r="F238" s="132">
        <f t="shared" si="48"/>
        <v>0</v>
      </c>
      <c r="G238" s="132">
        <f t="shared" si="48"/>
        <v>0</v>
      </c>
      <c r="H238" s="132">
        <f t="shared" si="48"/>
        <v>0</v>
      </c>
      <c r="I238" s="132">
        <f t="shared" si="48"/>
        <v>0</v>
      </c>
    </row>
    <row r="239" spans="1:10" x14ac:dyDescent="0.25">
      <c r="A239" s="115"/>
      <c r="B239" s="118"/>
      <c r="C239" s="135">
        <f>'2'!C8+'2'!C10+'2'!C11+C238</f>
        <v>-18342702</v>
      </c>
      <c r="D239" s="135">
        <f>'2'!D8+'2'!D10+'2'!D11+D238</f>
        <v>-19744407</v>
      </c>
      <c r="E239" s="135">
        <f>'2'!E8+'2'!E10+'2'!E11+E238</f>
        <v>-17314516</v>
      </c>
      <c r="F239" s="135">
        <f>'2'!F8+'2'!F10+'2'!F11+F238</f>
        <v>-17554473</v>
      </c>
      <c r="G239" s="135">
        <f>'2'!G8+'2'!G10+'2'!G11+G238</f>
        <v>-15035034</v>
      </c>
      <c r="H239" s="135">
        <f>'2'!H8+'2'!H10+'2'!H11+H238</f>
        <v>-12043987</v>
      </c>
      <c r="I239" s="135">
        <f>'2'!I8+'2'!I10+'2'!I11+I238</f>
        <v>-12894116</v>
      </c>
    </row>
    <row r="240" spans="1:10" ht="16.2" x14ac:dyDescent="0.35">
      <c r="A240" s="6" t="s">
        <v>295</v>
      </c>
      <c r="B240" s="8"/>
      <c r="C240"/>
      <c r="D240"/>
      <c r="E240" s="3"/>
      <c r="F240" s="4"/>
      <c r="G240" s="1"/>
    </row>
    <row r="241" spans="1:9" s="109" customFormat="1" ht="31.2" x14ac:dyDescent="0.25">
      <c r="A241" s="71" t="s">
        <v>57</v>
      </c>
      <c r="B241" s="136" t="s">
        <v>7</v>
      </c>
      <c r="C241" s="137" t="str">
        <f>'1'!C5</f>
        <v>на 31 декабря 2019 года</v>
      </c>
      <c r="D241" s="137" t="str">
        <f>'1'!D5</f>
        <v>на 31 декабря 2018 года</v>
      </c>
      <c r="E241" s="137" t="str">
        <f>'1'!E5</f>
        <v>на 31 декабря 2017 года</v>
      </c>
      <c r="F241" s="137" t="str">
        <f>'1'!F5</f>
        <v>на 31 декабря 2016 года</v>
      </c>
      <c r="G241" s="137" t="str">
        <f>'1'!G5</f>
        <v>на 31 декабря 2015 года</v>
      </c>
      <c r="H241" s="137" t="str">
        <f>'1'!H5</f>
        <v>на 31 декабря 2014 года</v>
      </c>
      <c r="I241" s="137" t="str">
        <f>'1'!I5</f>
        <v>на 31 декабря 2013 года</v>
      </c>
    </row>
    <row r="242" spans="1:9" x14ac:dyDescent="0.25">
      <c r="A242" s="138" t="s">
        <v>296</v>
      </c>
      <c r="B242" s="94"/>
      <c r="C242" s="20">
        <f t="shared" ref="C242:I242" si="49">SUM(C244:C246)</f>
        <v>0</v>
      </c>
      <c r="D242" s="20">
        <f t="shared" si="49"/>
        <v>0</v>
      </c>
      <c r="E242" s="20">
        <f t="shared" si="49"/>
        <v>0</v>
      </c>
      <c r="F242" s="20">
        <f t="shared" si="49"/>
        <v>0</v>
      </c>
      <c r="G242" s="20">
        <f t="shared" si="49"/>
        <v>0</v>
      </c>
      <c r="H242" s="20">
        <f t="shared" si="49"/>
        <v>0</v>
      </c>
      <c r="I242" s="20">
        <f t="shared" si="49"/>
        <v>0</v>
      </c>
    </row>
    <row r="243" spans="1:9" x14ac:dyDescent="0.25">
      <c r="A243" s="138" t="s">
        <v>297</v>
      </c>
      <c r="B243" s="94"/>
      <c r="C243" s="139"/>
      <c r="D243" s="139"/>
      <c r="E243" s="139"/>
      <c r="F243" s="139"/>
      <c r="G243" s="139"/>
      <c r="H243" s="139"/>
      <c r="I243" s="139"/>
    </row>
    <row r="244" spans="1:9" x14ac:dyDescent="0.25">
      <c r="A244" s="138" t="s">
        <v>298</v>
      </c>
      <c r="B244" s="94"/>
      <c r="C244" s="20"/>
      <c r="D244" s="20"/>
      <c r="E244" s="20"/>
      <c r="F244" s="20"/>
      <c r="G244" s="20"/>
      <c r="H244" s="20"/>
      <c r="I244" s="20"/>
    </row>
    <row r="245" spans="1:9" x14ac:dyDescent="0.25">
      <c r="A245" s="138" t="s">
        <v>299</v>
      </c>
      <c r="B245" s="94"/>
      <c r="C245" s="20"/>
      <c r="D245" s="20"/>
      <c r="E245" s="20"/>
      <c r="F245" s="20"/>
      <c r="G245" s="20"/>
      <c r="H245" s="20"/>
      <c r="I245" s="20"/>
    </row>
    <row r="246" spans="1:9" x14ac:dyDescent="0.25">
      <c r="A246" s="138" t="s">
        <v>300</v>
      </c>
      <c r="B246" s="94"/>
      <c r="C246" s="20"/>
      <c r="D246" s="20"/>
      <c r="E246" s="20"/>
      <c r="F246" s="20"/>
      <c r="G246" s="20"/>
      <c r="H246" s="20"/>
      <c r="I246" s="20"/>
    </row>
    <row r="247" spans="1:9" x14ac:dyDescent="0.25">
      <c r="A247" s="138" t="s">
        <v>301</v>
      </c>
      <c r="B247" s="94"/>
      <c r="C247" s="18">
        <f t="shared" ref="C247:I247" si="50">SUM(C249:C252)</f>
        <v>0</v>
      </c>
      <c r="D247" s="18">
        <f t="shared" si="50"/>
        <v>0</v>
      </c>
      <c r="E247" s="18">
        <f t="shared" si="50"/>
        <v>0</v>
      </c>
      <c r="F247" s="18">
        <f t="shared" si="50"/>
        <v>0</v>
      </c>
      <c r="G247" s="18">
        <f t="shared" si="50"/>
        <v>0</v>
      </c>
      <c r="H247" s="18">
        <f t="shared" si="50"/>
        <v>0</v>
      </c>
      <c r="I247" s="18">
        <f t="shared" si="50"/>
        <v>0</v>
      </c>
    </row>
    <row r="248" spans="1:9" x14ac:dyDescent="0.25">
      <c r="A248" s="138" t="s">
        <v>297</v>
      </c>
      <c r="B248" s="94"/>
      <c r="C248" s="20"/>
      <c r="D248" s="20"/>
      <c r="E248" s="20"/>
      <c r="F248" s="20"/>
      <c r="G248" s="20"/>
      <c r="H248" s="20"/>
      <c r="I248" s="20"/>
    </row>
    <row r="249" spans="1:9" x14ac:dyDescent="0.25">
      <c r="A249" s="138" t="s">
        <v>299</v>
      </c>
      <c r="B249" s="94"/>
      <c r="C249" s="20"/>
      <c r="D249" s="20"/>
      <c r="E249" s="20"/>
      <c r="F249" s="20"/>
      <c r="G249" s="20"/>
      <c r="H249" s="20"/>
      <c r="I249" s="20"/>
    </row>
    <row r="250" spans="1:9" x14ac:dyDescent="0.25">
      <c r="A250" s="138" t="s">
        <v>300</v>
      </c>
      <c r="B250" s="94"/>
      <c r="C250" s="20"/>
      <c r="D250" s="20"/>
      <c r="E250" s="20"/>
      <c r="F250" s="20"/>
      <c r="G250" s="20"/>
      <c r="H250" s="20"/>
      <c r="I250" s="20"/>
    </row>
    <row r="251" spans="1:9" x14ac:dyDescent="0.25">
      <c r="A251" s="138" t="s">
        <v>302</v>
      </c>
      <c r="B251" s="94"/>
      <c r="C251" s="20"/>
      <c r="D251" s="20"/>
      <c r="E251" s="20"/>
      <c r="F251" s="20"/>
      <c r="G251" s="20"/>
      <c r="H251" s="20"/>
      <c r="I251" s="20"/>
    </row>
    <row r="252" spans="1:9" x14ac:dyDescent="0.25">
      <c r="A252" s="112" t="s">
        <v>249</v>
      </c>
      <c r="B252" s="75"/>
      <c r="C252" s="20"/>
      <c r="D252" s="20"/>
      <c r="E252" s="20"/>
      <c r="F252" s="20"/>
      <c r="G252" s="20"/>
      <c r="H252" s="20"/>
      <c r="I252" s="20"/>
    </row>
    <row r="253" spans="1:9" x14ac:dyDescent="0.25">
      <c r="A253" s="115"/>
      <c r="B253" s="118"/>
      <c r="D253" s="135"/>
      <c r="E253" s="135"/>
    </row>
    <row r="254" spans="1:9" x14ac:dyDescent="0.25">
      <c r="A254" s="115"/>
      <c r="B254" s="118"/>
      <c r="D254" s="135"/>
      <c r="E254" s="135"/>
    </row>
    <row r="255" spans="1:9" x14ac:dyDescent="0.25">
      <c r="B255" s="109" t="s">
        <v>303</v>
      </c>
      <c r="C255" s="126"/>
      <c r="D255" s="126"/>
    </row>
    <row r="256" spans="1:9" x14ac:dyDescent="0.25">
      <c r="A256" s="140" t="s">
        <v>57</v>
      </c>
      <c r="B256" s="129" t="str">
        <f>B270</f>
        <v>2019 год</v>
      </c>
      <c r="C256" s="129" t="str">
        <f t="shared" ref="C256:H256" si="51">C270</f>
        <v>2018 год</v>
      </c>
      <c r="D256" s="129" t="str">
        <f t="shared" si="51"/>
        <v>2017 год</v>
      </c>
      <c r="E256" s="129" t="str">
        <f t="shared" si="51"/>
        <v>2016 год</v>
      </c>
      <c r="F256" s="129" t="str">
        <f t="shared" si="51"/>
        <v>2015 год</v>
      </c>
      <c r="G256" s="129" t="str">
        <f t="shared" si="51"/>
        <v>2014 год</v>
      </c>
      <c r="H256" s="129" t="str">
        <f t="shared" si="51"/>
        <v>2013 год</v>
      </c>
    </row>
    <row r="257" spans="1:8" ht="31.2" x14ac:dyDescent="0.25">
      <c r="A257" s="125" t="s">
        <v>304</v>
      </c>
      <c r="B257" s="132"/>
      <c r="C257" s="132"/>
      <c r="D257" s="132"/>
      <c r="E257" s="132"/>
      <c r="F257" s="132"/>
      <c r="G257" s="132"/>
      <c r="H257" s="132"/>
    </row>
    <row r="258" spans="1:8" ht="31.2" x14ac:dyDescent="0.25">
      <c r="A258" s="125" t="s">
        <v>305</v>
      </c>
      <c r="B258" s="132"/>
      <c r="C258" s="132"/>
      <c r="D258" s="132"/>
      <c r="E258" s="132"/>
      <c r="F258" s="132"/>
      <c r="G258" s="132"/>
      <c r="H258" s="132"/>
    </row>
    <row r="259" spans="1:8" ht="31.2" x14ac:dyDescent="0.25">
      <c r="A259" s="125" t="s">
        <v>306</v>
      </c>
      <c r="B259" s="141"/>
      <c r="C259" s="141"/>
      <c r="D259" s="141"/>
      <c r="E259" s="141"/>
      <c r="F259" s="141"/>
      <c r="G259" s="141"/>
      <c r="H259" s="141"/>
    </row>
    <row r="260" spans="1:8" ht="31.2" x14ac:dyDescent="0.25">
      <c r="A260" s="125" t="s">
        <v>307</v>
      </c>
      <c r="B260" s="141"/>
      <c r="C260" s="141"/>
      <c r="D260" s="141"/>
      <c r="E260" s="141"/>
      <c r="F260" s="141"/>
      <c r="G260" s="141"/>
      <c r="H260" s="141"/>
    </row>
    <row r="261" spans="1:8" ht="31.2" x14ac:dyDescent="0.25">
      <c r="A261" s="125" t="s">
        <v>308</v>
      </c>
      <c r="B261" s="141"/>
      <c r="C261" s="141"/>
      <c r="D261" s="141"/>
      <c r="E261" s="141"/>
      <c r="F261" s="141"/>
      <c r="G261" s="141"/>
      <c r="H261" s="141"/>
    </row>
    <row r="262" spans="1:8" x14ac:dyDescent="0.25">
      <c r="A262" s="142"/>
      <c r="B262" s="143"/>
      <c r="C262" s="126"/>
      <c r="D262" s="126"/>
    </row>
    <row r="263" spans="1:8" x14ac:dyDescent="0.25">
      <c r="A263" s="142"/>
      <c r="B263" s="143"/>
      <c r="C263" s="126"/>
      <c r="D263" s="126"/>
    </row>
    <row r="264" spans="1:8" x14ac:dyDescent="0.25">
      <c r="B264" s="109" t="s">
        <v>309</v>
      </c>
    </row>
    <row r="265" spans="1:8" s="120" customFormat="1" x14ac:dyDescent="0.25">
      <c r="A265" s="54" t="s">
        <v>177</v>
      </c>
      <c r="B265" s="129" t="str">
        <f>B270</f>
        <v>2019 год</v>
      </c>
      <c r="C265" s="129" t="str">
        <f t="shared" ref="C265:H265" si="52">C270</f>
        <v>2018 год</v>
      </c>
      <c r="D265" s="129" t="str">
        <f t="shared" si="52"/>
        <v>2017 год</v>
      </c>
      <c r="E265" s="129" t="str">
        <f t="shared" si="52"/>
        <v>2016 год</v>
      </c>
      <c r="F265" s="129" t="str">
        <f t="shared" si="52"/>
        <v>2015 год</v>
      </c>
      <c r="G265" s="129" t="str">
        <f t="shared" si="52"/>
        <v>2014 год</v>
      </c>
      <c r="H265" s="129" t="str">
        <f t="shared" si="52"/>
        <v>2013 год</v>
      </c>
    </row>
    <row r="266" spans="1:8" x14ac:dyDescent="0.25">
      <c r="A266" s="112" t="s">
        <v>310</v>
      </c>
      <c r="B266" s="144"/>
      <c r="C266" s="144"/>
      <c r="D266" s="144"/>
      <c r="E266" s="144"/>
      <c r="F266" s="144"/>
      <c r="G266" s="144"/>
      <c r="H266" s="144"/>
    </row>
    <row r="267" spans="1:8" ht="31.2" x14ac:dyDescent="0.25">
      <c r="A267" s="112" t="s">
        <v>311</v>
      </c>
      <c r="B267" s="144">
        <f t="shared" ref="B267:H267" si="53">B275+B276</f>
        <v>0</v>
      </c>
      <c r="C267" s="144">
        <f t="shared" si="53"/>
        <v>0</v>
      </c>
      <c r="D267" s="144">
        <f t="shared" si="53"/>
        <v>0</v>
      </c>
      <c r="E267" s="144">
        <f t="shared" si="53"/>
        <v>0</v>
      </c>
      <c r="F267" s="144">
        <f t="shared" si="53"/>
        <v>0</v>
      </c>
      <c r="G267" s="144">
        <f t="shared" si="53"/>
        <v>0</v>
      </c>
      <c r="H267" s="144">
        <f t="shared" si="53"/>
        <v>0</v>
      </c>
    </row>
    <row r="268" spans="1:8" x14ac:dyDescent="0.25">
      <c r="A268" s="145"/>
    </row>
    <row r="269" spans="1:8" x14ac:dyDescent="0.25">
      <c r="B269" s="109" t="s">
        <v>312</v>
      </c>
    </row>
    <row r="270" spans="1:8" x14ac:dyDescent="0.25">
      <c r="A270" s="54" t="s">
        <v>177</v>
      </c>
      <c r="B270" s="129" t="str">
        <f>бс!C5</f>
        <v>2019 год</v>
      </c>
      <c r="C270" s="129" t="str">
        <f>бс!D5</f>
        <v>2018 год</v>
      </c>
      <c r="D270" s="129" t="str">
        <f>бс!E5</f>
        <v>2017 год</v>
      </c>
      <c r="E270" s="129" t="str">
        <f>бс!F5</f>
        <v>2016 год</v>
      </c>
      <c r="F270" s="129" t="str">
        <f>бс!G5</f>
        <v>2015 год</v>
      </c>
      <c r="G270" s="129" t="str">
        <f>бс!H5</f>
        <v>2014 год</v>
      </c>
      <c r="H270" s="129" t="str">
        <f>бс!I5</f>
        <v>2013 год</v>
      </c>
    </row>
    <row r="271" spans="1:8" ht="31.2" x14ac:dyDescent="0.25">
      <c r="A271" s="112" t="s">
        <v>313</v>
      </c>
      <c r="B271" s="146"/>
      <c r="C271" s="146"/>
      <c r="D271" s="146"/>
      <c r="E271" s="146"/>
      <c r="F271" s="146"/>
      <c r="G271" s="146"/>
      <c r="H271" s="146"/>
    </row>
    <row r="272" spans="1:8" ht="46.8" x14ac:dyDescent="0.25">
      <c r="A272" s="112" t="s">
        <v>314</v>
      </c>
      <c r="B272" s="146"/>
      <c r="C272" s="146"/>
      <c r="D272" s="146"/>
      <c r="E272" s="146"/>
      <c r="F272" s="146"/>
      <c r="G272" s="146"/>
      <c r="H272" s="146"/>
    </row>
    <row r="273" spans="1:8" ht="31.2" x14ac:dyDescent="0.25">
      <c r="A273" s="112" t="s">
        <v>315</v>
      </c>
      <c r="B273" s="144"/>
      <c r="C273" s="144"/>
      <c r="D273" s="144"/>
      <c r="E273" s="144"/>
      <c r="F273" s="144"/>
      <c r="G273" s="144"/>
      <c r="H273" s="144"/>
    </row>
    <row r="274" spans="1:8" ht="31.2" x14ac:dyDescent="0.25">
      <c r="A274" s="112" t="s">
        <v>316</v>
      </c>
      <c r="B274" s="144"/>
      <c r="C274" s="144"/>
      <c r="D274" s="144"/>
      <c r="E274" s="144"/>
      <c r="F274" s="144"/>
      <c r="G274" s="144"/>
      <c r="H274" s="144"/>
    </row>
    <row r="275" spans="1:8" x14ac:dyDescent="0.25">
      <c r="A275" s="112" t="s">
        <v>317</v>
      </c>
      <c r="B275" s="144"/>
      <c r="C275" s="144"/>
      <c r="D275" s="144"/>
      <c r="E275" s="144"/>
      <c r="F275" s="144"/>
      <c r="G275" s="144"/>
      <c r="H275" s="144"/>
    </row>
    <row r="276" spans="1:8" x14ac:dyDescent="0.25">
      <c r="A276" s="112" t="s">
        <v>318</v>
      </c>
      <c r="B276" s="144"/>
      <c r="C276" s="144"/>
      <c r="D276" s="144"/>
      <c r="E276" s="144"/>
      <c r="F276" s="144"/>
      <c r="G276" s="144"/>
      <c r="H276" s="144"/>
    </row>
  </sheetData>
  <mergeCells count="79">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 ref="H206:H207"/>
    <mergeCell ref="B206:B207"/>
    <mergeCell ref="C206:D206"/>
    <mergeCell ref="E206:F206"/>
    <mergeCell ref="G206:G207"/>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E54:F54"/>
    <mergeCell ref="G20:G21"/>
    <mergeCell ref="E35:F35"/>
    <mergeCell ref="D100:D101"/>
    <mergeCell ref="E80:E81"/>
    <mergeCell ref="E100:E101"/>
    <mergeCell ref="F80:H80"/>
    <mergeCell ref="F100:H100"/>
    <mergeCell ref="I80:J80"/>
    <mergeCell ref="I100:J100"/>
    <mergeCell ref="J121:K121"/>
    <mergeCell ref="K80:L80"/>
    <mergeCell ref="K100:L100"/>
    <mergeCell ref="H7:H8"/>
    <mergeCell ref="I7:J7"/>
    <mergeCell ref="J35:K35"/>
    <mergeCell ref="H35:I35"/>
    <mergeCell ref="I20:J20"/>
    <mergeCell ref="H20:H21"/>
    <mergeCell ref="B7:C7"/>
    <mergeCell ref="D7:D8"/>
    <mergeCell ref="B35:C35"/>
    <mergeCell ref="B20:C20"/>
    <mergeCell ref="E7:F7"/>
    <mergeCell ref="E20:F20"/>
    <mergeCell ref="D35:D36"/>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s>
  <hyperlinks>
    <hyperlink ref="A1" location="'0'!A1" display="меню" xr:uid="{00000000-0004-0000-0400-000000000000}"/>
  </hyperlinks>
  <pageMargins left="0.75" right="0.75" top="0.48000000000000004" bottom="0.51000000000000023" header="0.5" footer="0.5"/>
  <pageSetup paperSize="9" scale="11" orientation="portrait" horizontalDpi="429496729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5"/>
    <pageSetUpPr fitToPage="1"/>
  </sheetPr>
  <dimension ref="A1:I54"/>
  <sheetViews>
    <sheetView topLeftCell="A15" workbookViewId="0">
      <selection activeCell="C37" sqref="C37"/>
    </sheetView>
  </sheetViews>
  <sheetFormatPr defaultColWidth="9.109375" defaultRowHeight="15.6" x14ac:dyDescent="0.3"/>
  <cols>
    <col min="1" max="1" width="60.88671875" style="1" customWidth="1"/>
    <col min="2" max="2" width="10.88671875" style="2" customWidth="1"/>
    <col min="3" max="4" width="17.6640625" customWidth="1"/>
    <col min="5" max="5" width="17.6640625" style="3" customWidth="1"/>
    <col min="6" max="6" width="17.6640625" style="4" customWidth="1"/>
    <col min="7" max="7" width="17.6640625" style="2" customWidth="1"/>
    <col min="8" max="8" width="17.6640625" style="1" customWidth="1"/>
    <col min="9" max="9" width="17.6640625" style="5" customWidth="1"/>
    <col min="10" max="10" width="10.33203125" style="1" bestFit="1" customWidth="1"/>
    <col min="11" max="11" width="11.44140625" style="1" bestFit="1" customWidth="1"/>
    <col min="12" max="16384" width="9.109375" style="1"/>
  </cols>
  <sheetData>
    <row r="1" spans="1:9" x14ac:dyDescent="0.3">
      <c r="B1" s="1"/>
      <c r="G1" s="1"/>
    </row>
    <row r="2" spans="1:9" x14ac:dyDescent="0.3">
      <c r="A2" s="6" t="str">
        <f>'1'!A2</f>
        <v xml:space="preserve">ПАО "ДОРОГОБУЖ" </v>
      </c>
      <c r="B2" s="7"/>
      <c r="G2" s="1"/>
    </row>
    <row r="3" spans="1:9" ht="16.2" x14ac:dyDescent="0.35">
      <c r="A3" s="6" t="s">
        <v>319</v>
      </c>
      <c r="B3" s="8" t="str">
        <f>'1'!B3</f>
        <v xml:space="preserve">2013-2019 годы </v>
      </c>
      <c r="F3" s="9"/>
      <c r="G3" s="1"/>
    </row>
    <row r="4" spans="1:9" ht="16.2" x14ac:dyDescent="0.35">
      <c r="A4" s="6" t="s">
        <v>4</v>
      </c>
      <c r="B4" s="8" t="s">
        <v>5</v>
      </c>
      <c r="G4" s="1"/>
    </row>
    <row r="5" spans="1:9" s="6" customFormat="1" ht="31.2" x14ac:dyDescent="0.3">
      <c r="A5" s="10" t="s">
        <v>6</v>
      </c>
      <c r="B5" s="11" t="s">
        <v>7</v>
      </c>
      <c r="C5" s="12" t="s">
        <v>320</v>
      </c>
      <c r="D5" s="12" t="s">
        <v>321</v>
      </c>
      <c r="E5" s="12" t="s">
        <v>322</v>
      </c>
      <c r="F5" s="12" t="s">
        <v>323</v>
      </c>
      <c r="G5" s="12" t="s">
        <v>324</v>
      </c>
      <c r="H5" s="12" t="s">
        <v>325</v>
      </c>
      <c r="I5" s="12" t="s">
        <v>326</v>
      </c>
    </row>
    <row r="6" spans="1:9" s="6" customFormat="1" x14ac:dyDescent="0.3">
      <c r="A6" s="13">
        <v>1</v>
      </c>
      <c r="B6" s="22">
        <v>2</v>
      </c>
      <c r="C6" s="147">
        <v>3</v>
      </c>
      <c r="D6" s="147">
        <v>4</v>
      </c>
      <c r="E6" s="147">
        <v>5</v>
      </c>
      <c r="F6" s="147">
        <v>6</v>
      </c>
      <c r="G6" s="147">
        <v>7</v>
      </c>
      <c r="H6" s="147">
        <v>8</v>
      </c>
      <c r="I6" s="147">
        <v>9</v>
      </c>
    </row>
    <row r="7" spans="1:9" x14ac:dyDescent="0.3">
      <c r="A7" s="16" t="s">
        <v>16</v>
      </c>
      <c r="B7" s="17"/>
      <c r="C7" s="148"/>
      <c r="D7" s="148"/>
      <c r="E7" s="148"/>
      <c r="F7" s="148"/>
      <c r="G7" s="148"/>
      <c r="H7" s="148"/>
      <c r="I7" s="148"/>
    </row>
    <row r="8" spans="1:9" x14ac:dyDescent="0.3">
      <c r="A8" s="16" t="s">
        <v>17</v>
      </c>
      <c r="B8" s="19">
        <v>1110</v>
      </c>
      <c r="C8" s="149">
        <f>AVERAGE('1'!C8:D8)</f>
        <v>0</v>
      </c>
      <c r="D8" s="149">
        <f>AVERAGE('1'!D8:E8)</f>
        <v>0</v>
      </c>
      <c r="E8" s="149">
        <f>AVERAGE('1'!E8:F8)</f>
        <v>0</v>
      </c>
      <c r="F8" s="149">
        <f>AVERAGE('1'!F8:G8)</f>
        <v>0</v>
      </c>
      <c r="G8" s="149">
        <f>AVERAGE('1'!G8:H8)</f>
        <v>0</v>
      </c>
      <c r="H8" s="149">
        <f>AVERAGE('1'!H8:I8)</f>
        <v>37</v>
      </c>
      <c r="I8" s="149">
        <f>AVERAGE('1'!I8:J8)</f>
        <v>157.5</v>
      </c>
    </row>
    <row r="9" spans="1:9" x14ac:dyDescent="0.3">
      <c r="A9" s="16" t="s">
        <v>18</v>
      </c>
      <c r="B9" s="19">
        <v>1120</v>
      </c>
      <c r="C9" s="149">
        <f>AVERAGE('1'!C9:D9)</f>
        <v>0</v>
      </c>
      <c r="D9" s="149">
        <f>AVERAGE('1'!D9:E9)</f>
        <v>0</v>
      </c>
      <c r="E9" s="149">
        <f>AVERAGE('1'!E9:F9)</f>
        <v>0</v>
      </c>
      <c r="F9" s="149">
        <f>AVERAGE('1'!F9:G9)</f>
        <v>0</v>
      </c>
      <c r="G9" s="149">
        <f>AVERAGE('1'!G9:H9)</f>
        <v>0</v>
      </c>
      <c r="H9" s="149">
        <f>AVERAGE('1'!H9:I9)</f>
        <v>0</v>
      </c>
      <c r="I9" s="149">
        <f>AVERAGE('1'!I9:J9)</f>
        <v>0</v>
      </c>
    </row>
    <row r="10" spans="1:9" x14ac:dyDescent="0.3">
      <c r="A10" s="16" t="s">
        <v>19</v>
      </c>
      <c r="B10" s="19">
        <v>1130</v>
      </c>
      <c r="C10" s="149">
        <f>AVERAGE('1'!C10:D10)</f>
        <v>5918929.5</v>
      </c>
      <c r="D10" s="149">
        <f>AVERAGE('1'!D10:E10)</f>
        <v>3864455.5</v>
      </c>
      <c r="E10" s="149">
        <f>AVERAGE('1'!E10:F10)</f>
        <v>3918029</v>
      </c>
      <c r="F10" s="149">
        <f>AVERAGE('1'!F10:G10)</f>
        <v>3887179</v>
      </c>
      <c r="G10" s="149">
        <f>AVERAGE('1'!G10:H10)</f>
        <v>3888485</v>
      </c>
      <c r="H10" s="149">
        <f>AVERAGE('1'!H10:I10)</f>
        <v>3757944.5</v>
      </c>
      <c r="I10" s="149">
        <f>AVERAGE('1'!I10:J10)</f>
        <v>3596080</v>
      </c>
    </row>
    <row r="11" spans="1:9" ht="18" customHeight="1" x14ac:dyDescent="0.3">
      <c r="A11" s="16" t="s">
        <v>20</v>
      </c>
      <c r="B11" s="19">
        <v>1140</v>
      </c>
      <c r="C11" s="149">
        <f>AVERAGE('1'!C11:D11)</f>
        <v>0</v>
      </c>
      <c r="D11" s="149">
        <f>AVERAGE('1'!D11:E11)</f>
        <v>0</v>
      </c>
      <c r="E11" s="149">
        <f>AVERAGE('1'!E11:F11)</f>
        <v>0</v>
      </c>
      <c r="F11" s="149">
        <f>AVERAGE('1'!F11:G11)</f>
        <v>0</v>
      </c>
      <c r="G11" s="149">
        <f>AVERAGE('1'!G11:H11)</f>
        <v>0</v>
      </c>
      <c r="H11" s="149">
        <f>AVERAGE('1'!H11:I11)</f>
        <v>0</v>
      </c>
      <c r="I11" s="149">
        <f>AVERAGE('1'!I11:J11)</f>
        <v>0</v>
      </c>
    </row>
    <row r="12" spans="1:9" x14ac:dyDescent="0.3">
      <c r="A12" s="16" t="s">
        <v>21</v>
      </c>
      <c r="B12" s="19">
        <v>1150</v>
      </c>
      <c r="C12" s="149">
        <f>AVERAGE('1'!C12:D12)</f>
        <v>9265974</v>
      </c>
      <c r="D12" s="149">
        <f>AVERAGE('1'!D12:E12)</f>
        <v>11511022</v>
      </c>
      <c r="E12" s="149">
        <f>AVERAGE('1'!E12:F12)</f>
        <v>9597759.5</v>
      </c>
      <c r="F12" s="149">
        <f>AVERAGE('1'!F12:G12)</f>
        <v>5522664.5</v>
      </c>
      <c r="G12" s="149">
        <f>AVERAGE('1'!G12:H12)</f>
        <v>6791468.5</v>
      </c>
      <c r="H12" s="149">
        <f>AVERAGE('1'!H12:I12)</f>
        <v>9730324</v>
      </c>
      <c r="I12" s="149">
        <f>AVERAGE('1'!I12:J12)</f>
        <v>13721840.5</v>
      </c>
    </row>
    <row r="13" spans="1:9" x14ac:dyDescent="0.3">
      <c r="A13" s="16" t="s">
        <v>22</v>
      </c>
      <c r="B13" s="19">
        <v>1160</v>
      </c>
      <c r="C13" s="149">
        <f>AVERAGE('1'!C13:D13)</f>
        <v>162762.5</v>
      </c>
      <c r="D13" s="149">
        <f>AVERAGE('1'!D13:E13)</f>
        <v>159370</v>
      </c>
      <c r="E13" s="149">
        <f>AVERAGE('1'!E13:F13)</f>
        <v>160605</v>
      </c>
      <c r="F13" s="149">
        <f>AVERAGE('1'!F13:G13)</f>
        <v>157177.5</v>
      </c>
      <c r="G13" s="149">
        <f>AVERAGE('1'!G13:H13)</f>
        <v>146799.5</v>
      </c>
      <c r="H13" s="149">
        <f>AVERAGE('1'!H13:I13)</f>
        <v>103769</v>
      </c>
      <c r="I13" s="149">
        <f>AVERAGE('1'!I13:J13)</f>
        <v>60585.5</v>
      </c>
    </row>
    <row r="14" spans="1:9" x14ac:dyDescent="0.3">
      <c r="A14" s="16" t="s">
        <v>23</v>
      </c>
      <c r="B14" s="19">
        <v>1170</v>
      </c>
      <c r="C14" s="149">
        <f>AVERAGE('1'!C14:D14)</f>
        <v>1714408</v>
      </c>
      <c r="D14" s="149">
        <f>AVERAGE('1'!D14:E14)</f>
        <v>1307835</v>
      </c>
      <c r="E14" s="149">
        <f>AVERAGE('1'!E14:F14)</f>
        <v>467071.5</v>
      </c>
      <c r="F14" s="149">
        <f>AVERAGE('1'!F14:G14)</f>
        <v>235754.5</v>
      </c>
      <c r="G14" s="149">
        <f>AVERAGE('1'!G14:H14)</f>
        <v>43113.5</v>
      </c>
      <c r="H14" s="149">
        <f>AVERAGE('1'!H14:I14)</f>
        <v>71671.5</v>
      </c>
      <c r="I14" s="149">
        <f>AVERAGE('1'!I14:J14)</f>
        <v>81726</v>
      </c>
    </row>
    <row r="15" spans="1:9" s="6" customFormat="1" x14ac:dyDescent="0.3">
      <c r="A15" s="21" t="s">
        <v>24</v>
      </c>
      <c r="B15" s="22">
        <v>1100</v>
      </c>
      <c r="C15" s="150">
        <f>SUM(C8:C14)</f>
        <v>17062074</v>
      </c>
      <c r="D15" s="150">
        <f t="shared" ref="D15:I15" si="0">SUM(D8:D14)</f>
        <v>16842682.5</v>
      </c>
      <c r="E15" s="150">
        <f t="shared" si="0"/>
        <v>14143465</v>
      </c>
      <c r="F15" s="150">
        <f t="shared" si="0"/>
        <v>9802775.5</v>
      </c>
      <c r="G15" s="150">
        <f t="shared" si="0"/>
        <v>10869866.5</v>
      </c>
      <c r="H15" s="150">
        <f t="shared" si="0"/>
        <v>13663746</v>
      </c>
      <c r="I15" s="150">
        <f t="shared" si="0"/>
        <v>17460389.5</v>
      </c>
    </row>
    <row r="16" spans="1:9" x14ac:dyDescent="0.3">
      <c r="A16" s="16" t="s">
        <v>25</v>
      </c>
      <c r="B16" s="17"/>
      <c r="C16" s="148"/>
      <c r="D16" s="148"/>
      <c r="E16" s="148"/>
      <c r="F16" s="148"/>
      <c r="G16" s="148"/>
      <c r="H16" s="148"/>
      <c r="I16" s="148"/>
    </row>
    <row r="17" spans="1:9" x14ac:dyDescent="0.3">
      <c r="A17" s="16" t="s">
        <v>26</v>
      </c>
      <c r="B17" s="19">
        <v>1210</v>
      </c>
      <c r="C17" s="149">
        <f>AVERAGE('1'!C17:D17)</f>
        <v>2906666.5</v>
      </c>
      <c r="D17" s="149">
        <f>AVERAGE('1'!D17:E17)</f>
        <v>2524122</v>
      </c>
      <c r="E17" s="149">
        <f>AVERAGE('1'!E17:F17)</f>
        <v>2388830</v>
      </c>
      <c r="F17" s="149">
        <f>AVERAGE('1'!F17:G17)</f>
        <v>2077538.5</v>
      </c>
      <c r="G17" s="149">
        <f>AVERAGE('1'!G17:H17)</f>
        <v>1819431</v>
      </c>
      <c r="H17" s="149">
        <f>AVERAGE('1'!H17:I17)</f>
        <v>1586497</v>
      </c>
      <c r="I17" s="149">
        <f>AVERAGE('1'!I17:J17)</f>
        <v>1658479.5</v>
      </c>
    </row>
    <row r="18" spans="1:9" ht="31.2" x14ac:dyDescent="0.3">
      <c r="A18" s="16" t="s">
        <v>27</v>
      </c>
      <c r="B18" s="19">
        <v>1220</v>
      </c>
      <c r="C18" s="149">
        <f>AVERAGE('1'!C18:D18)</f>
        <v>24808.5</v>
      </c>
      <c r="D18" s="149">
        <f>AVERAGE('1'!D18:E18)</f>
        <v>283046.5</v>
      </c>
      <c r="E18" s="149">
        <f>AVERAGE('1'!E18:F18)</f>
        <v>367992</v>
      </c>
      <c r="F18" s="149">
        <f>AVERAGE('1'!F18:G18)</f>
        <v>309569.5</v>
      </c>
      <c r="G18" s="149">
        <f>AVERAGE('1'!G18:H18)</f>
        <v>322904.5</v>
      </c>
      <c r="H18" s="149">
        <f>AVERAGE('1'!H18:I18)</f>
        <v>204800.5</v>
      </c>
      <c r="I18" s="149">
        <f>AVERAGE('1'!I18:J18)</f>
        <v>120017</v>
      </c>
    </row>
    <row r="19" spans="1:9" x14ac:dyDescent="0.3">
      <c r="A19" s="16" t="s">
        <v>28</v>
      </c>
      <c r="B19" s="19">
        <v>1230</v>
      </c>
      <c r="C19" s="149">
        <f>AVERAGE('1'!C19:D19)</f>
        <v>2900695.5</v>
      </c>
      <c r="D19" s="149">
        <f>AVERAGE('1'!D19:E19)</f>
        <v>3169324</v>
      </c>
      <c r="E19" s="149">
        <f>AVERAGE('1'!E19:F19)</f>
        <v>3473442</v>
      </c>
      <c r="F19" s="149">
        <f>AVERAGE('1'!F19:G19)</f>
        <v>4543106</v>
      </c>
      <c r="G19" s="149">
        <f>AVERAGE('1'!G19:H19)</f>
        <v>5464375</v>
      </c>
      <c r="H19" s="149">
        <f>AVERAGE('1'!H19:I19)</f>
        <v>4973655</v>
      </c>
      <c r="I19" s="149">
        <f>AVERAGE('1'!I19:J19)</f>
        <v>4498850</v>
      </c>
    </row>
    <row r="20" spans="1:9" x14ac:dyDescent="0.3">
      <c r="A20" s="25" t="s">
        <v>29</v>
      </c>
      <c r="B20" s="19">
        <v>1231</v>
      </c>
      <c r="C20" s="149">
        <f>AVERAGE('1'!C20:D20)</f>
        <v>0</v>
      </c>
      <c r="D20" s="149">
        <f>AVERAGE('1'!D20:E20)</f>
        <v>50684.5</v>
      </c>
      <c r="E20" s="149">
        <f>AVERAGE('1'!E20:F20)</f>
        <v>50684.5</v>
      </c>
      <c r="F20" s="149">
        <f>AVERAGE('1'!F20:G20)</f>
        <v>103362</v>
      </c>
      <c r="G20" s="149">
        <f>AVERAGE('1'!G20:H20)</f>
        <v>251059.5</v>
      </c>
      <c r="H20" s="149">
        <f>AVERAGE('1'!H20:I20)</f>
        <v>1038160.5</v>
      </c>
      <c r="I20" s="149">
        <f>AVERAGE('1'!I20:J20)</f>
        <v>2250700</v>
      </c>
    </row>
    <row r="21" spans="1:9" x14ac:dyDescent="0.3">
      <c r="A21" s="25" t="s">
        <v>30</v>
      </c>
      <c r="B21" s="19">
        <v>1232</v>
      </c>
      <c r="C21" s="149">
        <f>AVERAGE('1'!C21:D21)</f>
        <v>2900695.5</v>
      </c>
      <c r="D21" s="149">
        <f>AVERAGE('1'!D21:E21)</f>
        <v>3118639.5</v>
      </c>
      <c r="E21" s="149">
        <f>AVERAGE('1'!E21:F21)</f>
        <v>3422757.5</v>
      </c>
      <c r="F21" s="149">
        <f>AVERAGE('1'!F21:G21)</f>
        <v>4439744</v>
      </c>
      <c r="G21" s="149">
        <f>AVERAGE('1'!G21:H21)</f>
        <v>5213315.5</v>
      </c>
      <c r="H21" s="149">
        <f>AVERAGE('1'!H21:I21)</f>
        <v>3935494.5</v>
      </c>
      <c r="I21" s="149">
        <f>AVERAGE('1'!I21:J21)</f>
        <v>2248150</v>
      </c>
    </row>
    <row r="22" spans="1:9" ht="31.2" x14ac:dyDescent="0.3">
      <c r="A22" s="16" t="s">
        <v>31</v>
      </c>
      <c r="B22" s="19">
        <v>1240</v>
      </c>
      <c r="C22" s="149">
        <f>AVERAGE('1'!C22:D22)</f>
        <v>22810806</v>
      </c>
      <c r="D22" s="149">
        <f>AVERAGE('1'!D22:E22)</f>
        <v>24773744.5</v>
      </c>
      <c r="E22" s="149">
        <f>AVERAGE('1'!E22:F22)</f>
        <v>30412640.5</v>
      </c>
      <c r="F22" s="149">
        <f>AVERAGE('1'!F22:G22)</f>
        <v>31760161.5</v>
      </c>
      <c r="G22" s="149">
        <f>AVERAGE('1'!G22:H22)</f>
        <v>24442883.5</v>
      </c>
      <c r="H22" s="149">
        <f>AVERAGE('1'!H22:I22)</f>
        <v>17246720</v>
      </c>
      <c r="I22" s="149">
        <f>AVERAGE('1'!I22:J22)</f>
        <v>7069694</v>
      </c>
    </row>
    <row r="23" spans="1:9" x14ac:dyDescent="0.3">
      <c r="A23" s="16" t="s">
        <v>32</v>
      </c>
      <c r="B23" s="19">
        <v>1250</v>
      </c>
      <c r="C23" s="149">
        <f>AVERAGE('1'!C23:D23)</f>
        <v>2202480</v>
      </c>
      <c r="D23" s="149">
        <f>AVERAGE('1'!D23:E23)</f>
        <v>2064377.5</v>
      </c>
      <c r="E23" s="149">
        <f>AVERAGE('1'!E23:F23)</f>
        <v>3834733.5</v>
      </c>
      <c r="F23" s="149">
        <f>AVERAGE('1'!F23:G23)</f>
        <v>5601657</v>
      </c>
      <c r="G23" s="149">
        <f>AVERAGE('1'!G23:H23)</f>
        <v>5191600.5</v>
      </c>
      <c r="H23" s="149">
        <f>AVERAGE('1'!H23:I23)</f>
        <v>2118984</v>
      </c>
      <c r="I23" s="149">
        <f>AVERAGE('1'!I23:J23)</f>
        <v>670529.5</v>
      </c>
    </row>
    <row r="24" spans="1:9" x14ac:dyDescent="0.3">
      <c r="A24" s="16" t="s">
        <v>33</v>
      </c>
      <c r="B24" s="19">
        <v>1260</v>
      </c>
      <c r="C24" s="149">
        <f>AVERAGE('1'!C24:D24)</f>
        <v>471537.5</v>
      </c>
      <c r="D24" s="149">
        <f>AVERAGE('1'!D24:E24)</f>
        <v>184538.5</v>
      </c>
      <c r="E24" s="149">
        <f>AVERAGE('1'!E24:F24)</f>
        <v>169257.5</v>
      </c>
      <c r="F24" s="149">
        <f>AVERAGE('1'!F24:G24)</f>
        <v>265941</v>
      </c>
      <c r="G24" s="149">
        <f>AVERAGE('1'!G24:H24)</f>
        <v>234944</v>
      </c>
      <c r="H24" s="149">
        <f>AVERAGE('1'!H24:I24)</f>
        <v>110492</v>
      </c>
      <c r="I24" s="149">
        <f>AVERAGE('1'!I24:J24)</f>
        <v>90916</v>
      </c>
    </row>
    <row r="25" spans="1:9" s="6" customFormat="1" x14ac:dyDescent="0.3">
      <c r="A25" s="21" t="s">
        <v>34</v>
      </c>
      <c r="B25" s="22">
        <v>1200</v>
      </c>
      <c r="C25" s="150">
        <f t="shared" ref="C25:I25" si="1">SUM(C17:C19,C22,C23,C24)</f>
        <v>31316994</v>
      </c>
      <c r="D25" s="150">
        <f t="shared" si="1"/>
        <v>32999153</v>
      </c>
      <c r="E25" s="150">
        <f t="shared" si="1"/>
        <v>40646895.5</v>
      </c>
      <c r="F25" s="150">
        <f t="shared" si="1"/>
        <v>44557973.5</v>
      </c>
      <c r="G25" s="150">
        <f t="shared" si="1"/>
        <v>37476138.5</v>
      </c>
      <c r="H25" s="150">
        <f t="shared" si="1"/>
        <v>26241148.5</v>
      </c>
      <c r="I25" s="150">
        <f t="shared" si="1"/>
        <v>14108486</v>
      </c>
    </row>
    <row r="26" spans="1:9" s="6" customFormat="1" x14ac:dyDescent="0.3">
      <c r="A26" s="21" t="s">
        <v>35</v>
      </c>
      <c r="B26" s="22">
        <v>1600</v>
      </c>
      <c r="C26" s="150">
        <f t="shared" ref="C26:I26" si="2">C15+C25</f>
        <v>48379068</v>
      </c>
      <c r="D26" s="150">
        <f t="shared" si="2"/>
        <v>49841835.5</v>
      </c>
      <c r="E26" s="150">
        <f t="shared" si="2"/>
        <v>54790360.5</v>
      </c>
      <c r="F26" s="150">
        <f t="shared" si="2"/>
        <v>54360749</v>
      </c>
      <c r="G26" s="150">
        <f t="shared" si="2"/>
        <v>48346005</v>
      </c>
      <c r="H26" s="150">
        <f t="shared" si="2"/>
        <v>39904894.5</v>
      </c>
      <c r="I26" s="150">
        <f t="shared" si="2"/>
        <v>31568875.5</v>
      </c>
    </row>
    <row r="27" spans="1:9" x14ac:dyDescent="0.3">
      <c r="A27" s="26"/>
      <c r="B27" s="26"/>
      <c r="C27" s="151"/>
      <c r="D27" s="151"/>
      <c r="E27" s="151"/>
      <c r="F27" s="151"/>
      <c r="G27" s="151"/>
      <c r="H27" s="151"/>
      <c r="I27" s="151"/>
    </row>
    <row r="28" spans="1:9" s="152" customFormat="1" ht="31.2" x14ac:dyDescent="0.25">
      <c r="A28" s="10" t="s">
        <v>36</v>
      </c>
      <c r="B28" s="10" t="s">
        <v>7</v>
      </c>
      <c r="C28" s="153" t="str">
        <f t="shared" ref="C28:I28" si="3">C5</f>
        <v>2019 год</v>
      </c>
      <c r="D28" s="153" t="str">
        <f t="shared" si="3"/>
        <v>2018 год</v>
      </c>
      <c r="E28" s="153" t="str">
        <f t="shared" si="3"/>
        <v>2017 год</v>
      </c>
      <c r="F28" s="153" t="str">
        <f t="shared" si="3"/>
        <v>2016 год</v>
      </c>
      <c r="G28" s="153" t="str">
        <f t="shared" si="3"/>
        <v>2015 год</v>
      </c>
      <c r="H28" s="153" t="str">
        <f t="shared" si="3"/>
        <v>2014 год</v>
      </c>
      <c r="I28" s="153" t="str">
        <f t="shared" si="3"/>
        <v>2013 год</v>
      </c>
    </row>
    <row r="29" spans="1:9" s="152" customFormat="1" x14ac:dyDescent="0.25">
      <c r="A29" s="13">
        <f>A6</f>
        <v>1</v>
      </c>
      <c r="B29" s="13">
        <f t="shared" ref="B29:I29" si="4">B6</f>
        <v>2</v>
      </c>
      <c r="C29" s="154">
        <f t="shared" si="4"/>
        <v>3</v>
      </c>
      <c r="D29" s="154">
        <f t="shared" si="4"/>
        <v>4</v>
      </c>
      <c r="E29" s="154">
        <f t="shared" si="4"/>
        <v>5</v>
      </c>
      <c r="F29" s="154">
        <f t="shared" si="4"/>
        <v>6</v>
      </c>
      <c r="G29" s="154">
        <f t="shared" si="4"/>
        <v>7</v>
      </c>
      <c r="H29" s="154">
        <f t="shared" si="4"/>
        <v>8</v>
      </c>
      <c r="I29" s="154">
        <f t="shared" si="4"/>
        <v>9</v>
      </c>
    </row>
    <row r="30" spans="1:9" x14ac:dyDescent="0.3">
      <c r="A30" s="16" t="s">
        <v>37</v>
      </c>
      <c r="B30" s="17"/>
      <c r="C30" s="148"/>
      <c r="D30" s="148"/>
      <c r="E30" s="148"/>
      <c r="F30" s="148"/>
      <c r="G30" s="148"/>
      <c r="H30" s="148"/>
      <c r="I30" s="148"/>
    </row>
    <row r="31" spans="1:9" ht="31.2" x14ac:dyDescent="0.3">
      <c r="A31" s="16" t="s">
        <v>38</v>
      </c>
      <c r="B31" s="19">
        <v>1310</v>
      </c>
      <c r="C31" s="149">
        <f>AVERAGE('1'!C31:D31)</f>
        <v>218860</v>
      </c>
      <c r="D31" s="149">
        <f>AVERAGE('1'!D31:E31)</f>
        <v>218860</v>
      </c>
      <c r="E31" s="149">
        <f>AVERAGE('1'!E31:F31)</f>
        <v>218860</v>
      </c>
      <c r="F31" s="149">
        <f>AVERAGE('1'!F31:G31)</f>
        <v>218860</v>
      </c>
      <c r="G31" s="149">
        <f>AVERAGE('1'!G31:H31)</f>
        <v>218860</v>
      </c>
      <c r="H31" s="149">
        <f>AVERAGE('1'!H31:I31)</f>
        <v>218860</v>
      </c>
      <c r="I31" s="149">
        <f>AVERAGE('1'!I31:J31)</f>
        <v>218860</v>
      </c>
    </row>
    <row r="32" spans="1:9" ht="15" customHeight="1" x14ac:dyDescent="0.3">
      <c r="A32" s="16" t="s">
        <v>39</v>
      </c>
      <c r="B32" s="19">
        <v>1320</v>
      </c>
      <c r="C32" s="149">
        <f>AVERAGE('1'!C32:D32)</f>
        <v>0</v>
      </c>
      <c r="D32" s="149">
        <f>AVERAGE('1'!D32:E32)</f>
        <v>-48323.5</v>
      </c>
      <c r="E32" s="149">
        <f>AVERAGE('1'!E32:F32)</f>
        <v>-48323.5</v>
      </c>
      <c r="F32" s="149">
        <f>AVERAGE('1'!F32:G32)</f>
        <v>-10423.5</v>
      </c>
      <c r="G32" s="149">
        <f>AVERAGE('1'!G32:H32)</f>
        <v>-10423.5</v>
      </c>
      <c r="H32" s="149">
        <f>AVERAGE('1'!H32:I32)</f>
        <v>0</v>
      </c>
      <c r="I32" s="149">
        <f>AVERAGE('1'!I32:J32)</f>
        <v>0</v>
      </c>
    </row>
    <row r="33" spans="1:9" x14ac:dyDescent="0.3">
      <c r="A33" s="16" t="s">
        <v>40</v>
      </c>
      <c r="B33" s="19">
        <v>1340</v>
      </c>
      <c r="C33" s="149">
        <f>AVERAGE('1'!C33:D33)</f>
        <v>418064.5</v>
      </c>
      <c r="D33" s="149">
        <f>AVERAGE('1'!D33:E33)</f>
        <v>419773</v>
      </c>
      <c r="E33" s="149">
        <f>AVERAGE('1'!E33:F33)</f>
        <v>452738.5</v>
      </c>
      <c r="F33" s="149">
        <f>AVERAGE('1'!F33:G33)</f>
        <v>501500.5</v>
      </c>
      <c r="G33" s="149">
        <f>AVERAGE('1'!G33:H33)</f>
        <v>524881.5</v>
      </c>
      <c r="H33" s="149">
        <f>AVERAGE('1'!H33:I33)</f>
        <v>537337</v>
      </c>
      <c r="I33" s="149">
        <f>AVERAGE('1'!I33:J33)</f>
        <v>553521.5</v>
      </c>
    </row>
    <row r="34" spans="1:9" x14ac:dyDescent="0.3">
      <c r="A34" s="16" t="s">
        <v>41</v>
      </c>
      <c r="B34" s="19">
        <v>1350</v>
      </c>
      <c r="C34" s="149">
        <f>AVERAGE('1'!C34:D34)</f>
        <v>84000</v>
      </c>
      <c r="D34" s="149">
        <f>AVERAGE('1'!D34:E34)</f>
        <v>84000</v>
      </c>
      <c r="E34" s="149">
        <f>AVERAGE('1'!E34:F34)</f>
        <v>84000</v>
      </c>
      <c r="F34" s="149">
        <f>AVERAGE('1'!F34:G34)</f>
        <v>84000</v>
      </c>
      <c r="G34" s="149">
        <f>AVERAGE('1'!G34:H34)</f>
        <v>84000</v>
      </c>
      <c r="H34" s="149">
        <f>AVERAGE('1'!H34:I34)</f>
        <v>84000</v>
      </c>
      <c r="I34" s="149">
        <f>AVERAGE('1'!I34:J34)</f>
        <v>84000</v>
      </c>
    </row>
    <row r="35" spans="1:9" x14ac:dyDescent="0.3">
      <c r="A35" s="16" t="s">
        <v>42</v>
      </c>
      <c r="B35" s="19">
        <v>1360</v>
      </c>
      <c r="C35" s="149">
        <f>AVERAGE('1'!C35:D35)</f>
        <v>32829</v>
      </c>
      <c r="D35" s="149">
        <f>AVERAGE('1'!D35:E35)</f>
        <v>32829</v>
      </c>
      <c r="E35" s="149">
        <f>AVERAGE('1'!E35:F35)</f>
        <v>32829</v>
      </c>
      <c r="F35" s="149">
        <f>AVERAGE('1'!F35:G35)</f>
        <v>32829</v>
      </c>
      <c r="G35" s="149">
        <f>AVERAGE('1'!G35:H35)</f>
        <v>32829</v>
      </c>
      <c r="H35" s="149">
        <f>AVERAGE('1'!H35:I35)</f>
        <v>32829</v>
      </c>
      <c r="I35" s="149">
        <f>AVERAGE('1'!I35:J35)</f>
        <v>32829</v>
      </c>
    </row>
    <row r="36" spans="1:9" x14ac:dyDescent="0.3">
      <c r="A36" s="16" t="s">
        <v>43</v>
      </c>
      <c r="B36" s="19">
        <v>1370</v>
      </c>
      <c r="C36" s="149">
        <f>AVERAGE('1'!C36:D36)</f>
        <v>42327609.5</v>
      </c>
      <c r="D36" s="149">
        <f>AVERAGE('1'!D36:E36)</f>
        <v>45679195.5</v>
      </c>
      <c r="E36" s="149">
        <f>AVERAGE('1'!E36:F36)</f>
        <v>43402090</v>
      </c>
      <c r="F36" s="149">
        <f>AVERAGE('1'!F36:G36)</f>
        <v>37256537</v>
      </c>
      <c r="G36" s="149">
        <f>AVERAGE('1'!G36:H36)</f>
        <v>29673019</v>
      </c>
      <c r="H36" s="149">
        <f>AVERAGE('1'!H36:I36)</f>
        <v>25147755</v>
      </c>
      <c r="I36" s="149">
        <f>AVERAGE('1'!I36:J36)</f>
        <v>23094996</v>
      </c>
    </row>
    <row r="37" spans="1:9" s="6" customFormat="1" x14ac:dyDescent="0.3">
      <c r="A37" s="21" t="s">
        <v>44</v>
      </c>
      <c r="B37" s="22">
        <v>1300</v>
      </c>
      <c r="C37" s="150">
        <f t="shared" ref="C37:I37" si="5">SUM(C31:C36)</f>
        <v>43081363</v>
      </c>
      <c r="D37" s="150">
        <f t="shared" si="5"/>
        <v>46386334</v>
      </c>
      <c r="E37" s="150">
        <f t="shared" si="5"/>
        <v>44142194</v>
      </c>
      <c r="F37" s="150">
        <f t="shared" si="5"/>
        <v>38083303</v>
      </c>
      <c r="G37" s="150">
        <f t="shared" si="5"/>
        <v>30523166</v>
      </c>
      <c r="H37" s="150">
        <f t="shared" si="5"/>
        <v>26020781</v>
      </c>
      <c r="I37" s="150">
        <f t="shared" si="5"/>
        <v>23984206.5</v>
      </c>
    </row>
    <row r="38" spans="1:9" ht="19.95" customHeight="1" x14ac:dyDescent="0.3">
      <c r="A38" s="16" t="s">
        <v>45</v>
      </c>
      <c r="B38" s="17"/>
      <c r="C38" s="148"/>
      <c r="D38" s="148"/>
      <c r="E38" s="148"/>
      <c r="F38" s="148"/>
      <c r="G38" s="148"/>
      <c r="H38" s="148"/>
      <c r="I38" s="148"/>
    </row>
    <row r="39" spans="1:9" ht="17.399999999999999" customHeight="1" x14ac:dyDescent="0.3">
      <c r="A39" s="16" t="s">
        <v>46</v>
      </c>
      <c r="B39" s="19">
        <v>1410</v>
      </c>
      <c r="C39" s="149">
        <f>AVERAGE('1'!C39:D39)</f>
        <v>0</v>
      </c>
      <c r="D39" s="149">
        <f>AVERAGE('1'!D39:E39)</f>
        <v>0</v>
      </c>
      <c r="E39" s="149">
        <f>AVERAGE('1'!E39:F39)</f>
        <v>1500000</v>
      </c>
      <c r="F39" s="149">
        <f>AVERAGE('1'!F39:G39)</f>
        <v>6966202.5</v>
      </c>
      <c r="G39" s="149">
        <f>AVERAGE('1'!G39:H39)</f>
        <v>9685582.5</v>
      </c>
      <c r="H39" s="149">
        <f>AVERAGE('1'!H39:I39)</f>
        <v>6674070</v>
      </c>
      <c r="I39" s="149">
        <f>AVERAGE('1'!I39:J39)</f>
        <v>5182158.5</v>
      </c>
    </row>
    <row r="40" spans="1:9" x14ac:dyDescent="0.3">
      <c r="A40" s="16" t="s">
        <v>47</v>
      </c>
      <c r="B40" s="19">
        <v>1420</v>
      </c>
      <c r="C40" s="149">
        <f>AVERAGE('1'!C40:D40)</f>
        <v>613551</v>
      </c>
      <c r="D40" s="149">
        <f>AVERAGE('1'!D40:E40)</f>
        <v>485837.5</v>
      </c>
      <c r="E40" s="149">
        <f>AVERAGE('1'!E40:F40)</f>
        <v>340568.5</v>
      </c>
      <c r="F40" s="149">
        <f>AVERAGE('1'!F40:G40)</f>
        <v>268380.5</v>
      </c>
      <c r="G40" s="149">
        <f>AVERAGE('1'!G40:H40)</f>
        <v>218474</v>
      </c>
      <c r="H40" s="149">
        <f>AVERAGE('1'!H40:I40)</f>
        <v>142979.5</v>
      </c>
      <c r="I40" s="149">
        <f>AVERAGE('1'!I40:J40)</f>
        <v>118755</v>
      </c>
    </row>
    <row r="41" spans="1:9" x14ac:dyDescent="0.3">
      <c r="A41" s="16" t="s">
        <v>48</v>
      </c>
      <c r="B41" s="19">
        <v>1430</v>
      </c>
      <c r="C41" s="149">
        <f>AVERAGE('1'!C41:D41)</f>
        <v>0</v>
      </c>
      <c r="D41" s="149">
        <f>AVERAGE('1'!D41:E41)</f>
        <v>0</v>
      </c>
      <c r="E41" s="149">
        <f>AVERAGE('1'!E41:F41)</f>
        <v>0</v>
      </c>
      <c r="F41" s="149">
        <f>AVERAGE('1'!F41:G41)</f>
        <v>0</v>
      </c>
      <c r="G41" s="149">
        <f>AVERAGE('1'!G41:H41)</f>
        <v>0</v>
      </c>
      <c r="H41" s="149">
        <f>AVERAGE('1'!H41:I41)</f>
        <v>0</v>
      </c>
      <c r="I41" s="149">
        <f>AVERAGE('1'!I41:J41)</f>
        <v>0</v>
      </c>
    </row>
    <row r="42" spans="1:9" x14ac:dyDescent="0.3">
      <c r="A42" s="16" t="s">
        <v>49</v>
      </c>
      <c r="B42" s="19">
        <v>1450</v>
      </c>
      <c r="C42" s="149">
        <f>AVERAGE('1'!C42:D42)</f>
        <v>0</v>
      </c>
      <c r="D42" s="149">
        <f>AVERAGE('1'!D42:E42)</f>
        <v>0</v>
      </c>
      <c r="E42" s="149">
        <f>AVERAGE('1'!E42:F42)</f>
        <v>0</v>
      </c>
      <c r="F42" s="149">
        <f>AVERAGE('1'!F42:G42)</f>
        <v>0</v>
      </c>
      <c r="G42" s="149">
        <f>AVERAGE('1'!G42:H42)</f>
        <v>14968.5</v>
      </c>
      <c r="H42" s="149">
        <f>AVERAGE('1'!H42:I42)</f>
        <v>14968.5</v>
      </c>
      <c r="I42" s="149">
        <f>AVERAGE('1'!I42:J42)</f>
        <v>0</v>
      </c>
    </row>
    <row r="43" spans="1:9" s="6" customFormat="1" x14ac:dyDescent="0.3">
      <c r="A43" s="21" t="s">
        <v>50</v>
      </c>
      <c r="B43" s="22">
        <v>1400</v>
      </c>
      <c r="C43" s="150">
        <f t="shared" ref="C43:I43" si="6">SUM(C39:C42)</f>
        <v>613551</v>
      </c>
      <c r="D43" s="150">
        <f t="shared" si="6"/>
        <v>485837.5</v>
      </c>
      <c r="E43" s="150">
        <f t="shared" si="6"/>
        <v>1840568.5</v>
      </c>
      <c r="F43" s="150">
        <f t="shared" si="6"/>
        <v>7234583</v>
      </c>
      <c r="G43" s="150">
        <f t="shared" si="6"/>
        <v>9919025</v>
      </c>
      <c r="H43" s="150">
        <f t="shared" si="6"/>
        <v>6832018</v>
      </c>
      <c r="I43" s="150">
        <f t="shared" si="6"/>
        <v>5300913.5</v>
      </c>
    </row>
    <row r="44" spans="1:9" x14ac:dyDescent="0.3">
      <c r="A44" s="16" t="s">
        <v>51</v>
      </c>
      <c r="B44" s="17"/>
      <c r="C44" s="148"/>
      <c r="D44" s="148"/>
      <c r="E44" s="148"/>
      <c r="F44" s="148"/>
      <c r="G44" s="148"/>
      <c r="H44" s="148"/>
      <c r="I44" s="148"/>
    </row>
    <row r="45" spans="1:9" x14ac:dyDescent="0.3">
      <c r="A45" s="16" t="s">
        <v>46</v>
      </c>
      <c r="B45" s="19">
        <v>1510</v>
      </c>
      <c r="C45" s="149">
        <f>AVERAGE('1'!C45:D45)</f>
        <v>0</v>
      </c>
      <c r="D45" s="149">
        <f>AVERAGE('1'!D45:E45)</f>
        <v>433270.5</v>
      </c>
      <c r="E45" s="149">
        <f>AVERAGE('1'!E45:F45)</f>
        <v>5796574.5</v>
      </c>
      <c r="F45" s="149">
        <f>AVERAGE('1'!F45:G45)</f>
        <v>5370976.5</v>
      </c>
      <c r="G45" s="149">
        <f>AVERAGE('1'!G45:H45)</f>
        <v>4797677.5</v>
      </c>
      <c r="H45" s="149">
        <f>AVERAGE('1'!H45:I45)</f>
        <v>5118882</v>
      </c>
      <c r="I45" s="149">
        <f>AVERAGE('1'!I45:J45)</f>
        <v>627405</v>
      </c>
    </row>
    <row r="46" spans="1:9" x14ac:dyDescent="0.3">
      <c r="A46" s="16" t="s">
        <v>52</v>
      </c>
      <c r="B46" s="19">
        <v>1520</v>
      </c>
      <c r="C46" s="149">
        <f>AVERAGE('1'!C46:D46)</f>
        <v>4422336</v>
      </c>
      <c r="D46" s="149">
        <f>AVERAGE('1'!D46:E46)</f>
        <v>2296283.5</v>
      </c>
      <c r="E46" s="149">
        <f>AVERAGE('1'!E46:F46)</f>
        <v>2788064</v>
      </c>
      <c r="F46" s="149">
        <f>AVERAGE('1'!F46:G46)</f>
        <v>3481279</v>
      </c>
      <c r="G46" s="149">
        <f>AVERAGE('1'!G46:H46)</f>
        <v>2976565.5</v>
      </c>
      <c r="H46" s="149">
        <f>AVERAGE('1'!H46:I46)</f>
        <v>1837002.5</v>
      </c>
      <c r="I46" s="149">
        <f>AVERAGE('1'!I46:J46)</f>
        <v>1554821</v>
      </c>
    </row>
    <row r="47" spans="1:9" x14ac:dyDescent="0.3">
      <c r="A47" s="16" t="s">
        <v>53</v>
      </c>
      <c r="B47" s="19">
        <v>1530</v>
      </c>
      <c r="C47" s="149">
        <f>AVERAGE('1'!C47:D47)</f>
        <v>4293.5</v>
      </c>
      <c r="D47" s="149">
        <f>AVERAGE('1'!D47:E47)</f>
        <v>1005.5</v>
      </c>
      <c r="E47" s="149">
        <f>AVERAGE('1'!E47:F47)</f>
        <v>1164.5</v>
      </c>
      <c r="F47" s="149">
        <f>AVERAGE('1'!F47:G47)</f>
        <v>1323.5</v>
      </c>
      <c r="G47" s="149">
        <f>AVERAGE('1'!G47:H47)</f>
        <v>1482.5</v>
      </c>
      <c r="H47" s="149">
        <f>AVERAGE('1'!H47:I47)</f>
        <v>1642</v>
      </c>
      <c r="I47" s="149">
        <f>AVERAGE('1'!I47:J47)</f>
        <v>1945</v>
      </c>
    </row>
    <row r="48" spans="1:9" x14ac:dyDescent="0.3">
      <c r="A48" s="16" t="s">
        <v>48</v>
      </c>
      <c r="B48" s="19">
        <v>1540</v>
      </c>
      <c r="C48" s="149">
        <f>AVERAGE('1'!C48:D48)</f>
        <v>229153</v>
      </c>
      <c r="D48" s="149">
        <f>AVERAGE('1'!D48:E48)</f>
        <v>199595</v>
      </c>
      <c r="E48" s="149">
        <f>AVERAGE('1'!E48:F48)</f>
        <v>201228.5</v>
      </c>
      <c r="F48" s="149">
        <f>AVERAGE('1'!F48:G48)</f>
        <v>185696</v>
      </c>
      <c r="G48" s="149">
        <f>AVERAGE('1'!G48:H48)</f>
        <v>127225.5</v>
      </c>
      <c r="H48" s="149">
        <f>AVERAGE('1'!H48:I48)</f>
        <v>90034.5</v>
      </c>
      <c r="I48" s="149">
        <f>AVERAGE('1'!I48:J48)</f>
        <v>93754</v>
      </c>
    </row>
    <row r="49" spans="1:9" x14ac:dyDescent="0.3">
      <c r="A49" s="16" t="s">
        <v>49</v>
      </c>
      <c r="B49" s="19">
        <v>1550</v>
      </c>
      <c r="C49" s="149">
        <f>AVERAGE('1'!C49:D49)</f>
        <v>28371.5</v>
      </c>
      <c r="D49" s="149">
        <f>AVERAGE('1'!D49:E49)</f>
        <v>39509.5</v>
      </c>
      <c r="E49" s="149">
        <f>AVERAGE('1'!E49:F49)</f>
        <v>20566.5</v>
      </c>
      <c r="F49" s="149">
        <f>AVERAGE('1'!F49:G49)</f>
        <v>3588</v>
      </c>
      <c r="G49" s="149">
        <f>AVERAGE('1'!G49:H49)</f>
        <v>863</v>
      </c>
      <c r="H49" s="149">
        <f>AVERAGE('1'!H49:I49)</f>
        <v>4534.5</v>
      </c>
      <c r="I49" s="149">
        <f>AVERAGE('1'!I49:J49)</f>
        <v>5830.5</v>
      </c>
    </row>
    <row r="50" spans="1:9" s="6" customFormat="1" x14ac:dyDescent="0.3">
      <c r="A50" s="21" t="s">
        <v>54</v>
      </c>
      <c r="B50" s="22">
        <v>1500</v>
      </c>
      <c r="C50" s="150">
        <f t="shared" ref="C50:I50" si="7">SUM(C45:C49)</f>
        <v>4684154</v>
      </c>
      <c r="D50" s="150">
        <f t="shared" si="7"/>
        <v>2969664</v>
      </c>
      <c r="E50" s="150">
        <f t="shared" si="7"/>
        <v>8807598</v>
      </c>
      <c r="F50" s="150">
        <f t="shared" si="7"/>
        <v>9042863</v>
      </c>
      <c r="G50" s="150">
        <f t="shared" si="7"/>
        <v>7903814</v>
      </c>
      <c r="H50" s="150">
        <f t="shared" si="7"/>
        <v>7052095.5</v>
      </c>
      <c r="I50" s="150">
        <f t="shared" si="7"/>
        <v>2283755.5</v>
      </c>
    </row>
    <row r="51" spans="1:9" s="6" customFormat="1" x14ac:dyDescent="0.3">
      <c r="A51" s="21" t="s">
        <v>55</v>
      </c>
      <c r="B51" s="22">
        <v>1700</v>
      </c>
      <c r="C51" s="150">
        <f t="shared" ref="C51:I51" si="8">C37+C43+C50</f>
        <v>48379068</v>
      </c>
      <c r="D51" s="150">
        <f t="shared" si="8"/>
        <v>49841835.5</v>
      </c>
      <c r="E51" s="150">
        <f t="shared" si="8"/>
        <v>54790360.5</v>
      </c>
      <c r="F51" s="150">
        <f t="shared" si="8"/>
        <v>54360749</v>
      </c>
      <c r="G51" s="150">
        <f t="shared" si="8"/>
        <v>48346005</v>
      </c>
      <c r="H51" s="150">
        <f t="shared" si="8"/>
        <v>39904894.5</v>
      </c>
      <c r="I51" s="150">
        <f t="shared" si="8"/>
        <v>31568875.5</v>
      </c>
    </row>
    <row r="52" spans="1:9" s="155" customFormat="1" x14ac:dyDescent="0.3">
      <c r="B52" s="156"/>
      <c r="C52" s="157">
        <f t="shared" ref="C52:I52" si="9">C26-C51</f>
        <v>0</v>
      </c>
      <c r="D52" s="157">
        <f t="shared" si="9"/>
        <v>0</v>
      </c>
      <c r="E52" s="157">
        <f t="shared" si="9"/>
        <v>0</v>
      </c>
      <c r="F52" s="157">
        <f t="shared" si="9"/>
        <v>0</v>
      </c>
      <c r="G52" s="157">
        <f t="shared" si="9"/>
        <v>0</v>
      </c>
      <c r="H52" s="157">
        <f t="shared" si="9"/>
        <v>0</v>
      </c>
      <c r="I52" s="157">
        <f t="shared" si="9"/>
        <v>0</v>
      </c>
    </row>
    <row r="53" spans="1:9" x14ac:dyDescent="0.3">
      <c r="D53" s="3"/>
      <c r="E53" s="1"/>
      <c r="G53" s="4"/>
      <c r="I53" s="1"/>
    </row>
    <row r="54" spans="1:9" x14ac:dyDescent="0.3">
      <c r="A54" s="1" t="s">
        <v>327</v>
      </c>
      <c r="C54" s="158">
        <f>AVERAGE('3'!C142:D142)</f>
        <v>43085656.5</v>
      </c>
      <c r="D54" s="158">
        <f>AVERAGE('3'!D142:E142)</f>
        <v>46387339.5</v>
      </c>
      <c r="E54" s="158">
        <f>AVERAGE('3'!E142:F142)</f>
        <v>44143358.5</v>
      </c>
      <c r="F54" s="158">
        <f>AVERAGE('3'!F142:G142)</f>
        <v>38084626.5</v>
      </c>
      <c r="G54" s="158">
        <f>AVERAGE('3'!G142:H142)</f>
        <v>30524648.5</v>
      </c>
      <c r="H54" s="158">
        <f>AVERAGE('3'!H142:I142)</f>
        <v>26022423</v>
      </c>
      <c r="I54" s="158">
        <f>AVERAGE('3'!I142:J142)</f>
        <v>23986151.5</v>
      </c>
    </row>
  </sheetData>
  <pageMargins left="0.75" right="0.75" top="0.51000000000000023" bottom="0.52" header="0.5" footer="0.5"/>
  <pageSetup paperSize="9" scale="44"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0"/>
  <sheetViews>
    <sheetView workbookViewId="0">
      <selection activeCell="D30" sqref="D30"/>
    </sheetView>
  </sheetViews>
  <sheetFormatPr defaultColWidth="9.109375" defaultRowHeight="14.4" x14ac:dyDescent="0.3"/>
  <cols>
    <col min="1" max="2" width="53.88671875" style="159" customWidth="1"/>
    <col min="3" max="16384" width="9.109375" style="159"/>
  </cols>
  <sheetData>
    <row r="1" spans="1:2" x14ac:dyDescent="0.3">
      <c r="A1" s="160" t="s">
        <v>328</v>
      </c>
    </row>
    <row r="3" spans="1:2" x14ac:dyDescent="0.3">
      <c r="A3" s="161" t="s">
        <v>329</v>
      </c>
      <c r="B3" s="161" t="s">
        <v>330</v>
      </c>
    </row>
    <row r="4" spans="1:2" x14ac:dyDescent="0.3">
      <c r="A4" s="162" t="s">
        <v>331</v>
      </c>
      <c r="B4" s="162" t="s">
        <v>332</v>
      </c>
    </row>
    <row r="5" spans="1:2" x14ac:dyDescent="0.3">
      <c r="A5" s="162" t="s">
        <v>333</v>
      </c>
      <c r="B5" s="162" t="s">
        <v>334</v>
      </c>
    </row>
    <row r="6" spans="1:2" x14ac:dyDescent="0.3">
      <c r="A6" s="162" t="s">
        <v>335</v>
      </c>
      <c r="B6" s="162" t="s">
        <v>336</v>
      </c>
    </row>
    <row r="7" spans="1:2" x14ac:dyDescent="0.3">
      <c r="A7" s="162" t="s">
        <v>337</v>
      </c>
      <c r="B7" s="162" t="s">
        <v>338</v>
      </c>
    </row>
    <row r="8" spans="1:2" x14ac:dyDescent="0.3">
      <c r="A8" s="162" t="s">
        <v>339</v>
      </c>
      <c r="B8" s="162" t="s">
        <v>340</v>
      </c>
    </row>
    <row r="9" spans="1:2" x14ac:dyDescent="0.3">
      <c r="A9" s="163"/>
      <c r="B9" s="163"/>
    </row>
    <row r="10" spans="1:2" x14ac:dyDescent="0.3">
      <c r="A10" s="163"/>
      <c r="B10" s="163"/>
    </row>
    <row r="11" spans="1:2" x14ac:dyDescent="0.3">
      <c r="A11" s="161" t="s">
        <v>341</v>
      </c>
      <c r="B11" s="161" t="s">
        <v>342</v>
      </c>
    </row>
    <row r="12" spans="1:2" ht="26.4" x14ac:dyDescent="0.3">
      <c r="A12" s="162" t="s">
        <v>343</v>
      </c>
      <c r="B12" s="162" t="s">
        <v>344</v>
      </c>
    </row>
    <row r="13" spans="1:2" x14ac:dyDescent="0.3">
      <c r="A13" s="162" t="s">
        <v>345</v>
      </c>
      <c r="B13" s="162" t="s">
        <v>346</v>
      </c>
    </row>
    <row r="14" spans="1:2" x14ac:dyDescent="0.3">
      <c r="A14" s="162" t="s">
        <v>347</v>
      </c>
      <c r="B14" s="162" t="s">
        <v>348</v>
      </c>
    </row>
    <row r="15" spans="1:2" x14ac:dyDescent="0.3">
      <c r="A15" s="162" t="s">
        <v>349</v>
      </c>
      <c r="B15" s="162" t="s">
        <v>350</v>
      </c>
    </row>
    <row r="16" spans="1:2" x14ac:dyDescent="0.3">
      <c r="A16" s="162" t="s">
        <v>351</v>
      </c>
      <c r="B16" s="162" t="s">
        <v>352</v>
      </c>
    </row>
    <row r="17" spans="1:2" x14ac:dyDescent="0.3">
      <c r="A17" s="162" t="s">
        <v>353</v>
      </c>
      <c r="B17" s="162" t="s">
        <v>354</v>
      </c>
    </row>
    <row r="18" spans="1:2" x14ac:dyDescent="0.3">
      <c r="A18" s="163"/>
      <c r="B18" s="163"/>
    </row>
    <row r="19" spans="1:2" x14ac:dyDescent="0.3">
      <c r="A19" s="411" t="s">
        <v>355</v>
      </c>
      <c r="B19" s="411"/>
    </row>
    <row r="20" spans="1:2" x14ac:dyDescent="0.3">
      <c r="A20" s="161" t="s">
        <v>356</v>
      </c>
      <c r="B20" s="161" t="s">
        <v>357</v>
      </c>
    </row>
    <row r="21" spans="1:2" x14ac:dyDescent="0.3">
      <c r="A21" s="162" t="s">
        <v>358</v>
      </c>
      <c r="B21" s="162" t="s">
        <v>359</v>
      </c>
    </row>
    <row r="22" spans="1:2" x14ac:dyDescent="0.3">
      <c r="A22" s="162" t="s">
        <v>360</v>
      </c>
      <c r="B22" s="162" t="s">
        <v>361</v>
      </c>
    </row>
    <row r="23" spans="1:2" x14ac:dyDescent="0.3">
      <c r="A23" s="162" t="s">
        <v>362</v>
      </c>
      <c r="B23" s="162" t="s">
        <v>363</v>
      </c>
    </row>
    <row r="24" spans="1:2" x14ac:dyDescent="0.3">
      <c r="A24" s="162" t="s">
        <v>364</v>
      </c>
      <c r="B24" s="162" t="s">
        <v>365</v>
      </c>
    </row>
    <row r="25" spans="1:2" x14ac:dyDescent="0.3">
      <c r="A25" s="162" t="s">
        <v>366</v>
      </c>
      <c r="B25" s="162" t="s">
        <v>367</v>
      </c>
    </row>
    <row r="26" spans="1:2" x14ac:dyDescent="0.3">
      <c r="A26" s="162"/>
      <c r="B26" s="162" t="s">
        <v>368</v>
      </c>
    </row>
    <row r="27" spans="1:2" x14ac:dyDescent="0.3">
      <c r="A27" s="163"/>
      <c r="B27" s="163"/>
    </row>
    <row r="30" spans="1:2" ht="106.8" customHeight="1" x14ac:dyDescent="0.3">
      <c r="A30" s="412" t="s">
        <v>369</v>
      </c>
      <c r="B30" s="413"/>
    </row>
  </sheetData>
  <mergeCells count="2">
    <mergeCell ref="A19:B19"/>
    <mergeCell ref="A30:B30"/>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pageSetUpPr fitToPage="1"/>
  </sheetPr>
  <dimension ref="A1:IV99"/>
  <sheetViews>
    <sheetView topLeftCell="A49" workbookViewId="0">
      <pane xSplit="1" topLeftCell="B1" activePane="topRight" state="frozen"/>
      <selection pane="topRight"/>
    </sheetView>
  </sheetViews>
  <sheetFormatPr defaultColWidth="9.109375" defaultRowHeight="15.6" x14ac:dyDescent="0.3"/>
  <cols>
    <col min="1" max="1" width="49.88671875" style="64" customWidth="1"/>
    <col min="2" max="22" width="20.44140625" style="64" customWidth="1"/>
    <col min="23" max="16384" width="9.109375" style="64"/>
  </cols>
  <sheetData>
    <row r="1" spans="1:8" x14ac:dyDescent="0.3">
      <c r="A1" s="66" t="s">
        <v>370</v>
      </c>
    </row>
    <row r="2" spans="1:8" x14ac:dyDescent="0.3">
      <c r="A2" s="66" t="s">
        <v>371</v>
      </c>
    </row>
    <row r="3" spans="1:8" s="33" customFormat="1" x14ac:dyDescent="0.25">
      <c r="A3" s="164" t="s">
        <v>177</v>
      </c>
      <c r="B3" s="164" t="str">
        <f>бс!C5</f>
        <v>2019 год</v>
      </c>
      <c r="C3" s="164" t="str">
        <f>бс!D5</f>
        <v>2018 год</v>
      </c>
      <c r="D3" s="164" t="str">
        <f>бс!E5</f>
        <v>2017 год</v>
      </c>
      <c r="E3" s="164" t="str">
        <f>бс!F5</f>
        <v>2016 год</v>
      </c>
      <c r="F3" s="164" t="str">
        <f>бс!G5</f>
        <v>2015 год</v>
      </c>
      <c r="G3" s="164" t="str">
        <f>бс!H5</f>
        <v>2014 год</v>
      </c>
      <c r="H3" s="164" t="str">
        <f>бс!I5</f>
        <v>2013 год</v>
      </c>
    </row>
    <row r="4" spans="1:8" x14ac:dyDescent="0.3">
      <c r="A4" s="165" t="s">
        <v>372</v>
      </c>
      <c r="B4" s="166">
        <f>бс!C51</f>
        <v>48379068</v>
      </c>
      <c r="C4" s="166">
        <f>бс!D51</f>
        <v>49841835.5</v>
      </c>
      <c r="D4" s="166">
        <f>бс!E51</f>
        <v>54790360.5</v>
      </c>
      <c r="E4" s="166">
        <f>бс!F51</f>
        <v>54360749</v>
      </c>
      <c r="F4" s="166">
        <f>бс!G51</f>
        <v>48346005</v>
      </c>
      <c r="G4" s="166">
        <f>бс!H51</f>
        <v>39904894.5</v>
      </c>
      <c r="H4" s="166">
        <f>бс!I51</f>
        <v>31568875.5</v>
      </c>
    </row>
    <row r="5" spans="1:8" x14ac:dyDescent="0.3">
      <c r="A5" s="167" t="s">
        <v>373</v>
      </c>
      <c r="B5" s="166">
        <v>2654</v>
      </c>
      <c r="C5" s="166">
        <v>2635</v>
      </c>
      <c r="D5" s="166">
        <v>2623</v>
      </c>
      <c r="E5" s="166">
        <v>2567</v>
      </c>
      <c r="F5" s="166">
        <v>2619</v>
      </c>
      <c r="G5" s="166">
        <v>2323</v>
      </c>
      <c r="H5" s="166">
        <v>2209</v>
      </c>
    </row>
    <row r="6" spans="1:8" x14ac:dyDescent="0.3">
      <c r="A6" s="167" t="s">
        <v>67</v>
      </c>
      <c r="B6" s="168">
        <f>'2'!C7</f>
        <v>21650314</v>
      </c>
      <c r="C6" s="166">
        <f>'2'!D7</f>
        <v>27154819</v>
      </c>
      <c r="D6" s="166">
        <f>'2'!E7</f>
        <v>24000677</v>
      </c>
      <c r="E6" s="166">
        <f>'2'!F7</f>
        <v>23253619</v>
      </c>
      <c r="F6" s="166">
        <f>'2'!G7</f>
        <v>26654915</v>
      </c>
      <c r="G6" s="168">
        <f>'2'!H7</f>
        <v>16131092</v>
      </c>
      <c r="H6" s="166">
        <f>'2'!I7</f>
        <v>17359621</v>
      </c>
    </row>
    <row r="7" spans="1:8" x14ac:dyDescent="0.3">
      <c r="A7" s="167" t="s">
        <v>374</v>
      </c>
      <c r="B7" s="168">
        <f>'2'!C25</f>
        <v>3687983</v>
      </c>
      <c r="C7" s="166">
        <f>'2'!D25</f>
        <v>4745980</v>
      </c>
      <c r="D7" s="166">
        <f>'2'!E25</f>
        <v>8056307</v>
      </c>
      <c r="E7" s="166">
        <f>'2'!F25</f>
        <v>7458998</v>
      </c>
      <c r="F7" s="166">
        <f>'2'!G25</f>
        <v>9074394</v>
      </c>
      <c r="G7" s="168">
        <f>'2'!H25</f>
        <v>412488</v>
      </c>
      <c r="H7" s="166">
        <f>'2'!I25</f>
        <v>4028440</v>
      </c>
    </row>
    <row r="8" spans="1:8" x14ac:dyDescent="0.3">
      <c r="A8" s="167" t="s">
        <v>375</v>
      </c>
      <c r="B8" s="168">
        <f>'2'!C20</f>
        <v>-655018</v>
      </c>
      <c r="C8" s="166">
        <f>'2'!D20</f>
        <v>-2302336</v>
      </c>
      <c r="D8" s="166">
        <f>'2'!E20</f>
        <v>-1823795</v>
      </c>
      <c r="E8" s="166">
        <f>'2'!F20</f>
        <v>-1959181</v>
      </c>
      <c r="F8" s="166">
        <f>'2'!G20</f>
        <v>-2218641</v>
      </c>
      <c r="G8" s="168">
        <f>'2'!H20</f>
        <v>-190864</v>
      </c>
      <c r="H8" s="166">
        <f>'2'!I20</f>
        <v>-1066641</v>
      </c>
    </row>
    <row r="9" spans="1:8" x14ac:dyDescent="0.3">
      <c r="A9" s="167" t="s">
        <v>376</v>
      </c>
      <c r="B9" s="166">
        <f>'4'!C17</f>
        <v>-1204253</v>
      </c>
      <c r="C9" s="166">
        <f>'4'!D17</f>
        <v>-2152383</v>
      </c>
      <c r="D9" s="166">
        <f>'4'!E17</f>
        <v>-1945566</v>
      </c>
      <c r="E9" s="166">
        <f>'4'!F17</f>
        <v>-1933528</v>
      </c>
      <c r="F9" s="166">
        <f>'4'!G17</f>
        <v>-1576844</v>
      </c>
      <c r="G9" s="166">
        <f>'4'!H17</f>
        <v>-753463</v>
      </c>
      <c r="H9" s="166">
        <f>'4'!I17</f>
        <v>-1127412</v>
      </c>
    </row>
    <row r="10" spans="1:8" ht="16.5" customHeight="1" x14ac:dyDescent="0.3">
      <c r="A10" s="167" t="s">
        <v>377</v>
      </c>
      <c r="B10" s="169">
        <f>бс!C22</f>
        <v>22810806</v>
      </c>
      <c r="C10" s="169">
        <f>бс!D22</f>
        <v>24773744.5</v>
      </c>
      <c r="D10" s="169">
        <f>бс!E22</f>
        <v>30412640.5</v>
      </c>
      <c r="E10" s="169">
        <f>бс!F22</f>
        <v>31760161.5</v>
      </c>
      <c r="F10" s="169">
        <f>бс!G22</f>
        <v>24442883.5</v>
      </c>
      <c r="G10" s="169">
        <f>бс!H22</f>
        <v>17246720</v>
      </c>
      <c r="H10" s="169">
        <f>бс!I22</f>
        <v>7069694</v>
      </c>
    </row>
    <row r="11" spans="1:8" ht="69.599999999999994" customHeight="1" x14ac:dyDescent="0.35">
      <c r="A11" s="170" t="s">
        <v>378</v>
      </c>
      <c r="B11" s="414" t="s">
        <v>379</v>
      </c>
      <c r="C11" s="415"/>
      <c r="D11" s="415"/>
      <c r="E11" s="415"/>
      <c r="F11" s="415"/>
      <c r="G11" s="415"/>
      <c r="H11" s="416"/>
    </row>
    <row r="12" spans="1:8" ht="16.2" customHeight="1" x14ac:dyDescent="0.3">
      <c r="A12" s="171" t="s">
        <v>380</v>
      </c>
      <c r="B12" s="172"/>
      <c r="C12" s="172"/>
    </row>
    <row r="14" spans="1:8" x14ac:dyDescent="0.3">
      <c r="A14" s="66" t="s">
        <v>381</v>
      </c>
    </row>
    <row r="15" spans="1:8" x14ac:dyDescent="0.3">
      <c r="A15" s="164" t="s">
        <v>177</v>
      </c>
      <c r="B15" s="164" t="str">
        <f>B3</f>
        <v>2019 год</v>
      </c>
      <c r="C15" s="164" t="str">
        <f t="shared" ref="C15:H15" si="0">C3</f>
        <v>2018 год</v>
      </c>
      <c r="D15" s="164" t="str">
        <f t="shared" si="0"/>
        <v>2017 год</v>
      </c>
      <c r="E15" s="164" t="str">
        <f t="shared" si="0"/>
        <v>2016 год</v>
      </c>
      <c r="F15" s="164" t="str">
        <f t="shared" si="0"/>
        <v>2015 год</v>
      </c>
      <c r="G15" s="164" t="str">
        <f t="shared" si="0"/>
        <v>2014 год</v>
      </c>
      <c r="H15" s="164" t="str">
        <f t="shared" si="0"/>
        <v>2013 год</v>
      </c>
    </row>
    <row r="16" spans="1:8" x14ac:dyDescent="0.3">
      <c r="A16" s="167" t="s">
        <v>382</v>
      </c>
      <c r="B16" s="169">
        <f>бс!C31</f>
        <v>218860</v>
      </c>
      <c r="C16" s="169">
        <f>бс!D31</f>
        <v>218860</v>
      </c>
      <c r="D16" s="169">
        <f>бс!E31</f>
        <v>218860</v>
      </c>
      <c r="E16" s="169">
        <f>бс!F31</f>
        <v>218860</v>
      </c>
      <c r="F16" s="169">
        <f>бс!G31</f>
        <v>218860</v>
      </c>
      <c r="G16" s="169">
        <f>бс!H31</f>
        <v>218860</v>
      </c>
      <c r="H16" s="169">
        <f>бс!I31</f>
        <v>218860</v>
      </c>
    </row>
    <row r="17" spans="1:8" x14ac:dyDescent="0.3">
      <c r="A17" s="167" t="s">
        <v>383</v>
      </c>
      <c r="B17" s="173">
        <f>($B$16/$B$4) * 100</f>
        <v>0.45238573012609501</v>
      </c>
      <c r="C17" s="173">
        <f>($C$16/$C$4) * 100</f>
        <v>0.43910902920098116</v>
      </c>
      <c r="D17" s="173">
        <f>($D$16/$D$4) * 100</f>
        <v>0.39944982658035261</v>
      </c>
      <c r="E17" s="173">
        <f>($E$16/$E$4) * 100</f>
        <v>0.40260666754242114</v>
      </c>
      <c r="F17" s="173">
        <f>($F$16/$F$4) * 100</f>
        <v>0.45269510893402676</v>
      </c>
      <c r="G17" s="173">
        <f>($G$16/$G$4) * 100</f>
        <v>0.54845402485652484</v>
      </c>
      <c r="H17" s="173">
        <f>($H$16/$H$4) * 100</f>
        <v>0.69327778241578486</v>
      </c>
    </row>
    <row r="18" spans="1:8" x14ac:dyDescent="0.3">
      <c r="A18" s="167" t="s">
        <v>384</v>
      </c>
      <c r="B18" s="169">
        <f>бс!C37</f>
        <v>43081363</v>
      </c>
      <c r="C18" s="169">
        <f>бс!D37</f>
        <v>46386334</v>
      </c>
      <c r="D18" s="169">
        <f>бс!E37</f>
        <v>44142194</v>
      </c>
      <c r="E18" s="169">
        <f>бс!F37</f>
        <v>38083303</v>
      </c>
      <c r="F18" s="169">
        <f>бс!G37</f>
        <v>30523166</v>
      </c>
      <c r="G18" s="169">
        <f>бс!H37</f>
        <v>26020781</v>
      </c>
      <c r="H18" s="169">
        <f>бс!I37</f>
        <v>23984206.5</v>
      </c>
    </row>
    <row r="19" spans="1:8" x14ac:dyDescent="0.3">
      <c r="A19" s="167" t="s">
        <v>385</v>
      </c>
      <c r="B19" s="174">
        <f>(B$18/B$4)</f>
        <v>0.89049592687482115</v>
      </c>
      <c r="C19" s="174">
        <f t="shared" ref="C19:H19" si="1">(C$18/C$4)</f>
        <v>0.93067066119585429</v>
      </c>
      <c r="D19" s="174">
        <f t="shared" si="1"/>
        <v>0.80565620662415605</v>
      </c>
      <c r="E19" s="174">
        <f t="shared" si="1"/>
        <v>0.70056619344961568</v>
      </c>
      <c r="F19" s="174">
        <f t="shared" si="1"/>
        <v>0.63134825721380705</v>
      </c>
      <c r="G19" s="174">
        <f t="shared" si="1"/>
        <v>0.6520699108727126</v>
      </c>
      <c r="H19" s="174">
        <f t="shared" si="1"/>
        <v>0.75974218657234083</v>
      </c>
    </row>
    <row r="20" spans="1:8" x14ac:dyDescent="0.3">
      <c r="A20" s="167" t="s">
        <v>386</v>
      </c>
      <c r="B20" s="169">
        <f>бс!C54</f>
        <v>43085656.5</v>
      </c>
      <c r="C20" s="169">
        <f>бс!D54</f>
        <v>46387339.5</v>
      </c>
      <c r="D20" s="169">
        <f>бс!E54</f>
        <v>44143358.5</v>
      </c>
      <c r="E20" s="169">
        <f>бс!F54</f>
        <v>38084626.5</v>
      </c>
      <c r="F20" s="169">
        <f>бс!G54</f>
        <v>30524648.5</v>
      </c>
      <c r="G20" s="169">
        <f>бс!H54</f>
        <v>26022423</v>
      </c>
      <c r="H20" s="169">
        <f>бс!I54</f>
        <v>23986151.5</v>
      </c>
    </row>
    <row r="21" spans="1:8" ht="17.25" customHeight="1" x14ac:dyDescent="0.3">
      <c r="A21" s="167" t="s">
        <v>387</v>
      </c>
      <c r="B21" s="173">
        <f>B$20/B$16</f>
        <v>196.86400667093119</v>
      </c>
      <c r="C21" s="173">
        <f t="shared" ref="C21:H21" si="2">C$20/C$16</f>
        <v>211.94982865758934</v>
      </c>
      <c r="D21" s="173">
        <f t="shared" si="2"/>
        <v>201.69678561637576</v>
      </c>
      <c r="E21" s="173">
        <f t="shared" si="2"/>
        <v>174.01364570958603</v>
      </c>
      <c r="F21" s="173">
        <f t="shared" si="2"/>
        <v>139.47111623869139</v>
      </c>
      <c r="G21" s="173">
        <f>G$20/G$16</f>
        <v>118.89985835694051</v>
      </c>
      <c r="H21" s="173">
        <f t="shared" si="2"/>
        <v>109.59586722105456</v>
      </c>
    </row>
    <row r="22" spans="1:8" x14ac:dyDescent="0.3">
      <c r="A22" s="167" t="s">
        <v>388</v>
      </c>
      <c r="B22" s="169">
        <f>бс!C39</f>
        <v>0</v>
      </c>
      <c r="C22" s="169">
        <f>бс!D39</f>
        <v>0</v>
      </c>
      <c r="D22" s="169">
        <f>бс!E39</f>
        <v>1500000</v>
      </c>
      <c r="E22" s="169">
        <f>бс!F39</f>
        <v>6966202.5</v>
      </c>
      <c r="F22" s="169">
        <f>бс!G39</f>
        <v>9685582.5</v>
      </c>
      <c r="G22" s="169">
        <f>бс!H39</f>
        <v>6674070</v>
      </c>
      <c r="H22" s="169">
        <f>бс!I39</f>
        <v>5182158.5</v>
      </c>
    </row>
    <row r="23" spans="1:8" x14ac:dyDescent="0.3">
      <c r="A23" s="167" t="s">
        <v>385</v>
      </c>
      <c r="B23" s="174">
        <f>B$22/B$4</f>
        <v>0</v>
      </c>
      <c r="C23" s="174">
        <f t="shared" ref="C23:H23" si="3">C$22/C$4</f>
        <v>0</v>
      </c>
      <c r="D23" s="174">
        <f t="shared" si="3"/>
        <v>2.7377078491754036E-2</v>
      </c>
      <c r="E23" s="174">
        <f t="shared" si="3"/>
        <v>0.12814765484559457</v>
      </c>
      <c r="F23" s="174">
        <f t="shared" si="3"/>
        <v>0.2003388387520334</v>
      </c>
      <c r="G23" s="174">
        <f t="shared" si="3"/>
        <v>0.16724940846542019</v>
      </c>
      <c r="H23" s="174">
        <f t="shared" si="3"/>
        <v>0.1641540415337252</v>
      </c>
    </row>
    <row r="24" spans="1:8" ht="17.25" customHeight="1" x14ac:dyDescent="0.3">
      <c r="A24" s="167" t="s">
        <v>389</v>
      </c>
      <c r="B24" s="169">
        <f>бс!C45</f>
        <v>0</v>
      </c>
      <c r="C24" s="169">
        <f>бс!D45</f>
        <v>433270.5</v>
      </c>
      <c r="D24" s="169">
        <f>бс!E45</f>
        <v>5796574.5</v>
      </c>
      <c r="E24" s="169">
        <f>бс!F45</f>
        <v>5370976.5</v>
      </c>
      <c r="F24" s="169">
        <f>бс!G45</f>
        <v>4797677.5</v>
      </c>
      <c r="G24" s="169">
        <f>бс!H45</f>
        <v>5118882</v>
      </c>
      <c r="H24" s="169">
        <f>бс!I45</f>
        <v>627405</v>
      </c>
    </row>
    <row r="25" spans="1:8" x14ac:dyDescent="0.3">
      <c r="A25" s="167" t="s">
        <v>385</v>
      </c>
      <c r="B25" s="174">
        <f>B$24/B$4</f>
        <v>0</v>
      </c>
      <c r="C25" s="174">
        <f t="shared" ref="C25:H25" si="4">C$24/C$4</f>
        <v>8.6929081895469121E-3</v>
      </c>
      <c r="D25" s="174">
        <f t="shared" si="4"/>
        <v>0.10579551671319995</v>
      </c>
      <c r="E25" s="174">
        <f t="shared" si="4"/>
        <v>9.8802474189603237E-2</v>
      </c>
      <c r="F25" s="174">
        <f t="shared" si="4"/>
        <v>9.9236276089410075E-2</v>
      </c>
      <c r="G25" s="174">
        <f t="shared" si="4"/>
        <v>0.12827704631570946</v>
      </c>
      <c r="H25" s="174">
        <f t="shared" si="4"/>
        <v>1.9874163715460819E-2</v>
      </c>
    </row>
    <row r="26" spans="1:8" ht="31.2" x14ac:dyDescent="0.3">
      <c r="A26" s="167" t="s">
        <v>390</v>
      </c>
      <c r="B26" s="169"/>
      <c r="C26" s="169"/>
      <c r="D26" s="169"/>
      <c r="E26" s="169"/>
      <c r="F26" s="169"/>
      <c r="G26" s="169"/>
      <c r="H26" s="169"/>
    </row>
    <row r="27" spans="1:8" x14ac:dyDescent="0.3">
      <c r="A27" s="167" t="s">
        <v>385</v>
      </c>
      <c r="B27" s="173"/>
      <c r="C27" s="173"/>
      <c r="D27" s="173"/>
      <c r="E27" s="173"/>
      <c r="F27" s="173"/>
      <c r="G27" s="173"/>
      <c r="H27" s="173"/>
    </row>
    <row r="28" spans="1:8" x14ac:dyDescent="0.3">
      <c r="A28" s="167" t="s">
        <v>391</v>
      </c>
      <c r="B28" s="169">
        <f>бс!C46</f>
        <v>4422336</v>
      </c>
      <c r="C28" s="169">
        <f>бс!D46</f>
        <v>2296283.5</v>
      </c>
      <c r="D28" s="169">
        <f>бс!E46</f>
        <v>2788064</v>
      </c>
      <c r="E28" s="169">
        <f>бс!F46</f>
        <v>3481279</v>
      </c>
      <c r="F28" s="169">
        <f>бс!G46</f>
        <v>2976565.5</v>
      </c>
      <c r="G28" s="169">
        <f>бс!H46</f>
        <v>1837002.5</v>
      </c>
      <c r="H28" s="169">
        <f>бс!I46</f>
        <v>1554821</v>
      </c>
    </row>
    <row r="29" spans="1:8" x14ac:dyDescent="0.3">
      <c r="A29" s="167" t="s">
        <v>385</v>
      </c>
      <c r="B29" s="174">
        <f>B$28/B$4</f>
        <v>9.1410111496980473E-2</v>
      </c>
      <c r="C29" s="174">
        <f t="shared" ref="C29:H29" si="5">C$28/C$4</f>
        <v>4.6071407221750488E-2</v>
      </c>
      <c r="D29" s="174">
        <f t="shared" si="5"/>
        <v>5.0886031312022489E-2</v>
      </c>
      <c r="E29" s="174">
        <f t="shared" si="5"/>
        <v>6.4040305993576352E-2</v>
      </c>
      <c r="F29" s="174">
        <f t="shared" si="5"/>
        <v>6.1567972369175078E-2</v>
      </c>
      <c r="G29" s="174">
        <f t="shared" si="5"/>
        <v>4.6034515891277446E-2</v>
      </c>
      <c r="H29" s="174">
        <f t="shared" si="5"/>
        <v>4.9251706795828062E-2</v>
      </c>
    </row>
    <row r="30" spans="1:8" x14ac:dyDescent="0.3">
      <c r="A30" s="167" t="s">
        <v>392</v>
      </c>
      <c r="B30" s="169">
        <f>бс!C37-бс!C15</f>
        <v>26019289</v>
      </c>
      <c r="C30" s="169">
        <f>бс!D37-бс!D15</f>
        <v>29543651.5</v>
      </c>
      <c r="D30" s="169">
        <f>бс!E37-бс!E15</f>
        <v>29998729</v>
      </c>
      <c r="E30" s="169">
        <f>бс!F37-бс!F15</f>
        <v>28280527.5</v>
      </c>
      <c r="F30" s="169">
        <f>бс!G37-бс!G15</f>
        <v>19653299.5</v>
      </c>
      <c r="G30" s="169">
        <f>бс!H37-бс!H15</f>
        <v>12357035</v>
      </c>
      <c r="H30" s="169">
        <f>бс!I37-бс!I15</f>
        <v>6523817</v>
      </c>
    </row>
    <row r="31" spans="1:8" ht="137.4" customHeight="1" x14ac:dyDescent="0.35">
      <c r="A31" s="175" t="s">
        <v>393</v>
      </c>
      <c r="B31" s="417" t="s">
        <v>394</v>
      </c>
      <c r="C31" s="418"/>
      <c r="D31" s="418"/>
      <c r="E31" s="418"/>
      <c r="F31" s="418"/>
      <c r="G31" s="418"/>
      <c r="H31" s="419"/>
    </row>
    <row r="32" spans="1:8" x14ac:dyDescent="0.3">
      <c r="A32" s="171" t="s">
        <v>380</v>
      </c>
      <c r="B32" s="176"/>
      <c r="C32" s="176"/>
    </row>
    <row r="33" spans="1:9" x14ac:dyDescent="0.3">
      <c r="A33" s="78"/>
    </row>
    <row r="34" spans="1:9" x14ac:dyDescent="0.3">
      <c r="A34" s="66" t="s">
        <v>395</v>
      </c>
    </row>
    <row r="35" spans="1:9" s="177" customFormat="1" x14ac:dyDescent="0.3">
      <c r="A35" s="164" t="s">
        <v>177</v>
      </c>
      <c r="B35" s="164" t="str">
        <f>B15</f>
        <v>2019 год</v>
      </c>
      <c r="C35" s="164" t="str">
        <f t="shared" ref="C35:H35" si="6">C15</f>
        <v>2018 год</v>
      </c>
      <c r="D35" s="164" t="str">
        <f t="shared" si="6"/>
        <v>2017 год</v>
      </c>
      <c r="E35" s="164" t="str">
        <f t="shared" si="6"/>
        <v>2016 год</v>
      </c>
      <c r="F35" s="164" t="str">
        <f t="shared" si="6"/>
        <v>2015 год</v>
      </c>
      <c r="G35" s="164" t="str">
        <f t="shared" si="6"/>
        <v>2014 год</v>
      </c>
      <c r="H35" s="164" t="str">
        <f t="shared" si="6"/>
        <v>2013 год</v>
      </c>
    </row>
    <row r="36" spans="1:9" s="177" customFormat="1" ht="18.75" customHeight="1" x14ac:dyDescent="0.3">
      <c r="A36" s="178" t="s">
        <v>396</v>
      </c>
      <c r="B36" s="179">
        <f>B$7/B$18 * 100</f>
        <v>8.5605067787664932</v>
      </c>
      <c r="C36" s="179">
        <f t="shared" ref="C36:H36" si="7">C$7/C$18 * 100</f>
        <v>10.23141858979414</v>
      </c>
      <c r="D36" s="179">
        <f t="shared" si="7"/>
        <v>18.250807832524139</v>
      </c>
      <c r="E36" s="179">
        <f t="shared" si="7"/>
        <v>19.586005972223575</v>
      </c>
      <c r="F36" s="179">
        <f t="shared" si="7"/>
        <v>29.729530678436177</v>
      </c>
      <c r="G36" s="179">
        <f t="shared" si="7"/>
        <v>1.5852252858974525</v>
      </c>
      <c r="H36" s="179">
        <f t="shared" si="7"/>
        <v>16.79621962894624</v>
      </c>
      <c r="I36" s="177" t="s">
        <v>397</v>
      </c>
    </row>
    <row r="37" spans="1:9" s="180" customFormat="1" x14ac:dyDescent="0.3">
      <c r="A37" s="181" t="s">
        <v>398</v>
      </c>
      <c r="B37" s="182">
        <v>6.5</v>
      </c>
      <c r="C37" s="182">
        <v>7.3</v>
      </c>
      <c r="D37" s="182">
        <v>7.8</v>
      </c>
      <c r="E37" s="182">
        <v>9.1</v>
      </c>
      <c r="F37" s="182">
        <v>12.5</v>
      </c>
      <c r="G37" s="182">
        <v>10</v>
      </c>
      <c r="H37" s="182">
        <v>10</v>
      </c>
    </row>
    <row r="38" spans="1:9" s="177" customFormat="1" x14ac:dyDescent="0.3">
      <c r="A38" s="178" t="s">
        <v>399</v>
      </c>
      <c r="B38" s="174">
        <f>'2'!C$19/э!B$4 *100</f>
        <v>9.2344110473562662</v>
      </c>
      <c r="C38" s="174">
        <f>'2'!D$19/э!C$4 *100</f>
        <v>14.416844660546261</v>
      </c>
      <c r="D38" s="174">
        <f>'2'!E$19/э!D$4 *100</f>
        <v>18.32743005952662</v>
      </c>
      <c r="E38" s="174">
        <f>'2'!F$19/э!E$4 *100</f>
        <v>17.271610808747319</v>
      </c>
      <c r="F38" s="174">
        <f>'2'!G$19/э!F$4 *100</f>
        <v>23.567446782831382</v>
      </c>
      <c r="G38" s="174">
        <f>'2'!H$19/э!G$4 *100</f>
        <v>1.4171745273001535</v>
      </c>
      <c r="H38" s="174">
        <f>'2'!I$19/э!H$4 *100</f>
        <v>16.1402676506485</v>
      </c>
    </row>
    <row r="39" spans="1:9" s="180" customFormat="1" x14ac:dyDescent="0.3">
      <c r="A39" s="181" t="s">
        <v>400</v>
      </c>
      <c r="B39" s="182">
        <v>9.0399999999999991</v>
      </c>
      <c r="C39" s="182">
        <v>8.91</v>
      </c>
      <c r="D39" s="182">
        <v>10.61</v>
      </c>
      <c r="E39" s="182">
        <v>12.82</v>
      </c>
      <c r="F39" s="182">
        <v>15.37</v>
      </c>
      <c r="G39" s="182">
        <v>11.4</v>
      </c>
      <c r="H39" s="182">
        <v>10.48</v>
      </c>
    </row>
    <row r="40" spans="1:9" s="177" customFormat="1" ht="31.2" x14ac:dyDescent="0.3">
      <c r="A40" s="178" t="s">
        <v>401</v>
      </c>
      <c r="B40" s="173">
        <f>B$6/B$4</f>
        <v>0.44751407778256497</v>
      </c>
      <c r="C40" s="173">
        <f t="shared" ref="C40:H40" si="8">C$6/C$4</f>
        <v>0.54481980303474176</v>
      </c>
      <c r="D40" s="173">
        <f t="shared" si="8"/>
        <v>0.43804561205615722</v>
      </c>
      <c r="E40" s="173">
        <f t="shared" si="8"/>
        <v>0.42776487498360261</v>
      </c>
      <c r="F40" s="173">
        <f t="shared" si="8"/>
        <v>0.55133645479083537</v>
      </c>
      <c r="G40" s="173">
        <f t="shared" si="8"/>
        <v>0.40423843245594848</v>
      </c>
      <c r="H40" s="173">
        <f t="shared" si="8"/>
        <v>0.54989671710036048</v>
      </c>
    </row>
    <row r="41" spans="1:9" s="177" customFormat="1" x14ac:dyDescent="0.3">
      <c r="A41" s="178" t="s">
        <v>402</v>
      </c>
      <c r="B41" s="183">
        <f>B$6/B$5</f>
        <v>8157.6164280331577</v>
      </c>
      <c r="C41" s="183">
        <f t="shared" ref="C41:H41" si="9">C$6/C$5</f>
        <v>10305.434155597723</v>
      </c>
      <c r="D41" s="183">
        <f t="shared" si="9"/>
        <v>9150.0865421273356</v>
      </c>
      <c r="E41" s="183">
        <f t="shared" si="9"/>
        <v>9058.6751071289436</v>
      </c>
      <c r="F41" s="183">
        <f t="shared" si="9"/>
        <v>10177.516227567774</v>
      </c>
      <c r="G41" s="183">
        <f t="shared" si="9"/>
        <v>6944.0774860094707</v>
      </c>
      <c r="H41" s="183">
        <f t="shared" si="9"/>
        <v>7858.5880488909006</v>
      </c>
    </row>
    <row r="42" spans="1:9" s="177" customFormat="1" ht="82.2" customHeight="1" x14ac:dyDescent="0.35">
      <c r="A42" s="184" t="s">
        <v>403</v>
      </c>
      <c r="B42" s="417" t="s">
        <v>404</v>
      </c>
      <c r="C42" s="418"/>
      <c r="D42" s="418"/>
      <c r="E42" s="418"/>
      <c r="F42" s="418"/>
      <c r="G42" s="418"/>
      <c r="H42" s="419"/>
    </row>
    <row r="43" spans="1:9" s="177" customFormat="1" x14ac:dyDescent="0.3">
      <c r="A43" s="171" t="s">
        <v>380</v>
      </c>
      <c r="B43" s="185"/>
      <c r="C43" s="185"/>
    </row>
    <row r="44" spans="1:9" s="177" customFormat="1" x14ac:dyDescent="0.3"/>
    <row r="45" spans="1:9" s="177" customFormat="1" x14ac:dyDescent="0.3">
      <c r="A45" s="186" t="s">
        <v>405</v>
      </c>
    </row>
    <row r="46" spans="1:9" s="187" customFormat="1" x14ac:dyDescent="0.25">
      <c r="A46" s="188" t="str">
        <f>A3</f>
        <v>Показатель</v>
      </c>
      <c r="B46" s="189" t="s">
        <v>406</v>
      </c>
      <c r="C46" s="189" t="s">
        <v>407</v>
      </c>
      <c r="D46" s="189" t="s">
        <v>408</v>
      </c>
      <c r="E46" s="189" t="s">
        <v>409</v>
      </c>
      <c r="F46" s="189" t="s">
        <v>410</v>
      </c>
      <c r="G46" s="189" t="s">
        <v>411</v>
      </c>
    </row>
    <row r="47" spans="1:9" s="177" customFormat="1" x14ac:dyDescent="0.3">
      <c r="A47" s="190" t="s">
        <v>412</v>
      </c>
      <c r="B47" s="191">
        <f>(B4-C4)/C4*100</f>
        <v>-2.9348186825904516</v>
      </c>
      <c r="C47" s="191">
        <f t="shared" ref="C47:G47" si="10">(C4-D4)/D4*100</f>
        <v>-9.0317438228938105</v>
      </c>
      <c r="D47" s="191">
        <f t="shared" si="10"/>
        <v>0.7902972418573555</v>
      </c>
      <c r="E47" s="191">
        <f t="shared" si="10"/>
        <v>12.441036234534787</v>
      </c>
      <c r="F47" s="191">
        <f t="shared" si="10"/>
        <v>21.153070583860334</v>
      </c>
      <c r="G47" s="191">
        <f t="shared" si="10"/>
        <v>26.405815436789947</v>
      </c>
    </row>
    <row r="48" spans="1:9" s="177" customFormat="1" x14ac:dyDescent="0.3">
      <c r="A48" s="190" t="s">
        <v>413</v>
      </c>
      <c r="B48" s="191">
        <f t="shared" ref="B48:B49" si="11">(B6-C6)/C6*100</f>
        <v>-20.270821911941304</v>
      </c>
      <c r="C48" s="191">
        <f t="shared" ref="C48:G49" si="12">(C6-D6)/D6*100</f>
        <v>13.141887622586646</v>
      </c>
      <c r="D48" s="191">
        <f t="shared" si="12"/>
        <v>3.2126526197922138</v>
      </c>
      <c r="E48" s="191">
        <f t="shared" si="12"/>
        <v>-12.760483385521956</v>
      </c>
      <c r="F48" s="191">
        <f t="shared" si="12"/>
        <v>65.239371271331166</v>
      </c>
      <c r="G48" s="191">
        <f t="shared" si="12"/>
        <v>-7.0769344561151417</v>
      </c>
    </row>
    <row r="49" spans="1:256" s="177" customFormat="1" x14ac:dyDescent="0.3">
      <c r="A49" s="190" t="s">
        <v>414</v>
      </c>
      <c r="B49" s="191">
        <f t="shared" si="11"/>
        <v>-22.292487536820634</v>
      </c>
      <c r="C49" s="191">
        <f t="shared" si="12"/>
        <v>-41.089881505260415</v>
      </c>
      <c r="D49" s="191">
        <f t="shared" si="12"/>
        <v>8.0078986480489736</v>
      </c>
      <c r="E49" s="191">
        <f t="shared" si="12"/>
        <v>-17.801695628380255</v>
      </c>
      <c r="F49" s="191">
        <f t="shared" si="12"/>
        <v>2099.9170884971199</v>
      </c>
      <c r="G49" s="191">
        <f t="shared" si="12"/>
        <v>-89.760602118934372</v>
      </c>
    </row>
    <row r="50" spans="1:256" s="177" customFormat="1" x14ac:dyDescent="0.3">
      <c r="A50" s="190" t="s">
        <v>415</v>
      </c>
      <c r="B50" s="191">
        <v>3.05</v>
      </c>
      <c r="C50" s="191">
        <v>4.2699999999999996</v>
      </c>
      <c r="D50" s="191">
        <v>2.52</v>
      </c>
      <c r="E50" s="191">
        <v>5.38</v>
      </c>
      <c r="F50" s="191">
        <v>12.91</v>
      </c>
      <c r="G50" s="191">
        <v>11.36</v>
      </c>
    </row>
    <row r="51" spans="1:256" s="177" customFormat="1" ht="31.5" customHeight="1" x14ac:dyDescent="0.35">
      <c r="A51" s="184" t="s">
        <v>416</v>
      </c>
      <c r="B51" s="420"/>
      <c r="C51" s="421"/>
      <c r="D51" s="421"/>
      <c r="E51" s="421"/>
      <c r="F51" s="421"/>
      <c r="G51" s="422"/>
    </row>
    <row r="52" spans="1:256" s="177" customFormat="1" x14ac:dyDescent="0.3">
      <c r="A52" s="171" t="s">
        <v>380</v>
      </c>
    </row>
    <row r="53" spans="1:256" s="177" customFormat="1" x14ac:dyDescent="0.3"/>
    <row r="54" spans="1:256" s="177" customFormat="1" x14ac:dyDescent="0.3"/>
    <row r="55" spans="1:256" s="177" customFormat="1" x14ac:dyDescent="0.3">
      <c r="A55" s="192" t="s">
        <v>417</v>
      </c>
    </row>
    <row r="56" spans="1:256" s="177" customFormat="1" x14ac:dyDescent="0.3">
      <c r="A56" s="164" t="s">
        <v>177</v>
      </c>
      <c r="B56" s="164" t="str">
        <f>B3</f>
        <v>2019 год</v>
      </c>
      <c r="C56" s="164" t="str">
        <f t="shared" ref="C56:H56" si="13">C3</f>
        <v>2018 год</v>
      </c>
      <c r="D56" s="164" t="str">
        <f t="shared" si="13"/>
        <v>2017 год</v>
      </c>
      <c r="E56" s="164" t="str">
        <f t="shared" si="13"/>
        <v>2016 год</v>
      </c>
      <c r="F56" s="164" t="str">
        <f t="shared" si="13"/>
        <v>2015 год</v>
      </c>
      <c r="G56" s="164" t="str">
        <f t="shared" si="13"/>
        <v>2014 год</v>
      </c>
      <c r="H56" s="164" t="str">
        <f t="shared" si="13"/>
        <v>2013 год</v>
      </c>
    </row>
    <row r="57" spans="1:256" s="177" customFormat="1" ht="16.5" customHeight="1" x14ac:dyDescent="0.3">
      <c r="A57" s="178" t="s">
        <v>396</v>
      </c>
      <c r="B57" s="193">
        <f>B36</f>
        <v>8.5605067787664932</v>
      </c>
      <c r="C57" s="193">
        <f t="shared" ref="C57:H57" si="14">C36</f>
        <v>10.23141858979414</v>
      </c>
      <c r="D57" s="193">
        <f t="shared" si="14"/>
        <v>18.250807832524139</v>
      </c>
      <c r="E57" s="193">
        <f t="shared" si="14"/>
        <v>19.586005972223575</v>
      </c>
      <c r="F57" s="193">
        <f t="shared" si="14"/>
        <v>29.729530678436177</v>
      </c>
      <c r="G57" s="193">
        <f t="shared" si="14"/>
        <v>1.5852252858974525</v>
      </c>
      <c r="H57" s="193">
        <f t="shared" si="14"/>
        <v>16.79621962894624</v>
      </c>
    </row>
    <row r="58" spans="1:256" s="177" customFormat="1" x14ac:dyDescent="0.3">
      <c r="A58" s="178" t="s">
        <v>413</v>
      </c>
      <c r="B58" s="193">
        <f>B48</f>
        <v>-20.270821911941304</v>
      </c>
      <c r="C58" s="193">
        <f t="shared" ref="C58:H58" si="15">C48</f>
        <v>13.141887622586646</v>
      </c>
      <c r="D58" s="193">
        <f t="shared" si="15"/>
        <v>3.2126526197922138</v>
      </c>
      <c r="E58" s="193">
        <f t="shared" si="15"/>
        <v>-12.760483385521956</v>
      </c>
      <c r="F58" s="193">
        <f t="shared" si="15"/>
        <v>65.239371271331166</v>
      </c>
      <c r="G58" s="193">
        <f t="shared" si="15"/>
        <v>-7.0769344561151417</v>
      </c>
      <c r="H58" s="193">
        <f t="shared" si="15"/>
        <v>0</v>
      </c>
    </row>
    <row r="59" spans="1:256" s="177" customFormat="1" ht="84" customHeight="1" x14ac:dyDescent="0.35">
      <c r="A59" s="194" t="s">
        <v>418</v>
      </c>
      <c r="B59" s="417"/>
      <c r="C59" s="418"/>
      <c r="D59" s="418"/>
      <c r="E59" s="418"/>
      <c r="F59" s="418"/>
      <c r="G59" s="418"/>
      <c r="H59" s="419"/>
    </row>
    <row r="60" spans="1:256" s="177" customFormat="1" x14ac:dyDescent="0.3">
      <c r="A60" s="171" t="s">
        <v>380</v>
      </c>
    </row>
    <row r="61" spans="1:256" s="177" customFormat="1" x14ac:dyDescent="0.3"/>
    <row r="62" spans="1:256" s="195" customFormat="1" x14ac:dyDescent="0.3">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row>
    <row r="63" spans="1:256" s="195" customFormat="1" x14ac:dyDescent="0.3">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row>
    <row r="64" spans="1:256" s="196" customFormat="1" x14ac:dyDescent="0.3">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row>
    <row r="65" spans="1:256" s="195" customFormat="1" x14ac:dyDescent="0.3">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row>
    <row r="66" spans="1:256" s="195" customFormat="1" x14ac:dyDescent="0.3">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row>
    <row r="67" spans="1:256" s="195" customFormat="1" x14ac:dyDescent="0.3">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row>
    <row r="68" spans="1:256" s="195" customFormat="1" x14ac:dyDescent="0.3">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row>
    <row r="69" spans="1:256" s="177" customFormat="1" x14ac:dyDescent="0.3">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row>
    <row r="70" spans="1:256" s="177" customFormat="1" x14ac:dyDescent="0.3">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row>
    <row r="71" spans="1:256" s="177" customFormat="1" x14ac:dyDescent="0.3">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row>
    <row r="72" spans="1:256" s="177" customFormat="1" x14ac:dyDescent="0.3">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row>
    <row r="73" spans="1:256" s="177" customFormat="1" x14ac:dyDescent="0.3">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row>
    <row r="74" spans="1:256" s="177" customFormat="1" x14ac:dyDescent="0.3">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row>
    <row r="75" spans="1:256" s="177" customFormat="1" x14ac:dyDescent="0.3">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row>
    <row r="76" spans="1:256" s="177" customFormat="1" x14ac:dyDescent="0.3">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row>
    <row r="77" spans="1:256" s="177" customFormat="1" x14ac:dyDescent="0.3">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row>
    <row r="78" spans="1:256" s="177" customFormat="1" x14ac:dyDescent="0.3">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row>
    <row r="79" spans="1:256" s="177" customFormat="1" x14ac:dyDescent="0.3">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row>
    <row r="80" spans="1:256" s="177" customFormat="1" x14ac:dyDescent="0.3">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row>
    <row r="81" spans="1:256" s="177" customFormat="1" x14ac:dyDescent="0.3">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row>
    <row r="82" spans="1:256" s="177" customFormat="1" x14ac:dyDescent="0.3">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row>
    <row r="83" spans="1:256" s="177" customFormat="1" x14ac:dyDescent="0.3">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row>
    <row r="84" spans="1:256" s="177" customFormat="1" x14ac:dyDescent="0.3">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row>
    <row r="85" spans="1:256" s="177" customFormat="1" x14ac:dyDescent="0.3">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row>
    <row r="86" spans="1:256" s="177" customFormat="1" x14ac:dyDescent="0.3">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row>
    <row r="87" spans="1:256" s="177" customFormat="1" ht="16.5" customHeight="1" x14ac:dyDescent="0.3">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row>
    <row r="88" spans="1:256" s="177" customFormat="1" x14ac:dyDescent="0.3">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row>
    <row r="89" spans="1:256" s="177" customFormat="1" x14ac:dyDescent="0.3">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row>
    <row r="90" spans="1:256" s="177" customFormat="1" x14ac:dyDescent="0.3">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row>
    <row r="91" spans="1:256" s="177" customFormat="1" x14ac:dyDescent="0.3">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row>
    <row r="92" spans="1:256" s="177" customFormat="1" x14ac:dyDescent="0.3">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row>
    <row r="93" spans="1:256" s="177" customFormat="1" x14ac:dyDescent="0.3">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row>
    <row r="94" spans="1:256" s="177" customFormat="1" x14ac:dyDescent="0.3">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row>
    <row r="95" spans="1:256" s="177" customFormat="1" x14ac:dyDescent="0.3">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row>
    <row r="96" spans="1:256" s="177" customFormat="1" x14ac:dyDescent="0.3">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row>
    <row r="97" spans="1:256" s="177" customFormat="1" x14ac:dyDescent="0.3">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row>
    <row r="98" spans="1:256" s="177" customFormat="1" x14ac:dyDescent="0.3">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row>
    <row r="99" spans="1:256" s="177" customFormat="1" ht="15.75" customHeight="1" x14ac:dyDescent="0.3">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row>
  </sheetData>
  <mergeCells count="5">
    <mergeCell ref="B11:H11"/>
    <mergeCell ref="B31:H31"/>
    <mergeCell ref="B42:H42"/>
    <mergeCell ref="B51:G51"/>
    <mergeCell ref="B59:H59"/>
  </mergeCells>
  <pageMargins left="0.75" right="0.75" top="0.47000000000000003" bottom="0.51000000000000023" header="0.5" footer="0.5"/>
  <pageSetup paperSize="9" scale="31" orientation="portrait" horizontalDpi="429496729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IV129"/>
  <sheetViews>
    <sheetView topLeftCell="A107" zoomScale="70" workbookViewId="0">
      <pane xSplit="1" topLeftCell="B1" activePane="topRight" state="frozen"/>
      <selection activeCell="D101" sqref="D101"/>
      <selection pane="topRight" activeCell="A85" sqref="A85"/>
    </sheetView>
  </sheetViews>
  <sheetFormatPr defaultColWidth="9.109375" defaultRowHeight="15.6" x14ac:dyDescent="0.3"/>
  <cols>
    <col min="1" max="1" width="53.109375" style="197" customWidth="1"/>
    <col min="2" max="2" width="15.6640625" style="197" customWidth="1"/>
    <col min="3" max="6" width="16.33203125" style="197" customWidth="1"/>
    <col min="7" max="7" width="21.88671875" style="197" customWidth="1"/>
    <col min="8" max="18" width="16.33203125" style="197" customWidth="1"/>
    <col min="19" max="24" width="16.88671875" style="197" customWidth="1"/>
    <col min="25" max="25" width="18.33203125" style="197" bestFit="1" customWidth="1"/>
    <col min="26" max="39" width="16.88671875" style="197" customWidth="1"/>
    <col min="40" max="16384" width="9.109375" style="197"/>
  </cols>
  <sheetData>
    <row r="1" spans="1:256" x14ac:dyDescent="0.3">
      <c r="A1" s="198" t="s">
        <v>419</v>
      </c>
    </row>
    <row r="2" spans="1:256" ht="15.75" customHeight="1" x14ac:dyDescent="0.3">
      <c r="A2" s="423" t="s">
        <v>177</v>
      </c>
      <c r="B2" s="426" t="s">
        <v>420</v>
      </c>
      <c r="C2" s="429" t="s">
        <v>421</v>
      </c>
      <c r="D2" s="429"/>
      <c r="E2" s="429"/>
      <c r="F2" s="429"/>
      <c r="G2" s="429"/>
      <c r="H2" s="429"/>
      <c r="I2" s="429"/>
      <c r="J2" s="429"/>
      <c r="K2" s="430" t="s">
        <v>422</v>
      </c>
      <c r="L2" s="430"/>
      <c r="M2" s="430"/>
      <c r="N2" s="430"/>
      <c r="O2" s="430"/>
      <c r="P2" s="430"/>
      <c r="Q2" s="430"/>
      <c r="R2" s="430"/>
      <c r="S2" s="431" t="s">
        <v>423</v>
      </c>
      <c r="T2" s="431"/>
      <c r="U2" s="431"/>
      <c r="V2" s="431"/>
      <c r="W2" s="431"/>
      <c r="X2" s="431"/>
      <c r="Y2" s="431"/>
      <c r="Z2" s="431"/>
      <c r="AA2" s="431"/>
      <c r="AB2" s="431"/>
      <c r="AC2" s="431"/>
      <c r="AD2" s="431"/>
      <c r="AE2" s="431"/>
      <c r="AF2" s="431"/>
      <c r="AG2" s="431"/>
      <c r="AH2" s="431"/>
      <c r="AI2" s="431"/>
      <c r="AJ2" s="431"/>
      <c r="AK2" s="431"/>
      <c r="AL2" s="431"/>
      <c r="AM2" s="431"/>
    </row>
    <row r="3" spans="1:256" x14ac:dyDescent="0.3">
      <c r="A3" s="424"/>
      <c r="B3" s="427"/>
      <c r="C3" s="429"/>
      <c r="D3" s="429"/>
      <c r="E3" s="429"/>
      <c r="F3" s="429"/>
      <c r="G3" s="429"/>
      <c r="H3" s="429"/>
      <c r="I3" s="429"/>
      <c r="J3" s="429"/>
      <c r="K3" s="430"/>
      <c r="L3" s="430"/>
      <c r="M3" s="430"/>
      <c r="N3" s="430"/>
      <c r="O3" s="430"/>
      <c r="P3" s="430"/>
      <c r="Q3" s="430"/>
      <c r="R3" s="430"/>
      <c r="S3" s="425" t="s">
        <v>320</v>
      </c>
      <c r="T3" s="425"/>
      <c r="U3" s="425"/>
      <c r="V3" s="432" t="s">
        <v>321</v>
      </c>
      <c r="W3" s="432"/>
      <c r="X3" s="432"/>
      <c r="Y3" s="432" t="s">
        <v>322</v>
      </c>
      <c r="Z3" s="432"/>
      <c r="AA3" s="432"/>
      <c r="AB3" s="432" t="s">
        <v>323</v>
      </c>
      <c r="AC3" s="432"/>
      <c r="AD3" s="432"/>
      <c r="AE3" s="432" t="s">
        <v>324</v>
      </c>
      <c r="AF3" s="432"/>
      <c r="AG3" s="432"/>
      <c r="AH3" s="433" t="s">
        <v>325</v>
      </c>
      <c r="AI3" s="434"/>
      <c r="AJ3" s="435"/>
      <c r="AK3" s="436" t="s">
        <v>326</v>
      </c>
      <c r="AL3" s="436"/>
      <c r="AM3" s="436"/>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c r="EZ3" s="201"/>
      <c r="FA3" s="201"/>
      <c r="FB3" s="201"/>
      <c r="FC3" s="201"/>
      <c r="FD3" s="201"/>
      <c r="FE3" s="201"/>
      <c r="FF3" s="201"/>
      <c r="FG3" s="201"/>
      <c r="FH3" s="201"/>
      <c r="FI3" s="201"/>
      <c r="FJ3" s="201"/>
      <c r="FK3" s="201"/>
      <c r="FL3" s="201"/>
      <c r="FM3" s="201"/>
      <c r="FN3" s="201"/>
      <c r="FO3" s="201"/>
      <c r="FP3" s="201"/>
      <c r="FQ3" s="201"/>
      <c r="FR3" s="201"/>
      <c r="FS3" s="201"/>
      <c r="FT3" s="201"/>
      <c r="FU3" s="201"/>
      <c r="FV3" s="201"/>
      <c r="FW3" s="201"/>
      <c r="FX3" s="201"/>
      <c r="FY3" s="201"/>
      <c r="FZ3" s="201"/>
      <c r="GA3" s="201"/>
      <c r="GB3" s="201"/>
      <c r="GC3" s="201"/>
      <c r="GD3" s="201"/>
      <c r="GE3" s="201"/>
      <c r="GF3" s="201"/>
      <c r="GG3" s="201"/>
      <c r="GH3" s="201"/>
      <c r="GI3" s="201"/>
      <c r="GJ3" s="201"/>
      <c r="GK3" s="201"/>
      <c r="GL3" s="201"/>
      <c r="GM3" s="201"/>
      <c r="GN3" s="201"/>
      <c r="GO3" s="201"/>
      <c r="GP3" s="201"/>
      <c r="GQ3" s="201"/>
      <c r="GR3" s="201"/>
      <c r="GS3" s="201"/>
      <c r="GT3" s="201"/>
      <c r="GU3" s="201"/>
      <c r="GV3" s="201"/>
      <c r="GW3" s="201"/>
      <c r="GX3" s="201"/>
      <c r="GY3" s="201"/>
      <c r="GZ3" s="201"/>
      <c r="HA3" s="201"/>
      <c r="HB3" s="201"/>
      <c r="HC3" s="201"/>
      <c r="HD3" s="201"/>
      <c r="HE3" s="201"/>
      <c r="HF3" s="201"/>
      <c r="HG3" s="201"/>
      <c r="HH3" s="201"/>
      <c r="HI3" s="201"/>
      <c r="HJ3" s="201"/>
      <c r="HK3" s="201"/>
      <c r="HL3" s="201"/>
      <c r="HM3" s="201"/>
      <c r="HN3" s="201"/>
      <c r="HO3" s="201"/>
      <c r="HP3" s="201"/>
      <c r="HQ3" s="201"/>
      <c r="HR3" s="201"/>
      <c r="HS3" s="201"/>
      <c r="HT3" s="201"/>
      <c r="HU3" s="201"/>
      <c r="HV3" s="201"/>
      <c r="HW3" s="201"/>
      <c r="HX3" s="201"/>
      <c r="HY3" s="201"/>
      <c r="HZ3" s="201"/>
      <c r="IA3" s="201"/>
      <c r="IB3" s="201"/>
      <c r="IC3" s="201"/>
      <c r="ID3" s="201"/>
      <c r="IE3" s="201"/>
      <c r="IF3" s="201"/>
      <c r="IG3" s="201"/>
      <c r="IH3" s="201"/>
      <c r="II3" s="201"/>
      <c r="IJ3" s="201"/>
      <c r="IK3" s="201"/>
      <c r="IL3" s="201"/>
      <c r="IM3" s="201"/>
      <c r="IN3" s="201"/>
      <c r="IO3" s="201"/>
      <c r="IP3" s="201"/>
      <c r="IQ3" s="201"/>
      <c r="IR3" s="201"/>
      <c r="IS3" s="201"/>
      <c r="IT3" s="201"/>
      <c r="IU3" s="201"/>
      <c r="IV3" s="201"/>
    </row>
    <row r="4" spans="1:256" ht="31.2" x14ac:dyDescent="0.3">
      <c r="A4" s="425"/>
      <c r="B4" s="428"/>
      <c r="C4" s="203" t="s">
        <v>424</v>
      </c>
      <c r="D4" s="203" t="s">
        <v>425</v>
      </c>
      <c r="E4" s="203" t="s">
        <v>426</v>
      </c>
      <c r="F4" s="203" t="s">
        <v>427</v>
      </c>
      <c r="G4" s="203" t="s">
        <v>428</v>
      </c>
      <c r="H4" s="203" t="s">
        <v>429</v>
      </c>
      <c r="I4" s="203" t="s">
        <v>430</v>
      </c>
      <c r="J4" s="203" t="s">
        <v>431</v>
      </c>
      <c r="K4" s="204" t="str">
        <f t="shared" ref="K4:R4" si="0">C4</f>
        <v>31.12.2019</v>
      </c>
      <c r="L4" s="204" t="str">
        <f t="shared" si="0"/>
        <v>31.12.2018</v>
      </c>
      <c r="M4" s="204" t="str">
        <f t="shared" si="0"/>
        <v>31.12.2017</v>
      </c>
      <c r="N4" s="204" t="str">
        <f t="shared" si="0"/>
        <v>31.12.2016</v>
      </c>
      <c r="O4" s="204" t="str">
        <f t="shared" si="0"/>
        <v>31.12.2015</v>
      </c>
      <c r="P4" s="204" t="str">
        <f t="shared" si="0"/>
        <v>31.12.2014</v>
      </c>
      <c r="Q4" s="204" t="str">
        <f t="shared" si="0"/>
        <v>31.12.2013</v>
      </c>
      <c r="R4" s="204" t="str">
        <f t="shared" si="0"/>
        <v>31.12.2012</v>
      </c>
      <c r="S4" s="204" t="s">
        <v>432</v>
      </c>
      <c r="T4" s="204" t="s">
        <v>433</v>
      </c>
      <c r="U4" s="205" t="s">
        <v>434</v>
      </c>
      <c r="V4" s="205" t="s">
        <v>432</v>
      </c>
      <c r="W4" s="205" t="s">
        <v>433</v>
      </c>
      <c r="X4" s="205" t="s">
        <v>434</v>
      </c>
      <c r="Y4" s="205" t="str">
        <f t="shared" ref="Y4:AM4" si="1">V4</f>
        <v>в тыс. руб.</v>
      </c>
      <c r="Z4" s="205" t="str">
        <f t="shared" si="1"/>
        <v>темп прироста, %</v>
      </c>
      <c r="AA4" s="205" t="str">
        <f t="shared" si="1"/>
        <v>в структуре, %</v>
      </c>
      <c r="AB4" s="205" t="str">
        <f t="shared" si="1"/>
        <v>в тыс. руб.</v>
      </c>
      <c r="AC4" s="205" t="str">
        <f t="shared" si="1"/>
        <v>темп прироста, %</v>
      </c>
      <c r="AD4" s="205" t="str">
        <f t="shared" si="1"/>
        <v>в структуре, %</v>
      </c>
      <c r="AE4" s="205" t="str">
        <f t="shared" si="1"/>
        <v>в тыс. руб.</v>
      </c>
      <c r="AF4" s="205" t="str">
        <f t="shared" si="1"/>
        <v>темп прироста, %</v>
      </c>
      <c r="AG4" s="205" t="str">
        <f t="shared" si="1"/>
        <v>в структуре, %</v>
      </c>
      <c r="AH4" s="205" t="str">
        <f t="shared" si="1"/>
        <v>в тыс. руб.</v>
      </c>
      <c r="AI4" s="205" t="str">
        <f t="shared" si="1"/>
        <v>темп прироста, %</v>
      </c>
      <c r="AJ4" s="205" t="str">
        <f t="shared" si="1"/>
        <v>в структуре, %</v>
      </c>
      <c r="AK4" s="205" t="str">
        <f t="shared" si="1"/>
        <v>в тыс. руб.</v>
      </c>
      <c r="AL4" s="205" t="str">
        <f t="shared" si="1"/>
        <v>темп прироста, %</v>
      </c>
      <c r="AM4" s="205" t="str">
        <f t="shared" si="1"/>
        <v>в структуре, %</v>
      </c>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c r="GB4" s="201"/>
      <c r="GC4" s="201"/>
      <c r="GD4" s="201"/>
      <c r="GE4" s="201"/>
      <c r="GF4" s="201"/>
      <c r="GG4" s="201"/>
      <c r="GH4" s="201"/>
      <c r="GI4" s="201"/>
      <c r="GJ4" s="201"/>
      <c r="GK4" s="201"/>
      <c r="GL4" s="201"/>
      <c r="GM4" s="201"/>
      <c r="GN4" s="201"/>
      <c r="GO4" s="201"/>
      <c r="GP4" s="201"/>
      <c r="GQ4" s="201"/>
      <c r="GR4" s="201"/>
      <c r="GS4" s="201"/>
      <c r="GT4" s="201"/>
      <c r="GU4" s="201"/>
      <c r="GV4" s="201"/>
      <c r="GW4" s="201"/>
      <c r="GX4" s="201"/>
      <c r="GY4" s="201"/>
      <c r="GZ4" s="201"/>
      <c r="HA4" s="201"/>
      <c r="HB4" s="201"/>
      <c r="HC4" s="201"/>
      <c r="HD4" s="201"/>
      <c r="HE4" s="201"/>
      <c r="HF4" s="201"/>
      <c r="HG4" s="201"/>
      <c r="HH4" s="201"/>
      <c r="HI4" s="201"/>
      <c r="HJ4" s="201"/>
      <c r="HK4" s="201"/>
      <c r="HL4" s="201"/>
      <c r="HM4" s="201"/>
      <c r="HN4" s="201"/>
      <c r="HO4" s="201"/>
      <c r="HP4" s="201"/>
      <c r="HQ4" s="201"/>
      <c r="HR4" s="201"/>
      <c r="HS4" s="201"/>
      <c r="HT4" s="201"/>
      <c r="HU4" s="201"/>
      <c r="HV4" s="201"/>
      <c r="HW4" s="201"/>
      <c r="HX4" s="201"/>
      <c r="HY4" s="201"/>
      <c r="HZ4" s="201"/>
      <c r="IA4" s="201"/>
      <c r="IB4" s="201"/>
      <c r="IC4" s="201"/>
      <c r="ID4" s="201"/>
      <c r="IE4" s="201"/>
      <c r="IF4" s="201"/>
      <c r="IG4" s="201"/>
      <c r="IH4" s="201"/>
      <c r="II4" s="201"/>
      <c r="IJ4" s="201"/>
      <c r="IK4" s="201"/>
      <c r="IL4" s="201"/>
      <c r="IM4" s="201"/>
      <c r="IN4" s="201"/>
      <c r="IO4" s="201"/>
      <c r="IP4" s="201"/>
      <c r="IQ4" s="201"/>
      <c r="IR4" s="201"/>
      <c r="IS4" s="201"/>
      <c r="IT4" s="201"/>
      <c r="IU4" s="201"/>
      <c r="IV4" s="201"/>
    </row>
    <row r="5" spans="1:256" x14ac:dyDescent="0.3">
      <c r="A5" s="206" t="s">
        <v>6</v>
      </c>
      <c r="B5" s="207"/>
      <c r="C5" s="207"/>
      <c r="D5" s="208"/>
      <c r="E5" s="209"/>
      <c r="F5" s="209"/>
      <c r="G5" s="209"/>
      <c r="H5" s="209"/>
      <c r="I5" s="209"/>
      <c r="J5" s="209"/>
      <c r="K5" s="209"/>
      <c r="L5" s="209"/>
      <c r="M5" s="209"/>
      <c r="N5" s="209"/>
      <c r="O5" s="209"/>
      <c r="P5" s="209"/>
      <c r="Q5" s="209"/>
      <c r="R5" s="209"/>
      <c r="S5" s="209"/>
      <c r="T5" s="210"/>
      <c r="U5" s="211"/>
      <c r="V5" s="211"/>
      <c r="W5" s="211"/>
      <c r="X5" s="211"/>
      <c r="Y5" s="211"/>
      <c r="Z5" s="211"/>
      <c r="AA5" s="211"/>
      <c r="AB5" s="211"/>
      <c r="AC5" s="211"/>
      <c r="AD5" s="211"/>
      <c r="AE5" s="211"/>
      <c r="AF5" s="211"/>
      <c r="AG5" s="211"/>
      <c r="AH5" s="211"/>
      <c r="AI5" s="211"/>
      <c r="AJ5" s="211"/>
      <c r="AK5" s="211"/>
      <c r="AL5" s="211"/>
      <c r="AM5" s="211"/>
    </row>
    <row r="6" spans="1:256" x14ac:dyDescent="0.3">
      <c r="A6" s="212" t="s">
        <v>435</v>
      </c>
      <c r="B6" s="213" t="s">
        <v>436</v>
      </c>
      <c r="C6" s="214">
        <f>'1'!C15+'1'!C20</f>
        <v>19653099</v>
      </c>
      <c r="D6" s="214">
        <f>'1'!D15+'1'!D20</f>
        <v>14471049</v>
      </c>
      <c r="E6" s="214">
        <f>'1'!E15+'1'!E20</f>
        <v>19315685</v>
      </c>
      <c r="F6" s="214">
        <f>'1'!F15+'1'!F20</f>
        <v>9072614</v>
      </c>
      <c r="G6" s="214">
        <f>'1'!G15+'1'!G20</f>
        <v>10739661</v>
      </c>
      <c r="H6" s="214">
        <f>'1'!H15+'1'!H20</f>
        <v>11502191</v>
      </c>
      <c r="I6" s="214">
        <f>'1'!I15+'1'!I20</f>
        <v>17901622</v>
      </c>
      <c r="J6" s="214">
        <f>'1'!J15+'1'!J20</f>
        <v>21520557</v>
      </c>
      <c r="K6" s="215">
        <f t="shared" ref="K6:K9" si="2">(C6/C$10)*100</f>
        <v>40.789630383013801</v>
      </c>
      <c r="L6" s="215">
        <f t="shared" ref="L6:R9" si="3">(D6/D$10)*100</f>
        <v>29.790207328518527</v>
      </c>
      <c r="M6" s="215">
        <f t="shared" si="3"/>
        <v>37.794493337046582</v>
      </c>
      <c r="N6" s="215">
        <f t="shared" si="3"/>
        <v>15.515749163981408</v>
      </c>
      <c r="O6" s="215">
        <f t="shared" si="3"/>
        <v>21.373345259797631</v>
      </c>
      <c r="P6" s="215">
        <f t="shared" si="3"/>
        <v>24.765670949062802</v>
      </c>
      <c r="Q6" s="215">
        <f t="shared" si="3"/>
        <v>53.652773985210025</v>
      </c>
      <c r="R6" s="215">
        <f t="shared" si="3"/>
        <v>72.284421491375767</v>
      </c>
      <c r="S6" s="215">
        <f t="shared" ref="S6:S9" si="4">C6-D6</f>
        <v>5182050</v>
      </c>
      <c r="T6" s="216">
        <f t="shared" ref="T6:T9" si="5">((C6-D6)/D6)*100</f>
        <v>35.809774398524944</v>
      </c>
      <c r="U6" s="217"/>
      <c r="V6" s="217">
        <f t="shared" ref="V6:V9" si="6">D6-E6</f>
        <v>-4844636</v>
      </c>
      <c r="W6" s="217">
        <f t="shared" ref="W6:W9" si="7">((D6-E6)/E6)*100</f>
        <v>-25.081357456388421</v>
      </c>
      <c r="X6" s="218"/>
      <c r="Y6" s="217">
        <f t="shared" ref="Y6:Y9" si="8">E6-F6</f>
        <v>10243071</v>
      </c>
      <c r="Z6" s="217">
        <f t="shared" ref="Z6:Z9" si="9">((E6-F6)/F6)*100</f>
        <v>112.90098972578355</v>
      </c>
      <c r="AA6" s="218"/>
      <c r="AB6" s="217">
        <f t="shared" ref="AB6:AB9" si="10">F6-G6</f>
        <v>-1667047</v>
      </c>
      <c r="AC6" s="217">
        <f t="shared" ref="AC6:AC9" si="11">((F6-G6)/G6)*100</f>
        <v>-15.522342837450829</v>
      </c>
      <c r="AD6" s="218"/>
      <c r="AE6" s="217">
        <f t="shared" ref="AE6:AE9" si="12">G6-H6</f>
        <v>-762530</v>
      </c>
      <c r="AF6" s="217">
        <f t="shared" ref="AF6:AF9" si="13">((G6-H6)/H6)*100</f>
        <v>-6.6294326011452949</v>
      </c>
      <c r="AG6" s="218"/>
      <c r="AH6" s="217">
        <f t="shared" ref="AH6:AH9" si="14">H6-I6</f>
        <v>-6399431</v>
      </c>
      <c r="AI6" s="217">
        <f t="shared" ref="AI6:AI9" si="15">((H6-I6)/I6)*100</f>
        <v>-35.747771905808314</v>
      </c>
      <c r="AJ6" s="218"/>
      <c r="AK6" s="217">
        <f t="shared" ref="AK6:AK9" si="16">I6-J6</f>
        <v>-3618935</v>
      </c>
      <c r="AL6" s="217">
        <f t="shared" ref="AL6:AL9" si="17">((I6-J6)/J6)*100</f>
        <v>-16.816177202104946</v>
      </c>
      <c r="AM6" s="217"/>
    </row>
    <row r="7" spans="1:256" x14ac:dyDescent="0.3">
      <c r="A7" s="212" t="s">
        <v>437</v>
      </c>
      <c r="B7" s="213" t="s">
        <v>438</v>
      </c>
      <c r="C7" s="214">
        <f>'1'!C17+'1'!C18</f>
        <v>3392526</v>
      </c>
      <c r="D7" s="214">
        <f>'1'!D17+'1'!D18</f>
        <v>2470424</v>
      </c>
      <c r="E7" s="214">
        <f>'1'!E17+'1'!E18</f>
        <v>3143913</v>
      </c>
      <c r="F7" s="214">
        <f>'1'!F17+'1'!F18</f>
        <v>2369731</v>
      </c>
      <c r="G7" s="214">
        <f>'1'!G17+'1'!G18</f>
        <v>2404485</v>
      </c>
      <c r="H7" s="214">
        <f>'1'!H17+'1'!H18</f>
        <v>1880186</v>
      </c>
      <c r="I7" s="214">
        <f>'1'!I17+'1'!I18</f>
        <v>1702409</v>
      </c>
      <c r="J7" s="214">
        <f>'1'!J17+'1'!J18</f>
        <v>1854584</v>
      </c>
      <c r="K7" s="215">
        <f t="shared" si="2"/>
        <v>7.0411227056233869</v>
      </c>
      <c r="L7" s="215">
        <f t="shared" si="3"/>
        <v>5.0856329177897228</v>
      </c>
      <c r="M7" s="215">
        <f t="shared" si="3"/>
        <v>6.1516119635805886</v>
      </c>
      <c r="N7" s="215">
        <f t="shared" si="3"/>
        <v>4.0526524970764575</v>
      </c>
      <c r="O7" s="215">
        <f t="shared" si="3"/>
        <v>4.7852430423087382</v>
      </c>
      <c r="P7" s="215">
        <f t="shared" si="3"/>
        <v>4.0482780888471233</v>
      </c>
      <c r="Q7" s="215">
        <f t="shared" si="3"/>
        <v>5.1022731519740168</v>
      </c>
      <c r="R7" s="215">
        <f t="shared" si="3"/>
        <v>6.229277966511817</v>
      </c>
      <c r="S7" s="215">
        <f t="shared" si="4"/>
        <v>922102</v>
      </c>
      <c r="T7" s="216">
        <f t="shared" si="5"/>
        <v>37.325657457991021</v>
      </c>
      <c r="U7" s="217"/>
      <c r="V7" s="217">
        <f t="shared" si="6"/>
        <v>-673489</v>
      </c>
      <c r="W7" s="217">
        <f t="shared" si="7"/>
        <v>-21.421998636730724</v>
      </c>
      <c r="X7" s="218"/>
      <c r="Y7" s="217">
        <f t="shared" si="8"/>
        <v>774182</v>
      </c>
      <c r="Z7" s="217">
        <f t="shared" si="9"/>
        <v>32.669615243249126</v>
      </c>
      <c r="AA7" s="218"/>
      <c r="AB7" s="217">
        <f t="shared" si="10"/>
        <v>-34754</v>
      </c>
      <c r="AC7" s="217">
        <f t="shared" si="11"/>
        <v>-1.4453822752065411</v>
      </c>
      <c r="AD7" s="218"/>
      <c r="AE7" s="217">
        <f t="shared" si="12"/>
        <v>524299</v>
      </c>
      <c r="AF7" s="217">
        <f t="shared" si="13"/>
        <v>27.885485797681721</v>
      </c>
      <c r="AG7" s="218"/>
      <c r="AH7" s="217">
        <f t="shared" si="14"/>
        <v>177777</v>
      </c>
      <c r="AI7" s="217">
        <f t="shared" si="15"/>
        <v>10.442672706734985</v>
      </c>
      <c r="AJ7" s="218"/>
      <c r="AK7" s="217">
        <f t="shared" si="16"/>
        <v>-152175</v>
      </c>
      <c r="AL7" s="217">
        <f t="shared" si="17"/>
        <v>-8.2053441634350346</v>
      </c>
      <c r="AM7" s="217"/>
    </row>
    <row r="8" spans="1:256" x14ac:dyDescent="0.3">
      <c r="A8" s="212" t="s">
        <v>439</v>
      </c>
      <c r="B8" s="213" t="s">
        <v>440</v>
      </c>
      <c r="C8" s="214">
        <f>'1'!C24+'1'!C21</f>
        <v>3430183</v>
      </c>
      <c r="D8" s="214">
        <f>'1'!D24+'1'!D21</f>
        <v>3314283</v>
      </c>
      <c r="E8" s="214">
        <f>'1'!E24+'1'!E21</f>
        <v>3292073</v>
      </c>
      <c r="F8" s="214">
        <f>'1'!F24+'1'!F21</f>
        <v>3891957</v>
      </c>
      <c r="G8" s="214">
        <f>'1'!G24+'1'!G21</f>
        <v>5519413</v>
      </c>
      <c r="H8" s="214">
        <f>'1'!H24+'1'!H21</f>
        <v>5377106</v>
      </c>
      <c r="I8" s="214">
        <f>'1'!I24+'1'!I21</f>
        <v>2714867</v>
      </c>
      <c r="J8" s="214">
        <f>'1'!J24+'1'!J21</f>
        <v>1963265</v>
      </c>
      <c r="K8" s="215">
        <f t="shared" si="2"/>
        <v>7.119279087542246</v>
      </c>
      <c r="L8" s="215">
        <f t="shared" si="3"/>
        <v>6.8228072280996601</v>
      </c>
      <c r="M8" s="215">
        <f t="shared" si="3"/>
        <v>6.441512742808289</v>
      </c>
      <c r="N8" s="215">
        <f t="shared" si="3"/>
        <v>6.6559239232487561</v>
      </c>
      <c r="O8" s="215">
        <f t="shared" si="3"/>
        <v>10.984361580911671</v>
      </c>
      <c r="P8" s="215">
        <f t="shared" si="3"/>
        <v>11.577588813664393</v>
      </c>
      <c r="Q8" s="215">
        <f t="shared" si="3"/>
        <v>8.1367009956363265</v>
      </c>
      <c r="R8" s="215">
        <f t="shared" si="3"/>
        <v>6.5943216413620638</v>
      </c>
      <c r="S8" s="215">
        <f t="shared" si="4"/>
        <v>115900</v>
      </c>
      <c r="T8" s="216">
        <f t="shared" si="5"/>
        <v>3.4969856225313292</v>
      </c>
      <c r="U8" s="217"/>
      <c r="V8" s="217">
        <f t="shared" si="6"/>
        <v>22210</v>
      </c>
      <c r="W8" s="217">
        <f t="shared" si="7"/>
        <v>0.67465089625898333</v>
      </c>
      <c r="X8" s="218"/>
      <c r="Y8" s="217">
        <f t="shared" si="8"/>
        <v>-599884</v>
      </c>
      <c r="Z8" s="217">
        <f t="shared" si="9"/>
        <v>-15.41342825730089</v>
      </c>
      <c r="AA8" s="218"/>
      <c r="AB8" s="217">
        <f t="shared" si="10"/>
        <v>-1627456</v>
      </c>
      <c r="AC8" s="217">
        <f t="shared" si="11"/>
        <v>-29.486034112685534</v>
      </c>
      <c r="AD8" s="218"/>
      <c r="AE8" s="217">
        <f t="shared" si="12"/>
        <v>142307</v>
      </c>
      <c r="AF8" s="217">
        <f t="shared" si="13"/>
        <v>2.6465351436255857</v>
      </c>
      <c r="AG8" s="218"/>
      <c r="AH8" s="217">
        <f t="shared" si="14"/>
        <v>2662239</v>
      </c>
      <c r="AI8" s="217">
        <f t="shared" si="15"/>
        <v>98.06148883168126</v>
      </c>
      <c r="AJ8" s="218"/>
      <c r="AK8" s="217">
        <f t="shared" si="16"/>
        <v>751602</v>
      </c>
      <c r="AL8" s="217">
        <f t="shared" si="17"/>
        <v>38.283267923586472</v>
      </c>
      <c r="AM8" s="217"/>
    </row>
    <row r="9" spans="1:256" x14ac:dyDescent="0.3">
      <c r="A9" s="212" t="s">
        <v>441</v>
      </c>
      <c r="B9" s="213" t="s">
        <v>442</v>
      </c>
      <c r="C9" s="214">
        <f>'1'!C22+'1'!C23</f>
        <v>21705798</v>
      </c>
      <c r="D9" s="214">
        <f>'1'!D22+'1'!D23</f>
        <v>28320774</v>
      </c>
      <c r="E9" s="214">
        <f>'1'!E22+'1'!E23</f>
        <v>25355470</v>
      </c>
      <c r="F9" s="214">
        <f>'1'!F22+'1'!F23</f>
        <v>43139278</v>
      </c>
      <c r="G9" s="214">
        <f>'1'!G22+'1'!G23</f>
        <v>31584359</v>
      </c>
      <c r="H9" s="214">
        <f>'1'!H22+'1'!H23</f>
        <v>27684609</v>
      </c>
      <c r="I9" s="214">
        <f>'1'!I22+'1'!I23</f>
        <v>11046799</v>
      </c>
      <c r="J9" s="214">
        <f>'1'!J22+'1'!J23</f>
        <v>4433648</v>
      </c>
      <c r="K9" s="215">
        <f t="shared" si="2"/>
        <v>45.049967823820566</v>
      </c>
      <c r="L9" s="215">
        <f t="shared" si="3"/>
        <v>58.301352525592087</v>
      </c>
      <c r="M9" s="215">
        <f t="shared" si="3"/>
        <v>49.612381956564548</v>
      </c>
      <c r="N9" s="215">
        <f t="shared" si="3"/>
        <v>73.775674415693388</v>
      </c>
      <c r="O9" s="215">
        <f t="shared" si="3"/>
        <v>62.857050116981959</v>
      </c>
      <c r="P9" s="215">
        <f t="shared" si="3"/>
        <v>59.60846214842568</v>
      </c>
      <c r="Q9" s="215">
        <f t="shared" si="3"/>
        <v>33.108251867179639</v>
      </c>
      <c r="R9" s="215">
        <f t="shared" si="3"/>
        <v>14.891978900750347</v>
      </c>
      <c r="S9" s="215">
        <f t="shared" si="4"/>
        <v>-6614976</v>
      </c>
      <c r="T9" s="216">
        <f t="shared" si="5"/>
        <v>-23.357327734051335</v>
      </c>
      <c r="U9" s="217"/>
      <c r="V9" s="217">
        <f t="shared" si="6"/>
        <v>2965304</v>
      </c>
      <c r="W9" s="217">
        <f t="shared" si="7"/>
        <v>11.69492815554198</v>
      </c>
      <c r="X9" s="218"/>
      <c r="Y9" s="217">
        <f t="shared" si="8"/>
        <v>-17783808</v>
      </c>
      <c r="Z9" s="217">
        <f t="shared" si="9"/>
        <v>-41.224166987681151</v>
      </c>
      <c r="AA9" s="218"/>
      <c r="AB9" s="217">
        <f t="shared" si="10"/>
        <v>11554919</v>
      </c>
      <c r="AC9" s="217">
        <f t="shared" si="11"/>
        <v>36.584307441540922</v>
      </c>
      <c r="AD9" s="218"/>
      <c r="AE9" s="217">
        <f t="shared" si="12"/>
        <v>3899750</v>
      </c>
      <c r="AF9" s="217">
        <f t="shared" si="13"/>
        <v>14.086346677318073</v>
      </c>
      <c r="AG9" s="218"/>
      <c r="AH9" s="217">
        <f t="shared" si="14"/>
        <v>16637810</v>
      </c>
      <c r="AI9" s="217">
        <f t="shared" si="15"/>
        <v>150.61204607778237</v>
      </c>
      <c r="AJ9" s="218"/>
      <c r="AK9" s="217">
        <f t="shared" si="16"/>
        <v>6613151</v>
      </c>
      <c r="AL9" s="217">
        <f t="shared" si="17"/>
        <v>149.1582326788234</v>
      </c>
      <c r="AM9" s="217"/>
    </row>
    <row r="10" spans="1:256" ht="16.2" x14ac:dyDescent="0.35">
      <c r="A10" s="219" t="s">
        <v>443</v>
      </c>
      <c r="B10" s="220"/>
      <c r="C10" s="221">
        <f t="shared" ref="C10:J10" si="18">SUM(C6:C9)</f>
        <v>48181606</v>
      </c>
      <c r="D10" s="221">
        <f t="shared" si="18"/>
        <v>48576530</v>
      </c>
      <c r="E10" s="221">
        <f t="shared" si="18"/>
        <v>51107141</v>
      </c>
      <c r="F10" s="221">
        <f t="shared" si="18"/>
        <v>58473580</v>
      </c>
      <c r="G10" s="221">
        <f t="shared" si="18"/>
        <v>50247918</v>
      </c>
      <c r="H10" s="221">
        <f t="shared" si="18"/>
        <v>46444092</v>
      </c>
      <c r="I10" s="221">
        <f t="shared" si="18"/>
        <v>33365697</v>
      </c>
      <c r="J10" s="221">
        <f t="shared" si="18"/>
        <v>29772054</v>
      </c>
      <c r="K10" s="215"/>
      <c r="L10" s="215"/>
      <c r="M10" s="215"/>
      <c r="N10" s="215"/>
      <c r="O10" s="215"/>
      <c r="P10" s="215"/>
      <c r="Q10" s="215"/>
      <c r="R10" s="215"/>
      <c r="S10" s="215">
        <f>C10-D10</f>
        <v>-394924</v>
      </c>
      <c r="T10" s="216">
        <f>((C10-D10)/D10)*100</f>
        <v>-0.81299343530713297</v>
      </c>
      <c r="U10" s="217"/>
      <c r="V10" s="217">
        <f>D10-E10</f>
        <v>-2530611</v>
      </c>
      <c r="W10" s="217">
        <f>((D10-E10)/E10)*100</f>
        <v>-4.9515800541454666</v>
      </c>
      <c r="X10" s="218"/>
      <c r="Y10" s="217">
        <f>E10-F10</f>
        <v>-7366439</v>
      </c>
      <c r="Z10" s="217">
        <f>((E10-F10)/F10)*100</f>
        <v>-12.597892928738071</v>
      </c>
      <c r="AA10" s="218"/>
      <c r="AB10" s="217">
        <f>F10-G10</f>
        <v>8225662</v>
      </c>
      <c r="AC10" s="217">
        <f>((F10-G10)/G10)*100</f>
        <v>16.37015487885488</v>
      </c>
      <c r="AD10" s="218"/>
      <c r="AE10" s="217">
        <f>G10-H10</f>
        <v>3803826</v>
      </c>
      <c r="AF10" s="217">
        <f>((G10-H10)/H10)*100</f>
        <v>8.1901181317098413</v>
      </c>
      <c r="AG10" s="218"/>
      <c r="AH10" s="217">
        <f>H10-I10</f>
        <v>13078395</v>
      </c>
      <c r="AI10" s="217">
        <f>((H10-I10)/I10)*100</f>
        <v>39.197128116340565</v>
      </c>
      <c r="AJ10" s="218"/>
      <c r="AK10" s="217">
        <f>I10-J10</f>
        <v>3593643</v>
      </c>
      <c r="AL10" s="217">
        <f>((I10-J10)/J10)*100</f>
        <v>12.070524257412673</v>
      </c>
      <c r="AM10" s="217"/>
      <c r="AN10" s="222"/>
      <c r="AO10" s="222"/>
      <c r="AP10" s="222"/>
      <c r="AQ10" s="222"/>
      <c r="AR10" s="222"/>
      <c r="AS10" s="222"/>
      <c r="AT10" s="222"/>
      <c r="AU10" s="222"/>
      <c r="AV10" s="222"/>
      <c r="AW10" s="222"/>
      <c r="AX10" s="222"/>
      <c r="AY10" s="222"/>
      <c r="AZ10" s="222"/>
      <c r="BA10" s="222"/>
      <c r="BB10" s="222"/>
      <c r="BC10" s="222"/>
      <c r="BD10" s="222"/>
      <c r="BE10" s="222"/>
      <c r="BF10" s="222"/>
      <c r="BG10" s="222"/>
      <c r="BH10" s="222"/>
      <c r="BI10" s="222"/>
      <c r="BJ10" s="222"/>
      <c r="BK10" s="222"/>
      <c r="BL10" s="222"/>
      <c r="BM10" s="222"/>
      <c r="BN10" s="222"/>
      <c r="BO10" s="222"/>
      <c r="BP10" s="222"/>
      <c r="BQ10" s="222"/>
      <c r="BR10" s="222"/>
      <c r="BS10" s="222"/>
      <c r="BT10" s="222"/>
      <c r="BU10" s="222"/>
      <c r="BV10" s="222"/>
      <c r="BW10" s="222"/>
      <c r="BX10" s="222"/>
      <c r="BY10" s="222"/>
      <c r="BZ10" s="222"/>
      <c r="CA10" s="222"/>
      <c r="CB10" s="222"/>
      <c r="CC10" s="222"/>
      <c r="CD10" s="222"/>
      <c r="CE10" s="222"/>
      <c r="CF10" s="222"/>
      <c r="CG10" s="222"/>
      <c r="CH10" s="222"/>
      <c r="CI10" s="222"/>
      <c r="CJ10" s="222"/>
      <c r="CK10" s="222"/>
      <c r="CL10" s="222"/>
      <c r="CM10" s="222"/>
      <c r="CN10" s="222"/>
      <c r="CO10" s="222"/>
      <c r="CP10" s="222"/>
      <c r="CQ10" s="222"/>
      <c r="CR10" s="222"/>
      <c r="CS10" s="222"/>
      <c r="CT10" s="222"/>
      <c r="CU10" s="222"/>
      <c r="CV10" s="222"/>
      <c r="CW10" s="222"/>
      <c r="CX10" s="222"/>
      <c r="CY10" s="222"/>
      <c r="CZ10" s="222"/>
      <c r="DA10" s="222"/>
      <c r="DB10" s="222"/>
      <c r="DC10" s="222"/>
      <c r="DD10" s="222"/>
      <c r="DE10" s="222"/>
      <c r="DF10" s="222"/>
      <c r="DG10" s="222"/>
      <c r="DH10" s="222"/>
      <c r="DI10" s="222"/>
      <c r="DJ10" s="222"/>
      <c r="DK10" s="222"/>
      <c r="DL10" s="222"/>
      <c r="DM10" s="222"/>
      <c r="DN10" s="222"/>
      <c r="DO10" s="222"/>
      <c r="DP10" s="222"/>
      <c r="DQ10" s="222"/>
      <c r="DR10" s="222"/>
      <c r="DS10" s="222"/>
      <c r="DT10" s="222"/>
      <c r="DU10" s="222"/>
      <c r="DV10" s="222"/>
      <c r="DW10" s="222"/>
      <c r="DX10" s="222"/>
      <c r="DY10" s="222"/>
      <c r="DZ10" s="222"/>
      <c r="EA10" s="222"/>
      <c r="EB10" s="222"/>
      <c r="EC10" s="222"/>
      <c r="ED10" s="222"/>
      <c r="EE10" s="222"/>
      <c r="EF10" s="222"/>
      <c r="EG10" s="222"/>
      <c r="EH10" s="222"/>
      <c r="EI10" s="222"/>
      <c r="EJ10" s="222"/>
      <c r="EK10" s="222"/>
      <c r="EL10" s="222"/>
      <c r="EM10" s="222"/>
      <c r="EN10" s="222"/>
      <c r="EO10" s="222"/>
      <c r="EP10" s="222"/>
      <c r="EQ10" s="222"/>
      <c r="ER10" s="222"/>
      <c r="ES10" s="222"/>
      <c r="ET10" s="222"/>
      <c r="EU10" s="222"/>
      <c r="EV10" s="222"/>
      <c r="EW10" s="222"/>
      <c r="EX10" s="222"/>
      <c r="EY10" s="222"/>
      <c r="EZ10" s="222"/>
      <c r="FA10" s="222"/>
      <c r="FB10" s="222"/>
      <c r="FC10" s="222"/>
      <c r="FD10" s="222"/>
      <c r="FE10" s="222"/>
      <c r="FF10" s="222"/>
      <c r="FG10" s="222"/>
      <c r="FH10" s="222"/>
      <c r="FI10" s="222"/>
      <c r="FJ10" s="222"/>
      <c r="FK10" s="222"/>
      <c r="FL10" s="222"/>
      <c r="FM10" s="222"/>
      <c r="FN10" s="222"/>
      <c r="FO10" s="222"/>
      <c r="FP10" s="222"/>
      <c r="FQ10" s="222"/>
      <c r="FR10" s="222"/>
      <c r="FS10" s="222"/>
      <c r="FT10" s="222"/>
      <c r="FU10" s="222"/>
      <c r="FV10" s="222"/>
      <c r="FW10" s="222"/>
      <c r="FX10" s="222"/>
      <c r="FY10" s="222"/>
      <c r="FZ10" s="222"/>
      <c r="GA10" s="222"/>
      <c r="GB10" s="222"/>
      <c r="GC10" s="222"/>
      <c r="GD10" s="222"/>
      <c r="GE10" s="222"/>
      <c r="GF10" s="222"/>
      <c r="GG10" s="222"/>
      <c r="GH10" s="222"/>
      <c r="GI10" s="222"/>
      <c r="GJ10" s="222"/>
      <c r="GK10" s="222"/>
      <c r="GL10" s="222"/>
      <c r="GM10" s="222"/>
      <c r="GN10" s="222"/>
      <c r="GO10" s="222"/>
      <c r="GP10" s="222"/>
      <c r="GQ10" s="222"/>
      <c r="GR10" s="222"/>
      <c r="GS10" s="222"/>
      <c r="GT10" s="222"/>
      <c r="GU10" s="222"/>
      <c r="GV10" s="222"/>
      <c r="GW10" s="222"/>
      <c r="GX10" s="222"/>
      <c r="GY10" s="222"/>
      <c r="GZ10" s="222"/>
      <c r="HA10" s="222"/>
      <c r="HB10" s="222"/>
      <c r="HC10" s="222"/>
      <c r="HD10" s="222"/>
      <c r="HE10" s="222"/>
      <c r="HF10" s="222"/>
      <c r="HG10" s="222"/>
      <c r="HH10" s="222"/>
      <c r="HI10" s="222"/>
      <c r="HJ10" s="222"/>
      <c r="HK10" s="222"/>
      <c r="HL10" s="222"/>
      <c r="HM10" s="222"/>
      <c r="HN10" s="222"/>
      <c r="HO10" s="222"/>
      <c r="HP10" s="222"/>
      <c r="HQ10" s="222"/>
      <c r="HR10" s="222"/>
      <c r="HS10" s="222"/>
      <c r="HT10" s="222"/>
      <c r="HU10" s="222"/>
      <c r="HV10" s="222"/>
      <c r="HW10" s="222"/>
      <c r="HX10" s="222"/>
      <c r="HY10" s="222"/>
      <c r="HZ10" s="222"/>
      <c r="IA10" s="222"/>
      <c r="IB10" s="222"/>
      <c r="IC10" s="222"/>
      <c r="ID10" s="222"/>
      <c r="IE10" s="222"/>
      <c r="IF10" s="222"/>
      <c r="IG10" s="222"/>
      <c r="IH10" s="222"/>
      <c r="II10" s="222"/>
      <c r="IJ10" s="222"/>
      <c r="IK10" s="222"/>
      <c r="IL10" s="222"/>
      <c r="IM10" s="222"/>
      <c r="IN10" s="222"/>
      <c r="IO10" s="222"/>
      <c r="IP10" s="222"/>
      <c r="IQ10" s="222"/>
      <c r="IR10" s="222"/>
      <c r="IS10" s="222"/>
      <c r="IT10" s="222"/>
      <c r="IU10" s="222"/>
      <c r="IV10" s="222"/>
    </row>
    <row r="11" spans="1:256" x14ac:dyDescent="0.3">
      <c r="A11" s="206" t="s">
        <v>36</v>
      </c>
      <c r="B11" s="213"/>
      <c r="C11" s="213"/>
      <c r="D11" s="208"/>
      <c r="E11" s="209"/>
      <c r="F11" s="209"/>
      <c r="G11" s="215"/>
      <c r="H11" s="215"/>
      <c r="I11" s="215"/>
      <c r="J11" s="215"/>
      <c r="K11" s="215"/>
      <c r="L11" s="215"/>
      <c r="M11" s="215"/>
      <c r="N11" s="215"/>
      <c r="O11" s="215"/>
      <c r="P11" s="215"/>
      <c r="Q11" s="215"/>
      <c r="R11" s="215"/>
      <c r="S11" s="215"/>
      <c r="T11" s="216"/>
      <c r="U11" s="217"/>
      <c r="V11" s="217"/>
      <c r="W11" s="217"/>
      <c r="X11" s="218"/>
      <c r="Y11" s="217"/>
      <c r="Z11" s="217"/>
      <c r="AA11" s="218"/>
      <c r="AB11" s="217"/>
      <c r="AC11" s="217"/>
      <c r="AD11" s="218"/>
      <c r="AE11" s="217"/>
      <c r="AF11" s="217"/>
      <c r="AG11" s="218"/>
      <c r="AH11" s="217"/>
      <c r="AI11" s="217"/>
      <c r="AJ11" s="218"/>
      <c r="AK11" s="217"/>
      <c r="AL11" s="217"/>
      <c r="AM11" s="217"/>
    </row>
    <row r="12" spans="1:256" x14ac:dyDescent="0.3">
      <c r="A12" s="212" t="s">
        <v>444</v>
      </c>
      <c r="B12" s="213" t="s">
        <v>445</v>
      </c>
      <c r="C12" s="214">
        <f>'1'!C37</f>
        <v>40418692</v>
      </c>
      <c r="D12" s="214">
        <f>'1'!D37</f>
        <v>45744034</v>
      </c>
      <c r="E12" s="214">
        <f>'1'!E37</f>
        <v>47028634</v>
      </c>
      <c r="F12" s="214">
        <f>'1'!F37</f>
        <v>41255754</v>
      </c>
      <c r="G12" s="214">
        <f>'1'!G37</f>
        <v>34910852</v>
      </c>
      <c r="H12" s="214">
        <f>'1'!H37</f>
        <v>26135480</v>
      </c>
      <c r="I12" s="214">
        <f>'1'!I37</f>
        <v>25906082</v>
      </c>
      <c r="J12" s="214">
        <f>'1'!J37</f>
        <v>22062331</v>
      </c>
      <c r="K12" s="215">
        <f t="shared" ref="K12:R15" si="19">(C12/$C$16)*100</f>
        <v>83.888220745485313</v>
      </c>
      <c r="L12" s="215">
        <f t="shared" si="19"/>
        <v>94.940866022606215</v>
      </c>
      <c r="M12" s="215">
        <f t="shared" si="19"/>
        <v>97.607028707179254</v>
      </c>
      <c r="N12" s="215">
        <f t="shared" si="19"/>
        <v>85.625526886754258</v>
      </c>
      <c r="O12" s="215">
        <f t="shared" si="19"/>
        <v>72.456804366379984</v>
      </c>
      <c r="P12" s="215">
        <f t="shared" si="19"/>
        <v>54.243687933523844</v>
      </c>
      <c r="Q12" s="215">
        <f t="shared" si="19"/>
        <v>53.76757678023435</v>
      </c>
      <c r="R12" s="215">
        <f t="shared" si="19"/>
        <v>45.789945233456933</v>
      </c>
      <c r="S12" s="215">
        <f t="shared" ref="S12:S16" si="20">C12-D12</f>
        <v>-5325342</v>
      </c>
      <c r="T12" s="216">
        <f t="shared" ref="T12:T16" si="21">((C12-D12)/D12)*100</f>
        <v>-11.641609920104553</v>
      </c>
      <c r="U12" s="217"/>
      <c r="V12" s="217">
        <f t="shared" ref="V12:V16" si="22">D12-E12</f>
        <v>-1284600</v>
      </c>
      <c r="W12" s="217">
        <f t="shared" ref="W12:W16" si="23">((D12-E12)/E12)*100</f>
        <v>-2.7315273499119703</v>
      </c>
      <c r="X12" s="218"/>
      <c r="Y12" s="217">
        <f t="shared" ref="Y12:Y16" si="24">E12-F12</f>
        <v>5772880</v>
      </c>
      <c r="Z12" s="217">
        <f t="shared" ref="Z12:Z16" si="25">((E12-F12)/F12)*100</f>
        <v>13.992908722502079</v>
      </c>
      <c r="AA12" s="218"/>
      <c r="AB12" s="217">
        <f t="shared" ref="AB12:AB16" si="26">F12-G12</f>
        <v>6344902</v>
      </c>
      <c r="AC12" s="217">
        <f t="shared" ref="AC12:AC16" si="27">((F12-G12)/G12)*100</f>
        <v>18.17458365095186</v>
      </c>
      <c r="AD12" s="218"/>
      <c r="AE12" s="217">
        <f t="shared" ref="AE12:AE16" si="28">G12-H12</f>
        <v>8775372</v>
      </c>
      <c r="AF12" s="217">
        <f t="shared" ref="AF12:AF16" si="29">((G12-H12)/H12)*100</f>
        <v>33.576471524532934</v>
      </c>
      <c r="AG12" s="218"/>
      <c r="AH12" s="217">
        <f t="shared" ref="AH12:AH16" si="30">H12-I12</f>
        <v>229398</v>
      </c>
      <c r="AI12" s="217">
        <f t="shared" ref="AI12:AI16" si="31">((H12-I12)/I12)*100</f>
        <v>0.88549862538071178</v>
      </c>
      <c r="AJ12" s="218"/>
      <c r="AK12" s="217">
        <f t="shared" ref="AK12:AK16" si="32">I12-J12</f>
        <v>3843751</v>
      </c>
      <c r="AL12" s="217">
        <f t="shared" ref="AL12:AL16" si="33">((I12-J12)/J12)*100</f>
        <v>17.422234305160231</v>
      </c>
      <c r="AM12" s="217"/>
    </row>
    <row r="13" spans="1:256" x14ac:dyDescent="0.3">
      <c r="A13" s="212" t="s">
        <v>446</v>
      </c>
      <c r="B13" s="213" t="s">
        <v>447</v>
      </c>
      <c r="C13" s="214">
        <f>'1'!C43</f>
        <v>675161</v>
      </c>
      <c r="D13" s="214">
        <f>'1'!D43</f>
        <v>551941</v>
      </c>
      <c r="E13" s="214">
        <f>'1'!E43</f>
        <v>419734</v>
      </c>
      <c r="F13" s="214">
        <f>'1'!F43</f>
        <v>3261403</v>
      </c>
      <c r="G13" s="214">
        <f>'1'!G43</f>
        <v>11207763</v>
      </c>
      <c r="H13" s="214">
        <f>'1'!H43</f>
        <v>8630287</v>
      </c>
      <c r="I13" s="214">
        <f>'1'!I43</f>
        <v>5033749</v>
      </c>
      <c r="J13" s="214">
        <f>'1'!J43</f>
        <v>5568078</v>
      </c>
      <c r="K13" s="215">
        <f t="shared" si="19"/>
        <v>1.401283718106034</v>
      </c>
      <c r="L13" s="215">
        <f t="shared" si="19"/>
        <v>1.1455429692401702</v>
      </c>
      <c r="M13" s="215">
        <f t="shared" si="19"/>
        <v>0.87114987408265299</v>
      </c>
      <c r="N13" s="215">
        <f t="shared" si="19"/>
        <v>6.7689794316943273</v>
      </c>
      <c r="O13" s="215">
        <f t="shared" si="19"/>
        <v>23.261497344027926</v>
      </c>
      <c r="P13" s="215">
        <f t="shared" si="19"/>
        <v>17.911995295466074</v>
      </c>
      <c r="Q13" s="215">
        <f t="shared" si="19"/>
        <v>10.447449593108209</v>
      </c>
      <c r="R13" s="215">
        <f t="shared" si="19"/>
        <v>11.556439193828449</v>
      </c>
      <c r="S13" s="215">
        <f t="shared" si="20"/>
        <v>123220</v>
      </c>
      <c r="T13" s="216">
        <f t="shared" si="21"/>
        <v>22.324849938670983</v>
      </c>
      <c r="U13" s="217"/>
      <c r="V13" s="217">
        <f t="shared" si="22"/>
        <v>132207</v>
      </c>
      <c r="W13" s="217">
        <f t="shared" si="23"/>
        <v>31.497805753167484</v>
      </c>
      <c r="X13" s="218"/>
      <c r="Y13" s="217">
        <f t="shared" si="24"/>
        <v>-2841669</v>
      </c>
      <c r="Z13" s="217">
        <f t="shared" si="25"/>
        <v>-87.130262650767165</v>
      </c>
      <c r="AA13" s="218"/>
      <c r="AB13" s="217">
        <f t="shared" si="26"/>
        <v>-7946360</v>
      </c>
      <c r="AC13" s="217">
        <f t="shared" si="27"/>
        <v>-70.90049994811632</v>
      </c>
      <c r="AD13" s="218"/>
      <c r="AE13" s="217">
        <f t="shared" si="28"/>
        <v>2577476</v>
      </c>
      <c r="AF13" s="217">
        <f t="shared" si="29"/>
        <v>29.865472608268995</v>
      </c>
      <c r="AG13" s="218"/>
      <c r="AH13" s="217">
        <f t="shared" si="30"/>
        <v>3596538</v>
      </c>
      <c r="AI13" s="217">
        <f t="shared" si="31"/>
        <v>71.448496935385535</v>
      </c>
      <c r="AJ13" s="218"/>
      <c r="AK13" s="217">
        <f t="shared" si="32"/>
        <v>-534329</v>
      </c>
      <c r="AL13" s="217">
        <f t="shared" si="33"/>
        <v>-9.5962915749384265</v>
      </c>
      <c r="AM13" s="217"/>
    </row>
    <row r="14" spans="1:256" x14ac:dyDescent="0.3">
      <c r="A14" s="212" t="s">
        <v>448</v>
      </c>
      <c r="B14" s="213" t="s">
        <v>449</v>
      </c>
      <c r="C14" s="214">
        <f>'1'!C45+'1'!C47+'1'!C48</f>
        <v>257551</v>
      </c>
      <c r="D14" s="214">
        <f>'1'!D45+'1'!D47+'1'!D48</f>
        <v>209342</v>
      </c>
      <c r="E14" s="214">
        <f>'1'!E45+'1'!E47+'1'!E48</f>
        <v>1058400</v>
      </c>
      <c r="F14" s="214">
        <f>'1'!F45+'1'!F47+'1'!F48</f>
        <v>10939535</v>
      </c>
      <c r="G14" s="214">
        <f>'1'!G45+'1'!G47+'1'!G48</f>
        <v>176457</v>
      </c>
      <c r="H14" s="214">
        <f>'1'!H45+'1'!H47+'1'!H48</f>
        <v>9676314</v>
      </c>
      <c r="I14" s="214">
        <f>'1'!I45+'1'!I47+'1'!I48</f>
        <v>744803</v>
      </c>
      <c r="J14" s="214">
        <f>'1'!J45+'1'!J47+'1'!J48</f>
        <v>701405</v>
      </c>
      <c r="K14" s="215">
        <f t="shared" si="19"/>
        <v>0.53454216532342236</v>
      </c>
      <c r="L14" s="215">
        <f t="shared" si="19"/>
        <v>0.43448530960134457</v>
      </c>
      <c r="M14" s="215">
        <f t="shared" si="19"/>
        <v>2.1966889190036545</v>
      </c>
      <c r="N14" s="215">
        <f t="shared" si="19"/>
        <v>22.704795269796527</v>
      </c>
      <c r="O14" s="215">
        <f t="shared" si="19"/>
        <v>0.36623312224171189</v>
      </c>
      <c r="P14" s="215">
        <f t="shared" si="19"/>
        <v>20.083004290060401</v>
      </c>
      <c r="Q14" s="215">
        <f t="shared" si="19"/>
        <v>1.5458243546302712</v>
      </c>
      <c r="R14" s="215">
        <f t="shared" si="19"/>
        <v>1.4557526372201042</v>
      </c>
      <c r="S14" s="215">
        <f t="shared" si="20"/>
        <v>48209</v>
      </c>
      <c r="T14" s="216">
        <f t="shared" si="21"/>
        <v>23.028823647428609</v>
      </c>
      <c r="U14" s="217"/>
      <c r="V14" s="217">
        <f t="shared" si="22"/>
        <v>-849058</v>
      </c>
      <c r="W14" s="217">
        <f t="shared" si="23"/>
        <v>-80.220899470899482</v>
      </c>
      <c r="X14" s="218"/>
      <c r="Y14" s="217">
        <f t="shared" si="24"/>
        <v>-9881135</v>
      </c>
      <c r="Z14" s="217">
        <f t="shared" si="25"/>
        <v>-90.325000102838004</v>
      </c>
      <c r="AA14" s="218"/>
      <c r="AB14" s="217">
        <f t="shared" si="26"/>
        <v>10763078</v>
      </c>
      <c r="AC14" s="217">
        <f t="shared" si="27"/>
        <v>6099.5471984676151</v>
      </c>
      <c r="AD14" s="218"/>
      <c r="AE14" s="217">
        <f t="shared" si="28"/>
        <v>-9499857</v>
      </c>
      <c r="AF14" s="217">
        <f t="shared" si="29"/>
        <v>-98.17640270871739</v>
      </c>
      <c r="AG14" s="218"/>
      <c r="AH14" s="217">
        <f t="shared" si="30"/>
        <v>8931511</v>
      </c>
      <c r="AI14" s="217">
        <f t="shared" si="31"/>
        <v>1199.1776348913741</v>
      </c>
      <c r="AJ14" s="218"/>
      <c r="AK14" s="217">
        <f t="shared" si="32"/>
        <v>43398</v>
      </c>
      <c r="AL14" s="217">
        <f t="shared" si="33"/>
        <v>6.187295499746936</v>
      </c>
      <c r="AM14" s="217"/>
    </row>
    <row r="15" spans="1:256" x14ac:dyDescent="0.3">
      <c r="A15" s="212" t="s">
        <v>450</v>
      </c>
      <c r="B15" s="213" t="s">
        <v>451</v>
      </c>
      <c r="C15" s="214">
        <f>'1'!C46+'1'!C49</f>
        <v>6830202</v>
      </c>
      <c r="D15" s="214">
        <f>'1'!D46+'1'!D49</f>
        <v>2071213</v>
      </c>
      <c r="E15" s="214">
        <f>'1'!E46+'1'!E49</f>
        <v>2600373</v>
      </c>
      <c r="F15" s="214">
        <f>'1'!F46+'1'!F49</f>
        <v>3016888</v>
      </c>
      <c r="G15" s="214">
        <f>'1'!G46+'1'!G49</f>
        <v>3952846</v>
      </c>
      <c r="H15" s="214">
        <f>'1'!H46+'1'!H49</f>
        <v>2002011</v>
      </c>
      <c r="I15" s="214">
        <f>'1'!I46+'1'!I49</f>
        <v>1681063</v>
      </c>
      <c r="J15" s="214">
        <f>'1'!J46+'1'!J49</f>
        <v>1440240</v>
      </c>
      <c r="K15" s="215">
        <f t="shared" si="19"/>
        <v>14.175953371085223</v>
      </c>
      <c r="L15" s="215">
        <f t="shared" si="19"/>
        <v>4.2987628930426274</v>
      </c>
      <c r="M15" s="215">
        <f t="shared" si="19"/>
        <v>5.3970243333109318</v>
      </c>
      <c r="N15" s="215">
        <f t="shared" si="19"/>
        <v>6.2614932345758669</v>
      </c>
      <c r="O15" s="215">
        <f t="shared" si="19"/>
        <v>8.2040561288056679</v>
      </c>
      <c r="P15" s="215">
        <f t="shared" si="19"/>
        <v>4.1551354680871366</v>
      </c>
      <c r="Q15" s="215">
        <f t="shared" si="19"/>
        <v>3.4890140440731674</v>
      </c>
      <c r="R15" s="215">
        <f t="shared" si="19"/>
        <v>2.989190522208828</v>
      </c>
      <c r="S15" s="215">
        <f t="shared" si="20"/>
        <v>4758989</v>
      </c>
      <c r="T15" s="216">
        <f t="shared" si="21"/>
        <v>229.76820829146979</v>
      </c>
      <c r="U15" s="217"/>
      <c r="V15" s="217">
        <f t="shared" si="22"/>
        <v>-529160</v>
      </c>
      <c r="W15" s="217">
        <f t="shared" si="23"/>
        <v>-20.349388337750007</v>
      </c>
      <c r="X15" s="218"/>
      <c r="Y15" s="217">
        <f t="shared" si="24"/>
        <v>-416515</v>
      </c>
      <c r="Z15" s="217">
        <f t="shared" si="25"/>
        <v>-13.806114114942286</v>
      </c>
      <c r="AA15" s="218"/>
      <c r="AB15" s="217">
        <f t="shared" si="26"/>
        <v>-935958</v>
      </c>
      <c r="AC15" s="217">
        <f t="shared" si="27"/>
        <v>-23.678079034700566</v>
      </c>
      <c r="AD15" s="218"/>
      <c r="AE15" s="217">
        <f t="shared" si="28"/>
        <v>1950835</v>
      </c>
      <c r="AF15" s="217">
        <f t="shared" si="29"/>
        <v>97.443770288974434</v>
      </c>
      <c r="AG15" s="218"/>
      <c r="AH15" s="217">
        <f t="shared" si="30"/>
        <v>320948</v>
      </c>
      <c r="AI15" s="217">
        <f t="shared" si="31"/>
        <v>19.09196740395809</v>
      </c>
      <c r="AJ15" s="218"/>
      <c r="AK15" s="217">
        <f t="shared" si="32"/>
        <v>240823</v>
      </c>
      <c r="AL15" s="217">
        <f t="shared" si="33"/>
        <v>16.721032605676829</v>
      </c>
      <c r="AM15" s="217"/>
    </row>
    <row r="16" spans="1:256" ht="16.2" x14ac:dyDescent="0.35">
      <c r="A16" s="219" t="s">
        <v>443</v>
      </c>
      <c r="B16" s="220"/>
      <c r="C16" s="221">
        <f t="shared" ref="C16:J16" si="34">SUM(C12:C15)</f>
        <v>48181606</v>
      </c>
      <c r="D16" s="221">
        <f t="shared" si="34"/>
        <v>48576530</v>
      </c>
      <c r="E16" s="221">
        <f t="shared" si="34"/>
        <v>51107141</v>
      </c>
      <c r="F16" s="221">
        <f t="shared" si="34"/>
        <v>58473580</v>
      </c>
      <c r="G16" s="221">
        <f t="shared" si="34"/>
        <v>50247918</v>
      </c>
      <c r="H16" s="221">
        <f t="shared" si="34"/>
        <v>46444092</v>
      </c>
      <c r="I16" s="221">
        <f t="shared" si="34"/>
        <v>33365697</v>
      </c>
      <c r="J16" s="221">
        <f t="shared" si="34"/>
        <v>29772054</v>
      </c>
      <c r="K16" s="215"/>
      <c r="L16" s="215"/>
      <c r="M16" s="215"/>
      <c r="N16" s="215"/>
      <c r="O16" s="215"/>
      <c r="P16" s="215"/>
      <c r="Q16" s="215"/>
      <c r="R16" s="215"/>
      <c r="S16" s="215">
        <f t="shared" si="20"/>
        <v>-394924</v>
      </c>
      <c r="T16" s="216">
        <f t="shared" si="21"/>
        <v>-0.81299343530713297</v>
      </c>
      <c r="U16" s="217"/>
      <c r="V16" s="217">
        <f t="shared" si="22"/>
        <v>-2530611</v>
      </c>
      <c r="W16" s="217">
        <f t="shared" si="23"/>
        <v>-4.9515800541454666</v>
      </c>
      <c r="X16" s="218"/>
      <c r="Y16" s="217">
        <f t="shared" si="24"/>
        <v>-7366439</v>
      </c>
      <c r="Z16" s="217">
        <f t="shared" si="25"/>
        <v>-12.597892928738071</v>
      </c>
      <c r="AA16" s="218"/>
      <c r="AB16" s="217">
        <f t="shared" si="26"/>
        <v>8225662</v>
      </c>
      <c r="AC16" s="217">
        <f t="shared" si="27"/>
        <v>16.37015487885488</v>
      </c>
      <c r="AD16" s="218"/>
      <c r="AE16" s="217">
        <f t="shared" si="28"/>
        <v>3803826</v>
      </c>
      <c r="AF16" s="217">
        <f t="shared" si="29"/>
        <v>8.1901181317098413</v>
      </c>
      <c r="AG16" s="218"/>
      <c r="AH16" s="217">
        <f t="shared" si="30"/>
        <v>13078395</v>
      </c>
      <c r="AI16" s="217">
        <f t="shared" si="31"/>
        <v>39.197128116340565</v>
      </c>
      <c r="AJ16" s="218"/>
      <c r="AK16" s="217">
        <f t="shared" si="32"/>
        <v>3593643</v>
      </c>
      <c r="AL16" s="217">
        <f t="shared" si="33"/>
        <v>12.070524257412673</v>
      </c>
      <c r="AM16" s="217"/>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22"/>
      <c r="EJ16" s="222"/>
      <c r="EK16" s="222"/>
      <c r="EL16" s="222"/>
      <c r="EM16" s="222"/>
      <c r="EN16" s="222"/>
      <c r="EO16" s="222"/>
      <c r="EP16" s="222"/>
      <c r="EQ16" s="222"/>
      <c r="ER16" s="222"/>
      <c r="ES16" s="222"/>
      <c r="ET16" s="222"/>
      <c r="EU16" s="222"/>
      <c r="EV16" s="222"/>
      <c r="EW16" s="222"/>
      <c r="EX16" s="222"/>
      <c r="EY16" s="222"/>
      <c r="EZ16" s="222"/>
      <c r="FA16" s="222"/>
      <c r="FB16" s="222"/>
      <c r="FC16" s="222"/>
      <c r="FD16" s="222"/>
      <c r="FE16" s="222"/>
      <c r="FF16" s="222"/>
      <c r="FG16" s="222"/>
      <c r="FH16" s="222"/>
      <c r="FI16" s="222"/>
      <c r="FJ16" s="222"/>
      <c r="FK16" s="222"/>
      <c r="FL16" s="222"/>
      <c r="FM16" s="222"/>
      <c r="FN16" s="222"/>
      <c r="FO16" s="222"/>
      <c r="FP16" s="222"/>
      <c r="FQ16" s="222"/>
      <c r="FR16" s="222"/>
      <c r="FS16" s="222"/>
      <c r="FT16" s="222"/>
      <c r="FU16" s="222"/>
      <c r="FV16" s="222"/>
      <c r="FW16" s="222"/>
      <c r="FX16" s="222"/>
      <c r="FY16" s="222"/>
      <c r="FZ16" s="222"/>
      <c r="GA16" s="222"/>
      <c r="GB16" s="222"/>
      <c r="GC16" s="222"/>
      <c r="GD16" s="222"/>
      <c r="GE16" s="222"/>
      <c r="GF16" s="222"/>
      <c r="GG16" s="222"/>
      <c r="GH16" s="222"/>
      <c r="GI16" s="222"/>
      <c r="GJ16" s="222"/>
      <c r="GK16" s="222"/>
      <c r="GL16" s="222"/>
      <c r="GM16" s="222"/>
      <c r="GN16" s="222"/>
      <c r="GO16" s="222"/>
      <c r="GP16" s="222"/>
      <c r="GQ16" s="222"/>
      <c r="GR16" s="222"/>
      <c r="GS16" s="222"/>
      <c r="GT16" s="222"/>
      <c r="GU16" s="222"/>
      <c r="GV16" s="222"/>
      <c r="GW16" s="222"/>
      <c r="GX16" s="222"/>
      <c r="GY16" s="222"/>
      <c r="GZ16" s="222"/>
      <c r="HA16" s="222"/>
      <c r="HB16" s="222"/>
      <c r="HC16" s="222"/>
      <c r="HD16" s="222"/>
      <c r="HE16" s="222"/>
      <c r="HF16" s="222"/>
      <c r="HG16" s="222"/>
      <c r="HH16" s="222"/>
      <c r="HI16" s="222"/>
      <c r="HJ16" s="222"/>
      <c r="HK16" s="222"/>
      <c r="HL16" s="222"/>
      <c r="HM16" s="222"/>
      <c r="HN16" s="222"/>
      <c r="HO16" s="222"/>
      <c r="HP16" s="222"/>
      <c r="HQ16" s="222"/>
      <c r="HR16" s="222"/>
      <c r="HS16" s="222"/>
      <c r="HT16" s="222"/>
      <c r="HU16" s="222"/>
      <c r="HV16" s="222"/>
      <c r="HW16" s="222"/>
      <c r="HX16" s="222"/>
      <c r="HY16" s="222"/>
      <c r="HZ16" s="222"/>
      <c r="IA16" s="222"/>
      <c r="IB16" s="222"/>
      <c r="IC16" s="222"/>
      <c r="ID16" s="222"/>
      <c r="IE16" s="222"/>
      <c r="IF16" s="222"/>
      <c r="IG16" s="222"/>
      <c r="IH16" s="222"/>
      <c r="II16" s="222"/>
      <c r="IJ16" s="222"/>
      <c r="IK16" s="222"/>
      <c r="IL16" s="222"/>
      <c r="IM16" s="222"/>
      <c r="IN16" s="222"/>
      <c r="IO16" s="222"/>
      <c r="IP16" s="222"/>
      <c r="IQ16" s="222"/>
      <c r="IR16" s="222"/>
      <c r="IS16" s="222"/>
      <c r="IT16" s="222"/>
      <c r="IU16" s="222"/>
      <c r="IV16" s="222"/>
    </row>
    <row r="17" spans="1:256" x14ac:dyDescent="0.3">
      <c r="A17" s="201" t="s">
        <v>452</v>
      </c>
      <c r="C17" s="223"/>
      <c r="D17" s="223"/>
      <c r="E17" s="223"/>
      <c r="F17" s="223"/>
      <c r="G17" s="223"/>
      <c r="H17" s="224"/>
      <c r="I17" s="224"/>
      <c r="J17" s="224"/>
    </row>
    <row r="18" spans="1:256" x14ac:dyDescent="0.3">
      <c r="A18" s="197" t="s">
        <v>453</v>
      </c>
      <c r="C18" s="197">
        <f>C10-C16</f>
        <v>0</v>
      </c>
      <c r="D18" s="197">
        <f>D10-D16</f>
        <v>0</v>
      </c>
      <c r="E18" s="197">
        <f>E10-E16</f>
        <v>0</v>
      </c>
      <c r="F18" s="197">
        <f>F10-F16</f>
        <v>0</v>
      </c>
    </row>
    <row r="19" spans="1:256" x14ac:dyDescent="0.3">
      <c r="A19" s="198"/>
    </row>
    <row r="20" spans="1:256" x14ac:dyDescent="0.3">
      <c r="A20" s="198" t="s">
        <v>454</v>
      </c>
    </row>
    <row r="21" spans="1:256" ht="15.75" customHeight="1" x14ac:dyDescent="0.3">
      <c r="A21" s="423" t="s">
        <v>177</v>
      </c>
      <c r="B21" s="426" t="s">
        <v>420</v>
      </c>
      <c r="C21" s="429" t="s">
        <v>421</v>
      </c>
      <c r="D21" s="429"/>
      <c r="E21" s="429"/>
      <c r="F21" s="429"/>
      <c r="G21" s="429"/>
      <c r="H21" s="429"/>
      <c r="I21" s="429"/>
      <c r="J21" s="429" t="s">
        <v>422</v>
      </c>
      <c r="K21" s="429"/>
      <c r="L21" s="429"/>
      <c r="M21" s="429"/>
      <c r="N21" s="429"/>
      <c r="O21" s="429"/>
      <c r="P21" s="429"/>
      <c r="Q21" s="437" t="s">
        <v>423</v>
      </c>
      <c r="R21" s="438"/>
      <c r="S21" s="438"/>
      <c r="T21" s="438"/>
      <c r="U21" s="438"/>
      <c r="V21" s="438"/>
      <c r="W21" s="438"/>
      <c r="X21" s="438"/>
      <c r="Y21" s="438"/>
      <c r="Z21" s="438"/>
      <c r="AA21" s="438"/>
      <c r="AB21" s="438"/>
      <c r="AC21" s="438"/>
      <c r="AD21" s="438"/>
      <c r="AE21" s="438"/>
      <c r="AF21" s="438"/>
      <c r="AG21" s="438"/>
      <c r="AH21" s="439"/>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c r="HV21" s="225"/>
      <c r="HW21" s="225"/>
      <c r="HX21" s="225"/>
      <c r="HY21" s="225"/>
      <c r="HZ21" s="225"/>
      <c r="IA21" s="225"/>
      <c r="IB21" s="225"/>
      <c r="IC21" s="225"/>
      <c r="ID21" s="225"/>
      <c r="IE21" s="225"/>
      <c r="IF21" s="225"/>
      <c r="IG21" s="225"/>
      <c r="IH21" s="225"/>
      <c r="II21" s="225"/>
      <c r="IJ21" s="225"/>
      <c r="IK21" s="225"/>
      <c r="IL21" s="225"/>
      <c r="IM21" s="225"/>
      <c r="IN21" s="225"/>
      <c r="IO21" s="225"/>
      <c r="IP21" s="225"/>
      <c r="IQ21" s="225"/>
      <c r="IR21" s="225"/>
      <c r="IS21" s="225"/>
      <c r="IT21" s="225"/>
      <c r="IU21" s="225"/>
      <c r="IV21"/>
    </row>
    <row r="22" spans="1:256" ht="15.75" customHeight="1" x14ac:dyDescent="0.3">
      <c r="A22" s="424"/>
      <c r="B22" s="427"/>
      <c r="C22" s="429"/>
      <c r="D22" s="429"/>
      <c r="E22" s="429"/>
      <c r="F22" s="429"/>
      <c r="G22" s="429"/>
      <c r="H22" s="429"/>
      <c r="I22" s="429"/>
      <c r="J22" s="429"/>
      <c r="K22" s="429"/>
      <c r="L22" s="429"/>
      <c r="M22" s="429"/>
      <c r="N22" s="429"/>
      <c r="O22" s="429"/>
      <c r="P22" s="429"/>
      <c r="Q22" s="440" t="s">
        <v>455</v>
      </c>
      <c r="R22" s="440"/>
      <c r="S22" s="440"/>
      <c r="T22" s="440" t="s">
        <v>456</v>
      </c>
      <c r="U22" s="440"/>
      <c r="V22" s="440"/>
      <c r="W22" s="440" t="s">
        <v>457</v>
      </c>
      <c r="X22" s="440"/>
      <c r="Y22" s="440"/>
      <c r="Z22" s="440" t="s">
        <v>458</v>
      </c>
      <c r="AA22" s="440"/>
      <c r="AB22" s="440"/>
      <c r="AC22" s="440" t="s">
        <v>459</v>
      </c>
      <c r="AD22" s="440"/>
      <c r="AE22" s="440"/>
      <c r="AF22" s="440" t="s">
        <v>460</v>
      </c>
      <c r="AG22" s="440"/>
      <c r="AH22" s="440"/>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c r="HV22" s="225"/>
      <c r="HW22" s="225"/>
      <c r="HX22" s="225"/>
      <c r="HY22" s="225"/>
      <c r="HZ22" s="225"/>
      <c r="IA22" s="225"/>
      <c r="IB22" s="225"/>
      <c r="IC22" s="225"/>
      <c r="ID22" s="225"/>
      <c r="IE22" s="225"/>
      <c r="IF22" s="225"/>
      <c r="IG22" s="225"/>
      <c r="IH22" s="225"/>
      <c r="II22" s="225"/>
      <c r="IJ22" s="225"/>
      <c r="IK22" s="225"/>
      <c r="IL22" s="225"/>
      <c r="IM22" s="225"/>
      <c r="IN22" s="225"/>
      <c r="IO22" s="225"/>
      <c r="IP22" s="225"/>
      <c r="IQ22" s="225"/>
      <c r="IR22" s="225"/>
      <c r="IS22" s="225"/>
      <c r="IT22" s="225"/>
      <c r="IU22" s="225"/>
      <c r="IV22"/>
    </row>
    <row r="23" spans="1:256" ht="34.5" customHeight="1" x14ac:dyDescent="0.3">
      <c r="A23" s="425"/>
      <c r="B23" s="428"/>
      <c r="C23" s="226" t="str">
        <f>бс!C5</f>
        <v>2019 год</v>
      </c>
      <c r="D23" s="226" t="str">
        <f>бс!D5</f>
        <v>2018 год</v>
      </c>
      <c r="E23" s="226" t="str">
        <f>бс!E5</f>
        <v>2017 год</v>
      </c>
      <c r="F23" s="226" t="str">
        <f>бс!F5</f>
        <v>2016 год</v>
      </c>
      <c r="G23" s="226" t="str">
        <f>бс!G5</f>
        <v>2015 год</v>
      </c>
      <c r="H23" s="226" t="str">
        <f>бс!H5</f>
        <v>2014 год</v>
      </c>
      <c r="I23" s="226" t="str">
        <f>бс!I5</f>
        <v>2013 год</v>
      </c>
      <c r="J23" s="200" t="str">
        <f t="shared" ref="J23:P23" si="35">C23</f>
        <v>2019 год</v>
      </c>
      <c r="K23" s="200" t="str">
        <f t="shared" si="35"/>
        <v>2018 год</v>
      </c>
      <c r="L23" s="200" t="str">
        <f t="shared" si="35"/>
        <v>2017 год</v>
      </c>
      <c r="M23" s="200" t="str">
        <f t="shared" si="35"/>
        <v>2016 год</v>
      </c>
      <c r="N23" s="200" t="str">
        <f t="shared" si="35"/>
        <v>2015 год</v>
      </c>
      <c r="O23" s="200" t="str">
        <f t="shared" si="35"/>
        <v>2014 год</v>
      </c>
      <c r="P23" s="200" t="str">
        <f t="shared" si="35"/>
        <v>2013 год</v>
      </c>
      <c r="Q23" s="199" t="str">
        <f t="shared" ref="Q23:AH23" si="36">S4</f>
        <v>в тыс. руб.</v>
      </c>
      <c r="R23" s="199" t="str">
        <f t="shared" si="36"/>
        <v>темп прироста, %</v>
      </c>
      <c r="S23" s="199" t="str">
        <f t="shared" si="36"/>
        <v>в структуре, %</v>
      </c>
      <c r="T23" s="199" t="str">
        <f t="shared" si="36"/>
        <v>в тыс. руб.</v>
      </c>
      <c r="U23" s="199" t="str">
        <f t="shared" si="36"/>
        <v>темп прироста, %</v>
      </c>
      <c r="V23" s="199" t="str">
        <f t="shared" si="36"/>
        <v>в структуре, %</v>
      </c>
      <c r="W23" s="199" t="str">
        <f t="shared" si="36"/>
        <v>в тыс. руб.</v>
      </c>
      <c r="X23" s="199" t="str">
        <f t="shared" si="36"/>
        <v>темп прироста, %</v>
      </c>
      <c r="Y23" s="199" t="str">
        <f t="shared" si="36"/>
        <v>в структуре, %</v>
      </c>
      <c r="Z23" s="199" t="str">
        <f t="shared" si="36"/>
        <v>в тыс. руб.</v>
      </c>
      <c r="AA23" s="199" t="str">
        <f t="shared" si="36"/>
        <v>темп прироста, %</v>
      </c>
      <c r="AB23" s="199" t="str">
        <f t="shared" si="36"/>
        <v>в структуре, %</v>
      </c>
      <c r="AC23" s="199" t="str">
        <f t="shared" si="36"/>
        <v>в тыс. руб.</v>
      </c>
      <c r="AD23" s="199" t="str">
        <f t="shared" si="36"/>
        <v>темп прироста, %</v>
      </c>
      <c r="AE23" s="199" t="str">
        <f t="shared" si="36"/>
        <v>в структуре, %</v>
      </c>
      <c r="AF23" s="199" t="str">
        <f t="shared" si="36"/>
        <v>в тыс. руб.</v>
      </c>
      <c r="AG23" s="199" t="str">
        <f t="shared" si="36"/>
        <v>темп прироста, %</v>
      </c>
      <c r="AH23" s="199" t="str">
        <f t="shared" si="36"/>
        <v>в структуре, %</v>
      </c>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c r="HV23" s="225"/>
      <c r="HW23" s="225"/>
      <c r="HX23" s="225"/>
      <c r="HY23" s="225"/>
      <c r="HZ23" s="225"/>
      <c r="IA23" s="225"/>
      <c r="IB23" s="225"/>
      <c r="IC23" s="225"/>
      <c r="ID23" s="225"/>
      <c r="IE23" s="225"/>
      <c r="IF23" s="225"/>
      <c r="IG23" s="225"/>
      <c r="IH23" s="225"/>
      <c r="II23" s="225"/>
      <c r="IJ23" s="225"/>
      <c r="IK23" s="225"/>
      <c r="IL23" s="225"/>
      <c r="IM23" s="225"/>
      <c r="IN23" s="225"/>
      <c r="IO23" s="225"/>
      <c r="IP23" s="225"/>
      <c r="IQ23" s="225"/>
      <c r="IR23" s="225"/>
      <c r="IS23" s="225"/>
      <c r="IT23" s="225"/>
      <c r="IU23" s="225"/>
      <c r="IV23"/>
    </row>
    <row r="24" spans="1:256" ht="15.75" customHeight="1" x14ac:dyDescent="0.3">
      <c r="A24" s="206" t="s">
        <v>6</v>
      </c>
      <c r="B24" s="207"/>
      <c r="C24" s="207"/>
      <c r="D24" s="207"/>
      <c r="E24" s="208"/>
      <c r="F24" s="209"/>
      <c r="G24" s="209"/>
      <c r="H24" s="209"/>
      <c r="I24" s="209"/>
      <c r="J24" s="209"/>
      <c r="K24" s="209"/>
      <c r="L24" s="209"/>
      <c r="M24" s="209"/>
      <c r="N24" s="209"/>
      <c r="O24" s="209"/>
      <c r="P24" s="210"/>
      <c r="Q24" s="211"/>
      <c r="R24" s="211"/>
      <c r="S24" s="211"/>
      <c r="T24" s="211"/>
      <c r="U24" s="211"/>
      <c r="V24" s="211"/>
      <c r="W24" s="211"/>
      <c r="X24" s="211"/>
      <c r="Y24" s="211"/>
      <c r="Z24" s="211"/>
      <c r="AA24" s="211"/>
      <c r="AB24" s="211"/>
      <c r="AC24" s="211"/>
      <c r="AD24" s="211"/>
      <c r="AE24" s="211"/>
      <c r="AF24" s="211"/>
      <c r="AG24" s="211"/>
      <c r="AH24" s="211"/>
      <c r="IV24"/>
    </row>
    <row r="25" spans="1:256" ht="15.75" customHeight="1" x14ac:dyDescent="0.3">
      <c r="A25" s="212" t="str">
        <f t="shared" ref="A25:A28" si="37">A6</f>
        <v>Труднореализуемые активы</v>
      </c>
      <c r="B25" s="214" t="s">
        <v>436</v>
      </c>
      <c r="C25" s="214">
        <f t="shared" ref="C25:C28" si="38">AVERAGE(C6,D6)</f>
        <v>17062074</v>
      </c>
      <c r="D25" s="214">
        <f t="shared" ref="D25:D28" si="39">AVERAGE(D6,E6)</f>
        <v>16893367</v>
      </c>
      <c r="E25" s="214">
        <f t="shared" ref="E25:E28" si="40">AVERAGE(E6,F6)</f>
        <v>14194149.5</v>
      </c>
      <c r="F25" s="214">
        <f t="shared" ref="F25:F28" si="41">AVERAGE(F6,G6)</f>
        <v>9906137.5</v>
      </c>
      <c r="G25" s="214">
        <f t="shared" ref="G25:G28" si="42">AVERAGE(G6,H6)</f>
        <v>11120926</v>
      </c>
      <c r="H25" s="214">
        <f t="shared" ref="H25:H28" si="43">AVERAGE(H6,I6)</f>
        <v>14701906.5</v>
      </c>
      <c r="I25" s="214">
        <f t="shared" ref="I25:I28" si="44">AVERAGE(I6,J6)</f>
        <v>19711089.5</v>
      </c>
      <c r="J25" s="227">
        <f t="shared" ref="J25:J28" si="45">C25/C$29*100</f>
        <v>35.267471461004583</v>
      </c>
      <c r="K25" s="227">
        <f t="shared" ref="K25:K28" si="46">D25/D$29*100</f>
        <v>33.893950394342923</v>
      </c>
      <c r="L25" s="227">
        <f t="shared" ref="L25:L28" si="47">E25/E$29*100</f>
        <v>25.90628966567942</v>
      </c>
      <c r="M25" s="227">
        <f t="shared" ref="M25:M28" si="48">F25/F$29*100</f>
        <v>18.222959915434572</v>
      </c>
      <c r="N25" s="227">
        <f t="shared" ref="N25:N28" si="49">G25/G$29*100</f>
        <v>23.002781718985883</v>
      </c>
      <c r="O25" s="227">
        <f t="shared" ref="O25:O28" si="50">H25/H$29*100</f>
        <v>36.842364036321406</v>
      </c>
      <c r="P25" s="228">
        <f t="shared" ref="P25:P28" si="51">I25/I$29*100</f>
        <v>62.438364331349085</v>
      </c>
      <c r="Q25" s="229">
        <f t="shared" ref="Q25:Q35" si="52">C25-D25</f>
        <v>168707</v>
      </c>
      <c r="R25" s="229">
        <f t="shared" ref="R25:R35" si="53">Q25/D25*100</f>
        <v>0.99865823077187632</v>
      </c>
      <c r="S25" s="218"/>
      <c r="T25" s="229">
        <f t="shared" ref="T25:T35" si="54">D25-E25</f>
        <v>2699217.5</v>
      </c>
      <c r="U25" s="229">
        <f t="shared" ref="U25:U35" si="55">T25/E25*100</f>
        <v>19.016408838021608</v>
      </c>
      <c r="V25" s="218"/>
      <c r="W25" s="229">
        <f t="shared" ref="W25:W35" si="56">E25-F25</f>
        <v>4288012</v>
      </c>
      <c r="X25" s="229">
        <f t="shared" ref="X25:X35" si="57">W25/F25*100</f>
        <v>43.286417132812865</v>
      </c>
      <c r="Y25" s="218"/>
      <c r="Z25" s="217">
        <f t="shared" ref="Z25:Z35" si="58">F25-G25</f>
        <v>-1214788.5</v>
      </c>
      <c r="AA25" s="217">
        <f t="shared" ref="AA25:AA35" si="59">Z25/G25*100</f>
        <v>-10.923447381989593</v>
      </c>
      <c r="AB25" s="218"/>
      <c r="AC25" s="217">
        <f t="shared" ref="AC25:AC35" si="60">G25-H25</f>
        <v>-3580980.5</v>
      </c>
      <c r="AD25" s="217">
        <f t="shared" ref="AD25:AD35" si="61">AC25/H25*100</f>
        <v>-24.35725257809251</v>
      </c>
      <c r="AE25" s="218"/>
      <c r="AF25" s="217">
        <f t="shared" ref="AF25:AF35" si="62">H25-I25</f>
        <v>-5009183</v>
      </c>
      <c r="AG25" s="217">
        <f t="shared" ref="AG25:AG35" si="63">AF25/I25*100</f>
        <v>-25.413019407171785</v>
      </c>
      <c r="AH25" s="217"/>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IV25"/>
    </row>
    <row r="26" spans="1:256" ht="15.75" customHeight="1" x14ac:dyDescent="0.3">
      <c r="A26" s="212" t="str">
        <f t="shared" si="37"/>
        <v>Медленно реализуемые активы</v>
      </c>
      <c r="B26" s="214" t="s">
        <v>438</v>
      </c>
      <c r="C26" s="214">
        <f t="shared" si="38"/>
        <v>2931475</v>
      </c>
      <c r="D26" s="214">
        <f t="shared" si="39"/>
        <v>2807168.5</v>
      </c>
      <c r="E26" s="214">
        <f t="shared" si="40"/>
        <v>2756822</v>
      </c>
      <c r="F26" s="214">
        <f t="shared" si="41"/>
        <v>2387108</v>
      </c>
      <c r="G26" s="214">
        <f t="shared" si="42"/>
        <v>2142335.5</v>
      </c>
      <c r="H26" s="214">
        <f t="shared" si="43"/>
        <v>1791297.5</v>
      </c>
      <c r="I26" s="214">
        <f t="shared" si="44"/>
        <v>1778496.5</v>
      </c>
      <c r="J26" s="227">
        <f t="shared" si="45"/>
        <v>6.0593870886475116</v>
      </c>
      <c r="K26" s="227">
        <f t="shared" si="46"/>
        <v>5.6321531336862591</v>
      </c>
      <c r="L26" s="227">
        <f t="shared" si="47"/>
        <v>5.0315821521196238</v>
      </c>
      <c r="M26" s="227">
        <f t="shared" si="48"/>
        <v>4.3912345652191069</v>
      </c>
      <c r="N26" s="227">
        <f t="shared" si="49"/>
        <v>4.4312565226433911</v>
      </c>
      <c r="O26" s="227">
        <f t="shared" si="50"/>
        <v>4.4889167668392158</v>
      </c>
      <c r="P26" s="228">
        <f t="shared" si="51"/>
        <v>5.6337024104643829</v>
      </c>
      <c r="Q26" s="229">
        <f t="shared" si="52"/>
        <v>124306.5</v>
      </c>
      <c r="R26" s="229">
        <f t="shared" si="53"/>
        <v>4.4281809232327873</v>
      </c>
      <c r="S26" s="218"/>
      <c r="T26" s="229">
        <f t="shared" si="54"/>
        <v>50346.5</v>
      </c>
      <c r="U26" s="229">
        <f t="shared" si="55"/>
        <v>1.8262513865603218</v>
      </c>
      <c r="V26" s="218"/>
      <c r="W26" s="229">
        <f t="shared" si="56"/>
        <v>369714</v>
      </c>
      <c r="X26" s="229">
        <f t="shared" si="57"/>
        <v>15.487946083713011</v>
      </c>
      <c r="Y26" s="218"/>
      <c r="Z26" s="217">
        <f t="shared" si="58"/>
        <v>244772.5</v>
      </c>
      <c r="AA26" s="217">
        <f t="shared" si="59"/>
        <v>11.425498013733144</v>
      </c>
      <c r="AB26" s="218"/>
      <c r="AC26" s="217">
        <f t="shared" si="60"/>
        <v>351038</v>
      </c>
      <c r="AD26" s="217">
        <f t="shared" si="61"/>
        <v>19.596856468565381</v>
      </c>
      <c r="AE26" s="218"/>
      <c r="AF26" s="217">
        <f t="shared" si="62"/>
        <v>12801</v>
      </c>
      <c r="AG26" s="217">
        <f t="shared" si="63"/>
        <v>0.71976526240001037</v>
      </c>
      <c r="AH26" s="217"/>
      <c r="IV26"/>
    </row>
    <row r="27" spans="1:256" ht="15.75" customHeight="1" x14ac:dyDescent="0.3">
      <c r="A27" s="212" t="str">
        <f t="shared" si="37"/>
        <v>Быстрореализуемые активы</v>
      </c>
      <c r="B27" s="214" t="s">
        <v>440</v>
      </c>
      <c r="C27" s="214">
        <f t="shared" si="38"/>
        <v>3372233</v>
      </c>
      <c r="D27" s="214">
        <f t="shared" si="39"/>
        <v>3303178</v>
      </c>
      <c r="E27" s="214">
        <f t="shared" si="40"/>
        <v>3592015</v>
      </c>
      <c r="F27" s="214">
        <f t="shared" si="41"/>
        <v>4705685</v>
      </c>
      <c r="G27" s="214">
        <f t="shared" si="42"/>
        <v>5448259.5</v>
      </c>
      <c r="H27" s="214">
        <f t="shared" si="43"/>
        <v>4045986.5</v>
      </c>
      <c r="I27" s="214">
        <f t="shared" si="44"/>
        <v>2339066</v>
      </c>
      <c r="J27" s="227">
        <f t="shared" si="45"/>
        <v>6.9704381241904034</v>
      </c>
      <c r="K27" s="227">
        <f t="shared" si="46"/>
        <v>6.6273201355114626</v>
      </c>
      <c r="L27" s="227">
        <f t="shared" si="47"/>
        <v>6.555925106570526</v>
      </c>
      <c r="M27" s="227">
        <f t="shared" si="48"/>
        <v>8.6564020668662973</v>
      </c>
      <c r="N27" s="227">
        <f t="shared" si="49"/>
        <v>11.269306533187178</v>
      </c>
      <c r="O27" s="227">
        <f t="shared" si="50"/>
        <v>10.139073290871625</v>
      </c>
      <c r="P27" s="228">
        <f t="shared" si="51"/>
        <v>7.4094055076494563</v>
      </c>
      <c r="Q27" s="229">
        <f t="shared" si="52"/>
        <v>69055</v>
      </c>
      <c r="R27" s="229">
        <f t="shared" si="53"/>
        <v>2.0905624825546791</v>
      </c>
      <c r="S27" s="218"/>
      <c r="T27" s="229">
        <f t="shared" si="54"/>
        <v>-288837</v>
      </c>
      <c r="U27" s="229">
        <f t="shared" si="55"/>
        <v>-8.0410855745312873</v>
      </c>
      <c r="V27" s="218"/>
      <c r="W27" s="229">
        <f t="shared" si="56"/>
        <v>-1113670</v>
      </c>
      <c r="X27" s="229">
        <f t="shared" si="57"/>
        <v>-23.666480013005543</v>
      </c>
      <c r="Y27" s="218"/>
      <c r="Z27" s="217">
        <f t="shared" si="58"/>
        <v>-742574.5</v>
      </c>
      <c r="AA27" s="217">
        <f t="shared" si="59"/>
        <v>-13.629572893875558</v>
      </c>
      <c r="AB27" s="218"/>
      <c r="AC27" s="217">
        <f t="shared" si="60"/>
        <v>1402273</v>
      </c>
      <c r="AD27" s="217">
        <f t="shared" si="61"/>
        <v>34.658370708849375</v>
      </c>
      <c r="AE27" s="218"/>
      <c r="AF27" s="217">
        <f t="shared" si="62"/>
        <v>1706920.5</v>
      </c>
      <c r="AG27" s="217">
        <f t="shared" si="63"/>
        <v>72.974447920665781</v>
      </c>
      <c r="AH27" s="217"/>
      <c r="IV27"/>
    </row>
    <row r="28" spans="1:256" ht="15.75" customHeight="1" x14ac:dyDescent="0.3">
      <c r="A28" s="212" t="str">
        <f t="shared" si="37"/>
        <v>Наиболее ликвидные активы</v>
      </c>
      <c r="B28" s="214" t="s">
        <v>442</v>
      </c>
      <c r="C28" s="214">
        <f t="shared" si="38"/>
        <v>25013286</v>
      </c>
      <c r="D28" s="214">
        <f t="shared" si="39"/>
        <v>26838122</v>
      </c>
      <c r="E28" s="214">
        <f t="shared" si="40"/>
        <v>34247374</v>
      </c>
      <c r="F28" s="214">
        <f t="shared" si="41"/>
        <v>37361818.5</v>
      </c>
      <c r="G28" s="214">
        <f t="shared" si="42"/>
        <v>29634484</v>
      </c>
      <c r="H28" s="214">
        <f t="shared" si="43"/>
        <v>19365704</v>
      </c>
      <c r="I28" s="214">
        <f t="shared" si="44"/>
        <v>7740223.5</v>
      </c>
      <c r="J28" s="227">
        <f t="shared" si="45"/>
        <v>51.702703326157504</v>
      </c>
      <c r="K28" s="227">
        <f t="shared" si="46"/>
        <v>53.846576336459364</v>
      </c>
      <c r="L28" s="227">
        <f t="shared" si="47"/>
        <v>62.506203075630431</v>
      </c>
      <c r="M28" s="227">
        <f t="shared" si="48"/>
        <v>68.729403452480014</v>
      </c>
      <c r="N28" s="227">
        <f t="shared" si="49"/>
        <v>61.296655225183549</v>
      </c>
      <c r="O28" s="227">
        <f t="shared" si="50"/>
        <v>48.529645905967747</v>
      </c>
      <c r="P28" s="228">
        <f t="shared" si="51"/>
        <v>24.518527750537075</v>
      </c>
      <c r="Q28" s="229">
        <f t="shared" si="52"/>
        <v>-1824836</v>
      </c>
      <c r="R28" s="229">
        <f t="shared" si="53"/>
        <v>-6.7994176343635377</v>
      </c>
      <c r="S28" s="218"/>
      <c r="T28" s="229">
        <f t="shared" si="54"/>
        <v>-7409252</v>
      </c>
      <c r="U28" s="229">
        <f t="shared" si="55"/>
        <v>-21.634511305888736</v>
      </c>
      <c r="V28" s="218"/>
      <c r="W28" s="229">
        <f t="shared" si="56"/>
        <v>-3114444.5</v>
      </c>
      <c r="X28" s="229">
        <f t="shared" si="57"/>
        <v>-8.3359017977136194</v>
      </c>
      <c r="Y28" s="218"/>
      <c r="Z28" s="217">
        <f t="shared" si="58"/>
        <v>7727334.5</v>
      </c>
      <c r="AA28" s="217">
        <f t="shared" si="59"/>
        <v>26.075481860929315</v>
      </c>
      <c r="AB28" s="218"/>
      <c r="AC28" s="217">
        <f t="shared" si="60"/>
        <v>10268780</v>
      </c>
      <c r="AD28" s="217">
        <f t="shared" si="61"/>
        <v>53.025596177655096</v>
      </c>
      <c r="AE28" s="218"/>
      <c r="AF28" s="217">
        <f t="shared" si="62"/>
        <v>11625480.5</v>
      </c>
      <c r="AG28" s="217">
        <f t="shared" si="63"/>
        <v>150.19566941445555</v>
      </c>
      <c r="AH28" s="217"/>
      <c r="IV28"/>
    </row>
    <row r="29" spans="1:256" s="222" customFormat="1" ht="15.75" customHeight="1" x14ac:dyDescent="0.35">
      <c r="A29" s="219" t="s">
        <v>443</v>
      </c>
      <c r="B29" s="220"/>
      <c r="C29" s="231">
        <f t="shared" ref="C29:P29" si="64">SUM(C25:C28)</f>
        <v>48379068</v>
      </c>
      <c r="D29" s="231">
        <f t="shared" si="64"/>
        <v>49841835.5</v>
      </c>
      <c r="E29" s="231">
        <f t="shared" si="64"/>
        <v>54790360.5</v>
      </c>
      <c r="F29" s="231">
        <f t="shared" si="64"/>
        <v>54360749</v>
      </c>
      <c r="G29" s="231">
        <f t="shared" si="64"/>
        <v>48346005</v>
      </c>
      <c r="H29" s="231">
        <f t="shared" si="64"/>
        <v>39904894.5</v>
      </c>
      <c r="I29" s="231">
        <f t="shared" si="64"/>
        <v>31568875.5</v>
      </c>
      <c r="J29" s="232">
        <f>SUM(J25:J28)</f>
        <v>100</v>
      </c>
      <c r="K29" s="232">
        <f t="shared" si="64"/>
        <v>100</v>
      </c>
      <c r="L29" s="232">
        <f t="shared" si="64"/>
        <v>100</v>
      </c>
      <c r="M29" s="232">
        <f t="shared" si="64"/>
        <v>100</v>
      </c>
      <c r="N29" s="232">
        <f t="shared" si="64"/>
        <v>100</v>
      </c>
      <c r="O29" s="232">
        <f t="shared" si="64"/>
        <v>100</v>
      </c>
      <c r="P29" s="233">
        <f t="shared" si="64"/>
        <v>100</v>
      </c>
      <c r="Q29" s="229">
        <f t="shared" si="52"/>
        <v>-1462767.5</v>
      </c>
      <c r="R29" s="229">
        <f t="shared" si="53"/>
        <v>-2.9348186825904516</v>
      </c>
      <c r="S29" s="234"/>
      <c r="T29" s="229">
        <f t="shared" si="54"/>
        <v>-4948525</v>
      </c>
      <c r="U29" s="229">
        <f t="shared" si="55"/>
        <v>-9.0317438228938105</v>
      </c>
      <c r="V29" s="234"/>
      <c r="W29" s="229">
        <f t="shared" si="56"/>
        <v>429611.5</v>
      </c>
      <c r="X29" s="229">
        <f t="shared" si="57"/>
        <v>0.7902972418573555</v>
      </c>
      <c r="Y29" s="234"/>
      <c r="Z29" s="217">
        <f t="shared" si="58"/>
        <v>6014744</v>
      </c>
      <c r="AA29" s="217">
        <f t="shared" si="59"/>
        <v>12.441036234534787</v>
      </c>
      <c r="AB29" s="234"/>
      <c r="AC29" s="217">
        <f t="shared" si="60"/>
        <v>8441110.5</v>
      </c>
      <c r="AD29" s="217">
        <f t="shared" si="61"/>
        <v>21.153070583860334</v>
      </c>
      <c r="AE29" s="234"/>
      <c r="AF29" s="217">
        <f t="shared" si="62"/>
        <v>8336019</v>
      </c>
      <c r="AG29" s="217">
        <f t="shared" si="63"/>
        <v>26.405815436789947</v>
      </c>
      <c r="AH29" s="217"/>
      <c r="IV29" s="235"/>
    </row>
    <row r="30" spans="1:256" ht="15.75" customHeight="1" x14ac:dyDescent="0.3">
      <c r="A30" s="206" t="s">
        <v>36</v>
      </c>
      <c r="B30" s="213"/>
      <c r="C30" s="213"/>
      <c r="D30" s="213"/>
      <c r="E30" s="213"/>
      <c r="F30" s="213"/>
      <c r="G30" s="213"/>
      <c r="H30" s="213"/>
      <c r="I30" s="213"/>
      <c r="J30" s="227"/>
      <c r="K30" s="227"/>
      <c r="L30" s="227"/>
      <c r="M30" s="227"/>
      <c r="N30" s="227"/>
      <c r="O30" s="227"/>
      <c r="P30" s="228"/>
      <c r="Q30" s="229"/>
      <c r="R30" s="229"/>
      <c r="S30" s="218"/>
      <c r="T30" s="229"/>
      <c r="U30" s="229"/>
      <c r="V30" s="218"/>
      <c r="W30" s="229"/>
      <c r="X30" s="229"/>
      <c r="Y30" s="218"/>
      <c r="Z30" s="217"/>
      <c r="AA30" s="217"/>
      <c r="AB30" s="218"/>
      <c r="AC30" s="217"/>
      <c r="AD30" s="217"/>
      <c r="AE30" s="218"/>
      <c r="AF30" s="217"/>
      <c r="AG30" s="217"/>
      <c r="AH30" s="217"/>
      <c r="IV30"/>
    </row>
    <row r="31" spans="1:256" ht="15.75" customHeight="1" x14ac:dyDescent="0.3">
      <c r="A31" s="212" t="str">
        <f t="shared" ref="A31:A34" si="65">A12</f>
        <v>Бессрочные пассивы</v>
      </c>
      <c r="B31" s="214" t="s">
        <v>445</v>
      </c>
      <c r="C31" s="214">
        <f t="shared" ref="C31:C34" si="66">AVERAGE(C12,D12)</f>
        <v>43081363</v>
      </c>
      <c r="D31" s="214">
        <f t="shared" ref="D31:D34" si="67">AVERAGE(D12,E12)</f>
        <v>46386334</v>
      </c>
      <c r="E31" s="214">
        <f t="shared" ref="E31:E34" si="68">AVERAGE(E12,F12)</f>
        <v>44142194</v>
      </c>
      <c r="F31" s="214">
        <f t="shared" ref="F31:F34" si="69">AVERAGE(F12,G12)</f>
        <v>38083303</v>
      </c>
      <c r="G31" s="214">
        <f t="shared" ref="G31:G34" si="70">AVERAGE(G12,H12)</f>
        <v>30523166</v>
      </c>
      <c r="H31" s="214">
        <f t="shared" ref="H31:H34" si="71">AVERAGE(H12,I12)</f>
        <v>26020781</v>
      </c>
      <c r="I31" s="214">
        <f t="shared" ref="I31:I34" si="72">AVERAGE(I12,J12)</f>
        <v>23984206.5</v>
      </c>
      <c r="J31" s="227">
        <f t="shared" ref="J31:J34" si="73">C31/C$35*100</f>
        <v>89.049592687482118</v>
      </c>
      <c r="K31" s="227">
        <f t="shared" ref="K31:P34" si="74">D31/D$35*100</f>
        <v>93.067066119585434</v>
      </c>
      <c r="L31" s="227">
        <f t="shared" si="74"/>
        <v>80.565620662415611</v>
      </c>
      <c r="M31" s="227">
        <f t="shared" si="74"/>
        <v>70.056619344961575</v>
      </c>
      <c r="N31" s="227">
        <f t="shared" si="74"/>
        <v>63.134825721380707</v>
      </c>
      <c r="O31" s="227">
        <f t="shared" si="74"/>
        <v>65.206991087271263</v>
      </c>
      <c r="P31" s="227">
        <f t="shared" si="74"/>
        <v>75.974218657234076</v>
      </c>
      <c r="Q31" s="229">
        <f t="shared" si="52"/>
        <v>-3304971</v>
      </c>
      <c r="R31" s="229">
        <f t="shared" si="53"/>
        <v>-7.1248807892427974</v>
      </c>
      <c r="S31" s="218"/>
      <c r="T31" s="229">
        <f t="shared" si="54"/>
        <v>2244140</v>
      </c>
      <c r="U31" s="229">
        <f t="shared" si="55"/>
        <v>5.0838886712336953</v>
      </c>
      <c r="V31" s="218"/>
      <c r="W31" s="229">
        <f t="shared" si="56"/>
        <v>6058891</v>
      </c>
      <c r="X31" s="229">
        <f t="shared" si="57"/>
        <v>15.909573284649181</v>
      </c>
      <c r="Y31" s="218"/>
      <c r="Z31" s="217">
        <f t="shared" si="58"/>
        <v>7560137</v>
      </c>
      <c r="AA31" s="217">
        <f t="shared" si="59"/>
        <v>24.76852171888067</v>
      </c>
      <c r="AB31" s="218"/>
      <c r="AC31" s="217">
        <f t="shared" si="60"/>
        <v>4502385</v>
      </c>
      <c r="AD31" s="217">
        <f t="shared" si="61"/>
        <v>17.30303560066087</v>
      </c>
      <c r="AE31" s="218"/>
      <c r="AF31" s="217">
        <f t="shared" si="62"/>
        <v>2036574.5</v>
      </c>
      <c r="AG31" s="217">
        <f t="shared" si="63"/>
        <v>8.4913148992442178</v>
      </c>
      <c r="AH31" s="217"/>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IV31"/>
    </row>
    <row r="32" spans="1:256" ht="15.75" customHeight="1" x14ac:dyDescent="0.3">
      <c r="A32" s="212" t="str">
        <f t="shared" si="65"/>
        <v>Долгосрочные пассивы</v>
      </c>
      <c r="B32" s="214" t="s">
        <v>447</v>
      </c>
      <c r="C32" s="214">
        <f t="shared" si="66"/>
        <v>613551</v>
      </c>
      <c r="D32" s="214">
        <f t="shared" si="67"/>
        <v>485837.5</v>
      </c>
      <c r="E32" s="214">
        <f t="shared" si="68"/>
        <v>1840568.5</v>
      </c>
      <c r="F32" s="214">
        <f t="shared" si="69"/>
        <v>7234583</v>
      </c>
      <c r="G32" s="214">
        <f t="shared" si="70"/>
        <v>9919025</v>
      </c>
      <c r="H32" s="214">
        <f t="shared" si="71"/>
        <v>6832018</v>
      </c>
      <c r="I32" s="214">
        <f t="shared" si="72"/>
        <v>5300913.5</v>
      </c>
      <c r="J32" s="227">
        <f t="shared" si="73"/>
        <v>1.2682158325166579</v>
      </c>
      <c r="K32" s="227">
        <f t="shared" si="74"/>
        <v>0.97475844363717301</v>
      </c>
      <c r="L32" s="227">
        <f t="shared" si="74"/>
        <v>3.3592925529299995</v>
      </c>
      <c r="M32" s="227">
        <f t="shared" si="74"/>
        <v>13.308468211135208</v>
      </c>
      <c r="N32" s="227">
        <f t="shared" si="74"/>
        <v>20.516741765943223</v>
      </c>
      <c r="O32" s="227">
        <f t="shared" si="74"/>
        <v>17.120751941845128</v>
      </c>
      <c r="P32" s="227">
        <f t="shared" si="74"/>
        <v>16.791581632358113</v>
      </c>
      <c r="Q32" s="229">
        <f t="shared" si="52"/>
        <v>127713.5</v>
      </c>
      <c r="R32" s="229">
        <f t="shared" si="53"/>
        <v>26.287287416059897</v>
      </c>
      <c r="S32" s="218"/>
      <c r="T32" s="229">
        <f t="shared" si="54"/>
        <v>-1354731</v>
      </c>
      <c r="U32" s="229">
        <f t="shared" si="55"/>
        <v>-73.60394356417595</v>
      </c>
      <c r="V32" s="218"/>
      <c r="W32" s="229">
        <f t="shared" si="56"/>
        <v>-5394014.5</v>
      </c>
      <c r="X32" s="229">
        <f t="shared" si="57"/>
        <v>-74.558747891896459</v>
      </c>
      <c r="Y32" s="218"/>
      <c r="Z32" s="217">
        <f t="shared" si="58"/>
        <v>-2684442</v>
      </c>
      <c r="AA32" s="217">
        <f t="shared" si="59"/>
        <v>-27.063567235691011</v>
      </c>
      <c r="AB32" s="218"/>
      <c r="AC32" s="217">
        <f t="shared" si="60"/>
        <v>3087007</v>
      </c>
      <c r="AD32" s="217">
        <f t="shared" si="61"/>
        <v>45.184409642948829</v>
      </c>
      <c r="AE32" s="218"/>
      <c r="AF32" s="217">
        <f t="shared" si="62"/>
        <v>1531104.5</v>
      </c>
      <c r="AG32" s="217">
        <f t="shared" si="63"/>
        <v>28.883785785223619</v>
      </c>
      <c r="AH32" s="217"/>
      <c r="IV32"/>
    </row>
    <row r="33" spans="1:256" ht="15.75" customHeight="1" x14ac:dyDescent="0.3">
      <c r="A33" s="212" t="str">
        <f t="shared" si="65"/>
        <v>Краткосрочные пассивы</v>
      </c>
      <c r="B33" s="214" t="s">
        <v>449</v>
      </c>
      <c r="C33" s="214">
        <f t="shared" si="66"/>
        <v>233446.5</v>
      </c>
      <c r="D33" s="214">
        <f t="shared" si="67"/>
        <v>633871</v>
      </c>
      <c r="E33" s="214">
        <f t="shared" si="68"/>
        <v>5998967.5</v>
      </c>
      <c r="F33" s="214">
        <f t="shared" si="69"/>
        <v>5557996</v>
      </c>
      <c r="G33" s="214">
        <f t="shared" si="70"/>
        <v>4926385.5</v>
      </c>
      <c r="H33" s="214">
        <f t="shared" si="71"/>
        <v>5210558.5</v>
      </c>
      <c r="I33" s="214">
        <f t="shared" si="72"/>
        <v>723104</v>
      </c>
      <c r="J33" s="227">
        <f t="shared" si="73"/>
        <v>0.48253616626099533</v>
      </c>
      <c r="K33" s="227">
        <f t="shared" si="74"/>
        <v>1.2717649613846986</v>
      </c>
      <c r="L33" s="227">
        <f t="shared" si="74"/>
        <v>10.9489469411321</v>
      </c>
      <c r="M33" s="227">
        <f t="shared" si="74"/>
        <v>10.22428149398751</v>
      </c>
      <c r="N33" s="227">
        <f t="shared" si="74"/>
        <v>10.189850226507858</v>
      </c>
      <c r="O33" s="227">
        <f t="shared" si="74"/>
        <v>13.057442114024385</v>
      </c>
      <c r="P33" s="227">
        <f t="shared" si="74"/>
        <v>2.2905598902311235</v>
      </c>
      <c r="Q33" s="229">
        <f t="shared" si="52"/>
        <v>-400424.5</v>
      </c>
      <c r="R33" s="229">
        <f t="shared" si="53"/>
        <v>-63.171291950570385</v>
      </c>
      <c r="S33" s="218"/>
      <c r="T33" s="229">
        <f t="shared" si="54"/>
        <v>-5365096.5</v>
      </c>
      <c r="U33" s="229">
        <f t="shared" si="55"/>
        <v>-89.433665043192846</v>
      </c>
      <c r="V33" s="218"/>
      <c r="W33" s="229">
        <f t="shared" si="56"/>
        <v>440971.5</v>
      </c>
      <c r="X33" s="229">
        <f t="shared" si="57"/>
        <v>7.9340017517105084</v>
      </c>
      <c r="Y33" s="218"/>
      <c r="Z33" s="217">
        <f t="shared" si="58"/>
        <v>631610.5</v>
      </c>
      <c r="AA33" s="217">
        <f t="shared" si="59"/>
        <v>12.820971886995039</v>
      </c>
      <c r="AB33" s="218"/>
      <c r="AC33" s="217">
        <f t="shared" si="60"/>
        <v>-284173</v>
      </c>
      <c r="AD33" s="217">
        <f t="shared" si="61"/>
        <v>-5.4537915657217928</v>
      </c>
      <c r="AE33" s="218"/>
      <c r="AF33" s="217">
        <f t="shared" si="62"/>
        <v>4487454.5</v>
      </c>
      <c r="AG33" s="217">
        <f t="shared" si="63"/>
        <v>620.58217075275479</v>
      </c>
      <c r="AH33" s="217"/>
      <c r="IV33"/>
    </row>
    <row r="34" spans="1:256" ht="15.75" customHeight="1" x14ac:dyDescent="0.3">
      <c r="A34" s="212" t="str">
        <f t="shared" si="65"/>
        <v>Наиболее срочные обязательства</v>
      </c>
      <c r="B34" s="214" t="s">
        <v>451</v>
      </c>
      <c r="C34" s="214">
        <f t="shared" si="66"/>
        <v>4450707.5</v>
      </c>
      <c r="D34" s="214">
        <f t="shared" si="67"/>
        <v>2335793</v>
      </c>
      <c r="E34" s="214">
        <f t="shared" si="68"/>
        <v>2808630.5</v>
      </c>
      <c r="F34" s="214">
        <f t="shared" si="69"/>
        <v>3484867</v>
      </c>
      <c r="G34" s="214">
        <f t="shared" si="70"/>
        <v>2977428.5</v>
      </c>
      <c r="H34" s="214">
        <f t="shared" si="71"/>
        <v>1841537</v>
      </c>
      <c r="I34" s="214">
        <f t="shared" si="72"/>
        <v>1560651.5</v>
      </c>
      <c r="J34" s="227">
        <f t="shared" si="73"/>
        <v>9.1996553137402319</v>
      </c>
      <c r="K34" s="227">
        <f t="shared" si="74"/>
        <v>4.6864104753927052</v>
      </c>
      <c r="L34" s="227">
        <f t="shared" si="74"/>
        <v>5.1261398435222922</v>
      </c>
      <c r="M34" s="227">
        <f t="shared" si="74"/>
        <v>6.4106309499157206</v>
      </c>
      <c r="N34" s="227">
        <f t="shared" si="74"/>
        <v>6.1585822861682162</v>
      </c>
      <c r="O34" s="227">
        <f t="shared" si="74"/>
        <v>4.6148148568592253</v>
      </c>
      <c r="P34" s="227">
        <f t="shared" si="74"/>
        <v>4.9436398201766796</v>
      </c>
      <c r="Q34" s="229">
        <f t="shared" si="52"/>
        <v>2114914.5</v>
      </c>
      <c r="R34" s="229">
        <f t="shared" si="53"/>
        <v>90.543746813180789</v>
      </c>
      <c r="S34" s="218"/>
      <c r="T34" s="229">
        <f t="shared" si="54"/>
        <v>-472837.5</v>
      </c>
      <c r="U34" s="229">
        <f t="shared" si="55"/>
        <v>-16.835162190256071</v>
      </c>
      <c r="V34" s="218"/>
      <c r="W34" s="229">
        <f t="shared" si="56"/>
        <v>-676236.5</v>
      </c>
      <c r="X34" s="229">
        <f t="shared" si="57"/>
        <v>-19.404944291991633</v>
      </c>
      <c r="Y34" s="218"/>
      <c r="Z34" s="217">
        <f t="shared" si="58"/>
        <v>507438.5</v>
      </c>
      <c r="AA34" s="217">
        <f t="shared" si="59"/>
        <v>17.042844185846949</v>
      </c>
      <c r="AB34" s="218"/>
      <c r="AC34" s="217">
        <f t="shared" si="60"/>
        <v>1135891.5</v>
      </c>
      <c r="AD34" s="217">
        <f t="shared" si="61"/>
        <v>61.681709354740086</v>
      </c>
      <c r="AE34" s="218"/>
      <c r="AF34" s="217">
        <f t="shared" si="62"/>
        <v>280885.5</v>
      </c>
      <c r="AG34" s="217">
        <f t="shared" si="63"/>
        <v>17.997964311699313</v>
      </c>
      <c r="AH34" s="217"/>
      <c r="IV34"/>
    </row>
    <row r="35" spans="1:256" s="222" customFormat="1" ht="15.75" customHeight="1" x14ac:dyDescent="0.35">
      <c r="A35" s="219" t="s">
        <v>443</v>
      </c>
      <c r="B35" s="220"/>
      <c r="C35" s="231">
        <f t="shared" ref="C35:P35" si="75">SUM(C31:C34)</f>
        <v>48379068</v>
      </c>
      <c r="D35" s="231">
        <f t="shared" si="75"/>
        <v>49841835.5</v>
      </c>
      <c r="E35" s="231">
        <f t="shared" si="75"/>
        <v>54790360.5</v>
      </c>
      <c r="F35" s="231">
        <f t="shared" si="75"/>
        <v>54360749</v>
      </c>
      <c r="G35" s="231">
        <f t="shared" si="75"/>
        <v>48346005</v>
      </c>
      <c r="H35" s="231">
        <f t="shared" si="75"/>
        <v>39904894.5</v>
      </c>
      <c r="I35" s="231">
        <f t="shared" si="75"/>
        <v>31568875.5</v>
      </c>
      <c r="J35" s="236">
        <f t="shared" si="75"/>
        <v>100.00000000000001</v>
      </c>
      <c r="K35" s="236">
        <f t="shared" si="75"/>
        <v>100.00000000000001</v>
      </c>
      <c r="L35" s="236">
        <f t="shared" si="75"/>
        <v>100.00000000000001</v>
      </c>
      <c r="M35" s="236">
        <f t="shared" si="75"/>
        <v>100</v>
      </c>
      <c r="N35" s="236">
        <f t="shared" si="75"/>
        <v>100</v>
      </c>
      <c r="O35" s="236">
        <f t="shared" si="75"/>
        <v>100</v>
      </c>
      <c r="P35" s="237">
        <f t="shared" si="75"/>
        <v>100</v>
      </c>
      <c r="Q35" s="229">
        <f t="shared" si="52"/>
        <v>-1462767.5</v>
      </c>
      <c r="R35" s="229">
        <f t="shared" si="53"/>
        <v>-2.9348186825904516</v>
      </c>
      <c r="S35" s="234"/>
      <c r="T35" s="229">
        <f t="shared" si="54"/>
        <v>-4948525</v>
      </c>
      <c r="U35" s="229">
        <f t="shared" si="55"/>
        <v>-9.0317438228938105</v>
      </c>
      <c r="V35" s="234"/>
      <c r="W35" s="229">
        <f t="shared" si="56"/>
        <v>429611.5</v>
      </c>
      <c r="X35" s="229">
        <f t="shared" si="57"/>
        <v>0.7902972418573555</v>
      </c>
      <c r="Y35" s="234"/>
      <c r="Z35" s="217">
        <f t="shared" si="58"/>
        <v>6014744</v>
      </c>
      <c r="AA35" s="217">
        <f t="shared" si="59"/>
        <v>12.441036234534787</v>
      </c>
      <c r="AB35" s="234"/>
      <c r="AC35" s="217">
        <f t="shared" si="60"/>
        <v>8441110.5</v>
      </c>
      <c r="AD35" s="217">
        <f t="shared" si="61"/>
        <v>21.153070583860334</v>
      </c>
      <c r="AE35" s="234"/>
      <c r="AF35" s="217">
        <f t="shared" si="62"/>
        <v>8336019</v>
      </c>
      <c r="AG35" s="217">
        <f t="shared" si="63"/>
        <v>26.405815436789947</v>
      </c>
      <c r="AH35" s="217"/>
      <c r="IV35" s="235"/>
    </row>
    <row r="36" spans="1:256" x14ac:dyDescent="0.3">
      <c r="A36" s="201" t="s">
        <v>452</v>
      </c>
      <c r="C36" s="223"/>
      <c r="D36" s="223"/>
      <c r="E36" s="223"/>
      <c r="F36" s="223"/>
      <c r="G36" s="223"/>
      <c r="H36" s="224"/>
      <c r="I36" s="224"/>
      <c r="J36" s="224"/>
    </row>
    <row r="37" spans="1:256" x14ac:dyDescent="0.3">
      <c r="A37" s="197" t="s">
        <v>453</v>
      </c>
    </row>
    <row r="39" spans="1:256" x14ac:dyDescent="0.3">
      <c r="A39" s="198" t="s">
        <v>461</v>
      </c>
    </row>
    <row r="40" spans="1:256" x14ac:dyDescent="0.3">
      <c r="A40" s="198" t="s">
        <v>462</v>
      </c>
    </row>
    <row r="41" spans="1:256" ht="15.75" customHeight="1" x14ac:dyDescent="0.3">
      <c r="A41" s="441" t="s">
        <v>463</v>
      </c>
      <c r="B41" s="431" t="str">
        <f>Q22</f>
        <v xml:space="preserve">2019/2018 </v>
      </c>
      <c r="C41" s="431"/>
      <c r="D41" s="431"/>
      <c r="E41" s="431"/>
      <c r="F41" s="431"/>
      <c r="G41" s="442" t="s">
        <v>456</v>
      </c>
      <c r="H41" s="442"/>
      <c r="I41" s="442"/>
      <c r="J41" s="442"/>
      <c r="K41" s="442"/>
      <c r="L41" s="442" t="s">
        <v>457</v>
      </c>
      <c r="M41" s="442"/>
      <c r="N41" s="442"/>
      <c r="O41" s="442"/>
      <c r="P41" s="442"/>
      <c r="Q41" s="442" t="s">
        <v>458</v>
      </c>
      <c r="R41" s="442"/>
      <c r="S41" s="442"/>
      <c r="T41" s="442"/>
      <c r="U41" s="442"/>
      <c r="V41" s="442" t="s">
        <v>459</v>
      </c>
      <c r="W41" s="442"/>
      <c r="X41" s="442"/>
      <c r="Y41" s="442"/>
      <c r="Z41" s="442"/>
      <c r="AA41" s="442" t="s">
        <v>460</v>
      </c>
      <c r="AB41" s="442"/>
      <c r="AC41" s="442"/>
      <c r="AD41" s="442"/>
      <c r="AE41" s="442"/>
      <c r="IU41"/>
      <c r="IV41"/>
    </row>
    <row r="42" spans="1:256" ht="62.4" x14ac:dyDescent="0.3">
      <c r="A42" s="441"/>
      <c r="B42" s="202" t="s">
        <v>464</v>
      </c>
      <c r="C42" s="202" t="s">
        <v>465</v>
      </c>
      <c r="D42" s="443" t="s">
        <v>466</v>
      </c>
      <c r="E42" s="444"/>
      <c r="F42" s="445"/>
      <c r="G42" s="202" t="s">
        <v>464</v>
      </c>
      <c r="H42" s="202" t="s">
        <v>465</v>
      </c>
      <c r="I42" s="443" t="s">
        <v>466</v>
      </c>
      <c r="J42" s="444"/>
      <c r="K42" s="445"/>
      <c r="L42" s="202" t="s">
        <v>464</v>
      </c>
      <c r="M42" s="202" t="s">
        <v>465</v>
      </c>
      <c r="N42" s="443" t="s">
        <v>466</v>
      </c>
      <c r="O42" s="444"/>
      <c r="P42" s="445"/>
      <c r="Q42" s="202" t="s">
        <v>464</v>
      </c>
      <c r="R42" s="202" t="s">
        <v>465</v>
      </c>
      <c r="S42" s="443" t="s">
        <v>466</v>
      </c>
      <c r="T42" s="444"/>
      <c r="U42" s="445"/>
      <c r="V42" s="202" t="s">
        <v>464</v>
      </c>
      <c r="W42" s="202" t="s">
        <v>465</v>
      </c>
      <c r="X42" s="443" t="s">
        <v>466</v>
      </c>
      <c r="Y42" s="444"/>
      <c r="Z42" s="445"/>
      <c r="AA42" s="202" t="s">
        <v>464</v>
      </c>
      <c r="AB42" s="202" t="s">
        <v>465</v>
      </c>
      <c r="AC42" s="443" t="s">
        <v>466</v>
      </c>
      <c r="AD42" s="444"/>
      <c r="AE42" s="445"/>
      <c r="IU42"/>
      <c r="IV42"/>
    </row>
    <row r="43" spans="1:256" ht="15.75" customHeight="1" x14ac:dyDescent="0.3">
      <c r="A43" s="212" t="s">
        <v>467</v>
      </c>
      <c r="B43" s="238">
        <f>R29</f>
        <v>-2.9348186825904516</v>
      </c>
      <c r="C43" s="446">
        <f>(('2'!C7-'2'!D7)/'2'!D7)*100</f>
        <v>-20.270821911941304</v>
      </c>
      <c r="D43" s="449" t="str">
        <f t="shared" ref="D43:D47" si="76">IF(B43&gt;C$43,"деятельность не эффективна","деятельность эффективна")</f>
        <v>деятельность не эффективна</v>
      </c>
      <c r="E43" s="450"/>
      <c r="F43" s="451"/>
      <c r="G43" s="238">
        <f>U29</f>
        <v>-9.0317438228938105</v>
      </c>
      <c r="H43" s="446">
        <f>(('2'!D7-'2'!E7)/'2'!E7)*100</f>
        <v>13.141887622586646</v>
      </c>
      <c r="I43" s="449" t="str">
        <f t="shared" ref="I43:I47" si="77">IF(G43&gt;H$43,"деятельность не эффективна","деятельность эффективна")</f>
        <v>деятельность эффективна</v>
      </c>
      <c r="J43" s="450"/>
      <c r="K43" s="451"/>
      <c r="L43" s="238">
        <f>X29</f>
        <v>0.7902972418573555</v>
      </c>
      <c r="M43" s="446">
        <f>(('2'!E7-'2'!F7)/'2'!F7)*100</f>
        <v>3.2126526197922138</v>
      </c>
      <c r="N43" s="449" t="str">
        <f t="shared" ref="N43:N47" si="78">IF(L43&gt;M$43,"деятельность не эффективна","деятельность эффективна")</f>
        <v>деятельность эффективна</v>
      </c>
      <c r="O43" s="450"/>
      <c r="P43" s="451"/>
      <c r="Q43" s="238">
        <f>AA29</f>
        <v>12.441036234534787</v>
      </c>
      <c r="R43" s="446">
        <f>(('2'!F7-'2'!G7)/'2'!G7)*100</f>
        <v>-12.760483385521956</v>
      </c>
      <c r="S43" s="449" t="str">
        <f t="shared" ref="S43:S47" si="79">IF(Q43&gt;R$43,"деятельность не эффективна","деятельность эффективна")</f>
        <v>деятельность не эффективна</v>
      </c>
      <c r="T43" s="450"/>
      <c r="U43" s="451"/>
      <c r="V43" s="238">
        <f>AD29</f>
        <v>21.153070583860334</v>
      </c>
      <c r="W43" s="446">
        <f>(('2'!G7-'2'!H7)/'2'!H7)*100</f>
        <v>65.239371271331166</v>
      </c>
      <c r="X43" s="449" t="str">
        <f t="shared" ref="X43:X47" si="80">IF(V43&gt;W$43,"деятельность не эффективна","деятельность эффективна")</f>
        <v>деятельность эффективна</v>
      </c>
      <c r="Y43" s="450"/>
      <c r="Z43" s="451"/>
      <c r="AA43" s="238">
        <f>AG29</f>
        <v>26.405815436789947</v>
      </c>
      <c r="AB43" s="446">
        <f>(('2'!H7-'2'!I7)/'2'!I7)*100</f>
        <v>-7.0769344561151417</v>
      </c>
      <c r="AC43" s="449" t="str">
        <f t="shared" ref="AC43:AC47" si="81">IF(AA43&gt;AB$43,"деятельность не эффективна","деятельность эффективна")</f>
        <v>деятельность не эффективна</v>
      </c>
      <c r="AD43" s="450"/>
      <c r="AE43" s="451"/>
      <c r="IU43"/>
      <c r="IV43"/>
    </row>
    <row r="44" spans="1:256" ht="15.75" customHeight="1" x14ac:dyDescent="0.3">
      <c r="A44" s="212" t="s">
        <v>468</v>
      </c>
      <c r="B44" s="238">
        <f t="shared" ref="B44:B47" si="82">R25</f>
        <v>0.99865823077187632</v>
      </c>
      <c r="C44" s="447"/>
      <c r="D44" s="449" t="str">
        <f t="shared" si="76"/>
        <v>деятельность не эффективна</v>
      </c>
      <c r="E44" s="450"/>
      <c r="F44" s="451"/>
      <c r="G44" s="238">
        <f t="shared" ref="G44:G47" si="83">U25</f>
        <v>19.016408838021608</v>
      </c>
      <c r="H44" s="447"/>
      <c r="I44" s="449" t="str">
        <f t="shared" si="77"/>
        <v>деятельность не эффективна</v>
      </c>
      <c r="J44" s="450"/>
      <c r="K44" s="451"/>
      <c r="L44" s="238">
        <f t="shared" ref="L44:L47" si="84">X25</f>
        <v>43.286417132812865</v>
      </c>
      <c r="M44" s="447"/>
      <c r="N44" s="449" t="str">
        <f t="shared" si="78"/>
        <v>деятельность не эффективна</v>
      </c>
      <c r="O44" s="450"/>
      <c r="P44" s="451"/>
      <c r="Q44" s="238">
        <f t="shared" ref="Q44:Q47" si="85">AA25</f>
        <v>-10.923447381989593</v>
      </c>
      <c r="R44" s="447"/>
      <c r="S44" s="449" t="str">
        <f t="shared" si="79"/>
        <v>деятельность не эффективна</v>
      </c>
      <c r="T44" s="450"/>
      <c r="U44" s="451"/>
      <c r="V44" s="238">
        <f t="shared" ref="V44:V47" si="86">AD25</f>
        <v>-24.35725257809251</v>
      </c>
      <c r="W44" s="447"/>
      <c r="X44" s="449" t="str">
        <f t="shared" si="80"/>
        <v>деятельность эффективна</v>
      </c>
      <c r="Y44" s="450"/>
      <c r="Z44" s="451"/>
      <c r="AA44" s="238">
        <f t="shared" ref="AA44:AA47" si="87">AG25</f>
        <v>-25.413019407171785</v>
      </c>
      <c r="AB44" s="447"/>
      <c r="AC44" s="449" t="str">
        <f t="shared" si="81"/>
        <v>деятельность эффективна</v>
      </c>
      <c r="AD44" s="450"/>
      <c r="AE44" s="451"/>
      <c r="IU44"/>
      <c r="IV44"/>
    </row>
    <row r="45" spans="1:256" ht="15.75" customHeight="1" x14ac:dyDescent="0.3">
      <c r="A45" s="212" t="s">
        <v>469</v>
      </c>
      <c r="B45" s="238">
        <f t="shared" si="82"/>
        <v>4.4281809232327873</v>
      </c>
      <c r="C45" s="447"/>
      <c r="D45" s="449" t="str">
        <f t="shared" si="76"/>
        <v>деятельность не эффективна</v>
      </c>
      <c r="E45" s="450"/>
      <c r="F45" s="451"/>
      <c r="G45" s="238">
        <f t="shared" si="83"/>
        <v>1.8262513865603218</v>
      </c>
      <c r="H45" s="447"/>
      <c r="I45" s="449" t="str">
        <f t="shared" si="77"/>
        <v>деятельность эффективна</v>
      </c>
      <c r="J45" s="450"/>
      <c r="K45" s="451"/>
      <c r="L45" s="238">
        <f t="shared" si="84"/>
        <v>15.487946083713011</v>
      </c>
      <c r="M45" s="447"/>
      <c r="N45" s="449" t="str">
        <f t="shared" si="78"/>
        <v>деятельность не эффективна</v>
      </c>
      <c r="O45" s="450"/>
      <c r="P45" s="451"/>
      <c r="Q45" s="238">
        <f t="shared" si="85"/>
        <v>11.425498013733144</v>
      </c>
      <c r="R45" s="447"/>
      <c r="S45" s="449" t="str">
        <f t="shared" si="79"/>
        <v>деятельность не эффективна</v>
      </c>
      <c r="T45" s="450"/>
      <c r="U45" s="451"/>
      <c r="V45" s="238">
        <f t="shared" si="86"/>
        <v>19.596856468565381</v>
      </c>
      <c r="W45" s="447"/>
      <c r="X45" s="449" t="str">
        <f t="shared" si="80"/>
        <v>деятельность эффективна</v>
      </c>
      <c r="Y45" s="450"/>
      <c r="Z45" s="451"/>
      <c r="AA45" s="238">
        <f t="shared" si="87"/>
        <v>0.71976526240001037</v>
      </c>
      <c r="AB45" s="447"/>
      <c r="AC45" s="449" t="str">
        <f t="shared" si="81"/>
        <v>деятельность не эффективна</v>
      </c>
      <c r="AD45" s="450"/>
      <c r="AE45" s="451"/>
      <c r="IU45"/>
      <c r="IV45"/>
    </row>
    <row r="46" spans="1:256" ht="15.75" customHeight="1" x14ac:dyDescent="0.3">
      <c r="A46" s="212" t="s">
        <v>470</v>
      </c>
      <c r="B46" s="238">
        <f t="shared" si="82"/>
        <v>2.0905624825546791</v>
      </c>
      <c r="C46" s="447"/>
      <c r="D46" s="449" t="str">
        <f t="shared" si="76"/>
        <v>деятельность не эффективна</v>
      </c>
      <c r="E46" s="450"/>
      <c r="F46" s="451"/>
      <c r="G46" s="238">
        <f t="shared" si="83"/>
        <v>-8.0410855745312873</v>
      </c>
      <c r="H46" s="447"/>
      <c r="I46" s="449" t="str">
        <f t="shared" si="77"/>
        <v>деятельность эффективна</v>
      </c>
      <c r="J46" s="450"/>
      <c r="K46" s="451"/>
      <c r="L46" s="238">
        <f t="shared" si="84"/>
        <v>-23.666480013005543</v>
      </c>
      <c r="M46" s="447"/>
      <c r="N46" s="449" t="str">
        <f t="shared" si="78"/>
        <v>деятельность эффективна</v>
      </c>
      <c r="O46" s="450"/>
      <c r="P46" s="451"/>
      <c r="Q46" s="238">
        <f t="shared" si="85"/>
        <v>-13.629572893875558</v>
      </c>
      <c r="R46" s="447"/>
      <c r="S46" s="449" t="str">
        <f t="shared" si="79"/>
        <v>деятельность эффективна</v>
      </c>
      <c r="T46" s="450"/>
      <c r="U46" s="451"/>
      <c r="V46" s="238">
        <f t="shared" si="86"/>
        <v>34.658370708849375</v>
      </c>
      <c r="W46" s="447"/>
      <c r="X46" s="449" t="str">
        <f t="shared" si="80"/>
        <v>деятельность эффективна</v>
      </c>
      <c r="Y46" s="450"/>
      <c r="Z46" s="451"/>
      <c r="AA46" s="238">
        <f t="shared" si="87"/>
        <v>72.974447920665781</v>
      </c>
      <c r="AB46" s="447"/>
      <c r="AC46" s="449" t="str">
        <f t="shared" si="81"/>
        <v>деятельность не эффективна</v>
      </c>
      <c r="AD46" s="450"/>
      <c r="AE46" s="451"/>
      <c r="IU46"/>
      <c r="IV46"/>
    </row>
    <row r="47" spans="1:256" ht="15.75" customHeight="1" x14ac:dyDescent="0.3">
      <c r="A47" s="212" t="s">
        <v>471</v>
      </c>
      <c r="B47" s="238">
        <f t="shared" si="82"/>
        <v>-6.7994176343635377</v>
      </c>
      <c r="C47" s="448"/>
      <c r="D47" s="449" t="str">
        <f t="shared" si="76"/>
        <v>деятельность не эффективна</v>
      </c>
      <c r="E47" s="450"/>
      <c r="F47" s="451"/>
      <c r="G47" s="238">
        <f t="shared" si="83"/>
        <v>-21.634511305888736</v>
      </c>
      <c r="H47" s="448"/>
      <c r="I47" s="449" t="str">
        <f t="shared" si="77"/>
        <v>деятельность эффективна</v>
      </c>
      <c r="J47" s="450"/>
      <c r="K47" s="451"/>
      <c r="L47" s="238">
        <f t="shared" si="84"/>
        <v>-8.3359017977136194</v>
      </c>
      <c r="M47" s="448"/>
      <c r="N47" s="449" t="str">
        <f t="shared" si="78"/>
        <v>деятельность эффективна</v>
      </c>
      <c r="O47" s="450"/>
      <c r="P47" s="451"/>
      <c r="Q47" s="238">
        <f t="shared" si="85"/>
        <v>26.075481860929315</v>
      </c>
      <c r="R47" s="448"/>
      <c r="S47" s="449" t="str">
        <f t="shared" si="79"/>
        <v>деятельность не эффективна</v>
      </c>
      <c r="T47" s="450"/>
      <c r="U47" s="451"/>
      <c r="V47" s="238">
        <f t="shared" si="86"/>
        <v>53.025596177655096</v>
      </c>
      <c r="W47" s="448"/>
      <c r="X47" s="449" t="str">
        <f t="shared" si="80"/>
        <v>деятельность эффективна</v>
      </c>
      <c r="Y47" s="450"/>
      <c r="Z47" s="451"/>
      <c r="AA47" s="238">
        <f t="shared" si="87"/>
        <v>150.19566941445555</v>
      </c>
      <c r="AB47" s="448"/>
      <c r="AC47" s="449" t="str">
        <f t="shared" si="81"/>
        <v>деятельность не эффективна</v>
      </c>
      <c r="AD47" s="450"/>
      <c r="AE47" s="451"/>
      <c r="IU47"/>
      <c r="IV47"/>
    </row>
    <row r="48" spans="1:256" x14ac:dyDescent="0.3">
      <c r="A48" s="239"/>
      <c r="B48" s="240"/>
      <c r="C48" s="240"/>
      <c r="D48" s="240"/>
    </row>
    <row r="49" spans="1:256" x14ac:dyDescent="0.3">
      <c r="A49" s="452" t="s">
        <v>472</v>
      </c>
      <c r="B49" s="453" t="s">
        <v>473</v>
      </c>
      <c r="C49" s="453"/>
      <c r="D49" s="453"/>
      <c r="E49" s="453"/>
      <c r="F49" s="453"/>
      <c r="G49" s="453"/>
      <c r="H49" s="453"/>
      <c r="I49" s="453"/>
      <c r="J49" s="453"/>
      <c r="K49" s="453"/>
      <c r="L49" s="453"/>
      <c r="M49" s="453"/>
      <c r="N49" s="453"/>
      <c r="O49" s="453"/>
      <c r="P49" s="453"/>
      <c r="Q49" s="453"/>
      <c r="R49" s="453"/>
      <c r="S49" s="453"/>
      <c r="T49" s="453"/>
      <c r="U49" s="453"/>
      <c r="V49" s="453"/>
      <c r="W49" s="453"/>
      <c r="X49" s="453"/>
      <c r="Y49" s="453"/>
      <c r="Z49" s="453"/>
      <c r="AA49" s="453"/>
      <c r="AB49" s="453"/>
      <c r="AC49" s="453"/>
      <c r="AD49" s="453"/>
      <c r="AE49" s="453"/>
    </row>
    <row r="50" spans="1:256" x14ac:dyDescent="0.3">
      <c r="A50" s="452"/>
      <c r="B50" s="453"/>
      <c r="C50" s="453"/>
      <c r="D50" s="453"/>
      <c r="E50" s="453"/>
      <c r="F50" s="453"/>
      <c r="G50" s="453"/>
      <c r="H50" s="453"/>
      <c r="I50" s="453"/>
      <c r="J50" s="453"/>
      <c r="K50" s="453"/>
      <c r="L50" s="453"/>
      <c r="M50" s="453"/>
      <c r="N50" s="453"/>
      <c r="O50" s="453"/>
      <c r="P50" s="453"/>
      <c r="Q50" s="453"/>
      <c r="R50" s="453"/>
      <c r="S50" s="453"/>
      <c r="T50" s="453"/>
      <c r="U50" s="453"/>
      <c r="V50" s="453"/>
      <c r="W50" s="453"/>
      <c r="X50" s="453"/>
      <c r="Y50" s="453"/>
      <c r="Z50" s="453"/>
      <c r="AA50" s="453"/>
      <c r="AB50" s="453"/>
      <c r="AC50" s="453"/>
      <c r="AD50" s="453"/>
      <c r="AE50" s="453"/>
    </row>
    <row r="51" spans="1:256" x14ac:dyDescent="0.3">
      <c r="A51" s="452"/>
      <c r="B51" s="453"/>
      <c r="C51" s="453"/>
      <c r="D51" s="453"/>
      <c r="E51" s="453"/>
      <c r="F51" s="453"/>
      <c r="G51" s="453"/>
      <c r="H51" s="453"/>
      <c r="I51" s="453"/>
      <c r="J51" s="453"/>
      <c r="K51" s="453"/>
      <c r="L51" s="453"/>
      <c r="M51" s="453"/>
      <c r="N51" s="453"/>
      <c r="O51" s="453"/>
      <c r="P51" s="453"/>
      <c r="Q51" s="453"/>
      <c r="R51" s="453"/>
      <c r="S51" s="453"/>
      <c r="T51" s="453"/>
      <c r="U51" s="453"/>
      <c r="V51" s="453"/>
      <c r="W51" s="453"/>
      <c r="X51" s="453"/>
      <c r="Y51" s="453"/>
      <c r="Z51" s="453"/>
      <c r="AA51" s="453"/>
      <c r="AB51" s="453"/>
      <c r="AC51" s="453"/>
      <c r="AD51" s="453"/>
      <c r="AE51" s="453"/>
    </row>
    <row r="52" spans="1:256" x14ac:dyDescent="0.3">
      <c r="A52" s="452"/>
      <c r="B52" s="453"/>
      <c r="C52" s="453"/>
      <c r="D52" s="453"/>
      <c r="E52" s="453"/>
      <c r="F52" s="453"/>
      <c r="G52" s="453"/>
      <c r="H52" s="453"/>
      <c r="I52" s="453"/>
      <c r="J52" s="453"/>
      <c r="K52" s="453"/>
      <c r="L52" s="453"/>
      <c r="M52" s="453"/>
      <c r="N52" s="453"/>
      <c r="O52" s="453"/>
      <c r="P52" s="453"/>
      <c r="Q52" s="453"/>
      <c r="R52" s="453"/>
      <c r="S52" s="453"/>
      <c r="T52" s="453"/>
      <c r="U52" s="453"/>
      <c r="V52" s="453"/>
      <c r="W52" s="453"/>
      <c r="X52" s="453"/>
      <c r="Y52" s="453"/>
      <c r="Z52" s="453"/>
      <c r="AA52" s="453"/>
      <c r="AB52" s="453"/>
      <c r="AC52" s="453"/>
      <c r="AD52" s="453"/>
      <c r="AE52" s="453"/>
    </row>
    <row r="53" spans="1:256" x14ac:dyDescent="0.3">
      <c r="A53" s="239"/>
      <c r="B53" s="240"/>
      <c r="C53" s="240"/>
      <c r="D53" s="240"/>
    </row>
    <row r="54" spans="1:256" x14ac:dyDescent="0.3">
      <c r="A54" s="198" t="s">
        <v>474</v>
      </c>
    </row>
    <row r="55" spans="1:256" ht="15.75" customHeight="1" x14ac:dyDescent="0.3">
      <c r="A55" s="441" t="s">
        <v>475</v>
      </c>
      <c r="B55" s="430" t="str">
        <f>B41</f>
        <v xml:space="preserve">2019/2018 </v>
      </c>
      <c r="C55" s="430"/>
      <c r="D55" s="430"/>
      <c r="E55" s="430"/>
      <c r="F55" s="430"/>
      <c r="G55" s="430" t="str">
        <f>G41</f>
        <v>2018/2017</v>
      </c>
      <c r="H55" s="430"/>
      <c r="I55" s="430"/>
      <c r="J55" s="430"/>
      <c r="K55" s="430"/>
      <c r="L55" s="430" t="str">
        <f>L41</f>
        <v>2017/2016</v>
      </c>
      <c r="M55" s="430"/>
      <c r="N55" s="430"/>
      <c r="O55" s="430"/>
      <c r="P55" s="430"/>
      <c r="Q55" s="430" t="str">
        <f>Q41</f>
        <v>2016/2015</v>
      </c>
      <c r="R55" s="430"/>
      <c r="S55" s="430"/>
      <c r="T55" s="430"/>
      <c r="U55" s="430"/>
      <c r="V55" s="430" t="str">
        <f>V41</f>
        <v>2015/2014</v>
      </c>
      <c r="W55" s="430"/>
      <c r="X55" s="430"/>
      <c r="Y55" s="430"/>
      <c r="Z55" s="430"/>
      <c r="AA55" s="430" t="str">
        <f>AA41</f>
        <v>2014/2013</v>
      </c>
      <c r="AB55" s="430"/>
      <c r="AC55" s="430"/>
      <c r="AD55" s="430"/>
      <c r="AE55" s="430"/>
      <c r="IU55"/>
      <c r="IV55"/>
    </row>
    <row r="56" spans="1:256" ht="62.4" x14ac:dyDescent="0.3">
      <c r="A56" s="441"/>
      <c r="B56" s="202" t="s">
        <v>464</v>
      </c>
      <c r="C56" s="202" t="s">
        <v>476</v>
      </c>
      <c r="D56" s="454" t="s">
        <v>466</v>
      </c>
      <c r="E56" s="455"/>
      <c r="F56" s="456"/>
      <c r="G56" s="202" t="s">
        <v>464</v>
      </c>
      <c r="H56" s="202" t="s">
        <v>476</v>
      </c>
      <c r="I56" s="454" t="s">
        <v>466</v>
      </c>
      <c r="J56" s="455"/>
      <c r="K56" s="456"/>
      <c r="L56" s="202" t="s">
        <v>464</v>
      </c>
      <c r="M56" s="202" t="s">
        <v>476</v>
      </c>
      <c r="N56" s="454" t="s">
        <v>466</v>
      </c>
      <c r="O56" s="455"/>
      <c r="P56" s="456"/>
      <c r="Q56" s="202" t="s">
        <v>464</v>
      </c>
      <c r="R56" s="202" t="s">
        <v>476</v>
      </c>
      <c r="S56" s="454" t="s">
        <v>466</v>
      </c>
      <c r="T56" s="455"/>
      <c r="U56" s="456"/>
      <c r="V56" s="202" t="s">
        <v>464</v>
      </c>
      <c r="W56" s="202" t="s">
        <v>476</v>
      </c>
      <c r="X56" s="454" t="s">
        <v>466</v>
      </c>
      <c r="Y56" s="455"/>
      <c r="Z56" s="456"/>
      <c r="AA56" s="202" t="s">
        <v>464</v>
      </c>
      <c r="AB56" s="202" t="s">
        <v>476</v>
      </c>
      <c r="AC56" s="454" t="s">
        <v>466</v>
      </c>
      <c r="AD56" s="455"/>
      <c r="AE56" s="456"/>
      <c r="IU56"/>
      <c r="IV56"/>
    </row>
    <row r="57" spans="1:256" ht="15.75" customHeight="1" x14ac:dyDescent="0.3">
      <c r="A57" s="212" t="s">
        <v>477</v>
      </c>
      <c r="B57" s="238">
        <f>R31</f>
        <v>-7.1248807892427974</v>
      </c>
      <c r="C57" s="446">
        <f>((бс!C51-бс!D51)/бс!D51)*100</f>
        <v>-2.9348186825904516</v>
      </c>
      <c r="D57" s="449" t="str">
        <f t="shared" ref="D57:D58" si="88">IF(B57&lt;C$57,"уменьшение финансовой устойчивости","увеличение финансовой устойчивости")</f>
        <v>уменьшение финансовой устойчивости</v>
      </c>
      <c r="E57" s="450"/>
      <c r="F57" s="451"/>
      <c r="G57" s="238">
        <f>U31</f>
        <v>5.0838886712336953</v>
      </c>
      <c r="H57" s="446">
        <f>((бс!D51-бс!E51)/бс!E51)*100</f>
        <v>-9.0317438228938105</v>
      </c>
      <c r="I57" s="449" t="str">
        <f t="shared" ref="I57:I58" si="89">IF(G57&lt;H$57,"уменьшение финансовой устойчивости","увеличение финансовой устойчивости")</f>
        <v>увеличение финансовой устойчивости</v>
      </c>
      <c r="J57" s="450"/>
      <c r="K57" s="451"/>
      <c r="L57" s="238">
        <f>X31</f>
        <v>15.909573284649181</v>
      </c>
      <c r="M57" s="446">
        <f>((бс!E51-бс!F51)/бс!F51)*100</f>
        <v>0.7902972418573555</v>
      </c>
      <c r="N57" s="449" t="str">
        <f t="shared" ref="N57:N58" si="90">IF(L57&lt;M$57,"уменьшение финансовой устойчивости","увеличение финансовой устойчивости")</f>
        <v>увеличение финансовой устойчивости</v>
      </c>
      <c r="O57" s="450"/>
      <c r="P57" s="451"/>
      <c r="Q57" s="238">
        <f>AA31</f>
        <v>24.76852171888067</v>
      </c>
      <c r="R57" s="446">
        <f>((бс!F51-бс!G51)/бс!G51)*100</f>
        <v>12.441036234534787</v>
      </c>
      <c r="S57" s="449" t="str">
        <f t="shared" ref="S57:S58" si="91">IF(Q57&lt;R$57,"уменьшение финансовой устойчивости","увеличение финансовой устойчивости")</f>
        <v>увеличение финансовой устойчивости</v>
      </c>
      <c r="T57" s="450"/>
      <c r="U57" s="451"/>
      <c r="V57" s="238">
        <f>AD31</f>
        <v>17.30303560066087</v>
      </c>
      <c r="W57" s="446">
        <f>((бс!G51-бс!H51)/бс!H51)*100</f>
        <v>21.153070583860334</v>
      </c>
      <c r="X57" s="449" t="str">
        <f t="shared" ref="X57:X58" si="92">IF(V57&lt;W$57,"уменьшение финансовой устойчивости","увеличение финансовой устойчивости")</f>
        <v>уменьшение финансовой устойчивости</v>
      </c>
      <c r="Y57" s="450"/>
      <c r="Z57" s="451"/>
      <c r="AA57" s="238">
        <f>AG31</f>
        <v>8.4913148992442178</v>
      </c>
      <c r="AB57" s="446">
        <f>((бс!H51-бс!I51)/бс!I51)*100</f>
        <v>26.405815436789947</v>
      </c>
      <c r="AC57" s="449" t="str">
        <f t="shared" ref="AC57:AC58" si="93">IF(AA57&lt;AB$57,"уменьшение финансовой устойчивости","увеличение финансовой устойчивости")</f>
        <v>уменьшение финансовой устойчивости</v>
      </c>
      <c r="AD57" s="450"/>
      <c r="AE57" s="451"/>
      <c r="IU57"/>
      <c r="IV57"/>
    </row>
    <row r="58" spans="1:256" ht="15.75" customHeight="1" x14ac:dyDescent="0.3">
      <c r="A58" s="212" t="s">
        <v>478</v>
      </c>
      <c r="B58" s="238">
        <f>(C31+C32-D31-D32)/(D31+D32)*100</f>
        <v>-6.7785583605828883</v>
      </c>
      <c r="C58" s="447"/>
      <c r="D58" s="449" t="str">
        <f t="shared" si="88"/>
        <v>уменьшение финансовой устойчивости</v>
      </c>
      <c r="E58" s="450"/>
      <c r="F58" s="451"/>
      <c r="G58" s="238">
        <f>(D31+D32-E31-E32)/(E31+E32)*100</f>
        <v>1.9342226339707189</v>
      </c>
      <c r="H58" s="447"/>
      <c r="I58" s="449" t="str">
        <f t="shared" si="89"/>
        <v>увеличение финансовой устойчивости</v>
      </c>
      <c r="J58" s="450"/>
      <c r="K58" s="451"/>
      <c r="L58" s="238">
        <f>(D31+D32-E31-E32)/(E31+E32)*100</f>
        <v>1.9342226339707189</v>
      </c>
      <c r="M58" s="447"/>
      <c r="N58" s="449" t="str">
        <f t="shared" si="90"/>
        <v>увеличение финансовой устойчивости</v>
      </c>
      <c r="O58" s="450"/>
      <c r="P58" s="451"/>
      <c r="Q58" s="238">
        <f>(F31+F32-G31-G32)/(G31+G32)*100</f>
        <v>12.055961557572388</v>
      </c>
      <c r="R58" s="447"/>
      <c r="S58" s="449" t="str">
        <f t="shared" si="91"/>
        <v>уменьшение финансовой устойчивости</v>
      </c>
      <c r="T58" s="450"/>
      <c r="U58" s="451"/>
      <c r="V58" s="238">
        <f>(G31+G32-H31-H32)/(H31+H32)*100</f>
        <v>23.101203644779247</v>
      </c>
      <c r="W58" s="447"/>
      <c r="X58" s="449" t="str">
        <f t="shared" si="92"/>
        <v>увеличение финансовой устойчивости</v>
      </c>
      <c r="Y58" s="450"/>
      <c r="Z58" s="451"/>
      <c r="AA58" s="238">
        <f>(H31+H32-I31-I32)/(I31+I32)*100</f>
        <v>12.182565753529436</v>
      </c>
      <c r="AB58" s="447"/>
      <c r="AC58" s="449" t="str">
        <f t="shared" si="93"/>
        <v>уменьшение финансовой устойчивости</v>
      </c>
      <c r="AD58" s="450"/>
      <c r="AE58" s="451"/>
      <c r="IU58"/>
      <c r="IV58"/>
    </row>
    <row r="59" spans="1:256" ht="15.75" customHeight="1" x14ac:dyDescent="0.3">
      <c r="A59" s="212" t="s">
        <v>479</v>
      </c>
      <c r="B59" s="238">
        <f>(((бс!C43+бс!C50)-(бс!D43+бс!D50))/(бс!D43+бс!D50))*100</f>
        <v>53.312189272671418</v>
      </c>
      <c r="C59" s="447"/>
      <c r="D59" s="449" t="str">
        <f t="shared" ref="D59:D61" si="94">IF(B59&gt;C$57,"уменьшение финансовой устойчивости","увеличение финансовой устойчивости")</f>
        <v>уменьшение финансовой устойчивости</v>
      </c>
      <c r="E59" s="450"/>
      <c r="F59" s="451"/>
      <c r="G59" s="238">
        <f>(((бс!D43+бс!D50)-(бс!E43+бс!E50))/(бс!E43+бс!E50))*100</f>
        <v>-67.548389668775371</v>
      </c>
      <c r="H59" s="447"/>
      <c r="I59" s="449" t="str">
        <f t="shared" ref="I59:I61" si="95">IF(G59&gt;H$57,"уменьшение финансовой устойчивости","увеличение финансовой устойчивости")</f>
        <v>увеличение финансовой устойчивости</v>
      </c>
      <c r="J59" s="450"/>
      <c r="K59" s="451"/>
      <c r="L59" s="238">
        <f>(((бс!E43+бс!E50)-(бс!F43+бс!F50))/(бс!F43+бс!F50))*100</f>
        <v>-34.583309322605032</v>
      </c>
      <c r="M59" s="447"/>
      <c r="N59" s="449" t="str">
        <f t="shared" ref="N59:N61" si="96">IF(L59&gt;M$57,"уменьшение финансовой устойчивости","увеличение финансовой устойчивости")</f>
        <v>увеличение финансовой устойчивости</v>
      </c>
      <c r="O59" s="450"/>
      <c r="P59" s="451"/>
      <c r="Q59" s="238">
        <f>(бс!F43+бс!F50-бс!G43-бс!G50)/(бс!G43+бс!G50)*100</f>
        <v>-8.6708576562914583</v>
      </c>
      <c r="R59" s="447"/>
      <c r="S59" s="449" t="str">
        <f t="shared" ref="S59:S61" si="97">IF(Q59&gt;R$57,"уменьшение финансовой устойчивости","увеличение финансовой устойчивости")</f>
        <v>увеличение финансовой устойчивости</v>
      </c>
      <c r="T59" s="450"/>
      <c r="U59" s="451"/>
      <c r="V59" s="238">
        <f>(бс!G43+бс!G50-бс!H43-бс!H50)/(бс!H43+бс!H50)*100</f>
        <v>28.368577511268544</v>
      </c>
      <c r="W59" s="447"/>
      <c r="X59" s="449" t="str">
        <f t="shared" ref="X59:X61" si="98">IF(V59&gt;W$57,"уменьшение финансовой устойчивости","увеличение финансовой устойчивости")</f>
        <v>уменьшение финансовой устойчивости</v>
      </c>
      <c r="Y59" s="450"/>
      <c r="Z59" s="451"/>
      <c r="AA59" s="238">
        <f>(бс!H43+бс!H50-бс!I43-бс!I50)/(бс!I43+бс!I50)*100</f>
        <v>83.054969175319314</v>
      </c>
      <c r="AB59" s="447"/>
      <c r="AC59" s="449" t="str">
        <f t="shared" ref="AC59:AC61" si="99">IF(AA59&gt;AB$57,"уменьшение финансовой устойчивости","увеличение финансовой устойчивости")</f>
        <v>уменьшение финансовой устойчивости</v>
      </c>
      <c r="AD59" s="450"/>
      <c r="AE59" s="451"/>
      <c r="IU59"/>
      <c r="IV59"/>
    </row>
    <row r="60" spans="1:256" ht="15.75" customHeight="1" x14ac:dyDescent="0.3">
      <c r="A60" s="212" t="s">
        <v>480</v>
      </c>
      <c r="B60" s="238">
        <f>(((бс!C39+бс!C45)-(бс!D39+бс!D45))/(бс!D39+бс!D45))*100</f>
        <v>-100</v>
      </c>
      <c r="C60" s="447"/>
      <c r="D60" s="449" t="str">
        <f t="shared" si="94"/>
        <v>увеличение финансовой устойчивости</v>
      </c>
      <c r="E60" s="450"/>
      <c r="F60" s="451"/>
      <c r="G60" s="238">
        <f>(((бс!D39+бс!D45)-(бс!E39+бс!E45))/(бс!E39+бс!E45))*100</f>
        <v>-94.062001285671798</v>
      </c>
      <c r="H60" s="447"/>
      <c r="I60" s="449" t="str">
        <f t="shared" si="95"/>
        <v>увеличение финансовой устойчивости</v>
      </c>
      <c r="J60" s="450"/>
      <c r="K60" s="451"/>
      <c r="L60" s="238">
        <f>(((бс!E39+бс!E45)-(бс!F39+бс!F45))/(бс!F39+бс!F45))*100</f>
        <v>-40.857026553639209</v>
      </c>
      <c r="M60" s="447"/>
      <c r="N60" s="449" t="str">
        <f t="shared" si="96"/>
        <v>увеличение финансовой устойчивости</v>
      </c>
      <c r="O60" s="450"/>
      <c r="P60" s="451"/>
      <c r="Q60" s="238">
        <f>(бс!F39+бс!F45-бс!G39-бс!G45)/(бс!G39+бс!G45)*100</f>
        <v>-14.817665359870638</v>
      </c>
      <c r="R60" s="447"/>
      <c r="S60" s="449" t="str">
        <f t="shared" si="97"/>
        <v>увеличение финансовой устойчивости</v>
      </c>
      <c r="T60" s="450"/>
      <c r="U60" s="451"/>
      <c r="V60" s="238">
        <f>(бс!G39+бс!G45-бс!H39-бс!H45)/(бс!H39+бс!H45)*100</f>
        <v>22.812846181346284</v>
      </c>
      <c r="W60" s="447"/>
      <c r="X60" s="449" t="str">
        <f t="shared" si="98"/>
        <v>уменьшение финансовой устойчивости</v>
      </c>
      <c r="Y60" s="450"/>
      <c r="Z60" s="451"/>
      <c r="AA60" s="238">
        <f>(бс!H39+бс!H45-бс!I39-бс!I45)/(бс!I39+бс!I45)*100</f>
        <v>102.9920492305489</v>
      </c>
      <c r="AB60" s="447"/>
      <c r="AC60" s="449" t="str">
        <f t="shared" si="99"/>
        <v>уменьшение финансовой устойчивости</v>
      </c>
      <c r="AD60" s="450"/>
      <c r="AE60" s="451"/>
      <c r="IU60"/>
      <c r="IV60"/>
    </row>
    <row r="61" spans="1:256" ht="15.75" customHeight="1" x14ac:dyDescent="0.3">
      <c r="A61" s="212" t="s">
        <v>481</v>
      </c>
      <c r="B61" s="238">
        <f>((бс!C46-бс!D46)/бс!D46)*100</f>
        <v>92.586673204767621</v>
      </c>
      <c r="C61" s="448"/>
      <c r="D61" s="449" t="str">
        <f t="shared" si="94"/>
        <v>уменьшение финансовой устойчивости</v>
      </c>
      <c r="E61" s="450"/>
      <c r="F61" s="451"/>
      <c r="G61" s="238">
        <f>((бс!D46-бс!E46)/бс!E46)*100</f>
        <v>-17.638780888817472</v>
      </c>
      <c r="H61" s="448"/>
      <c r="I61" s="449" t="str">
        <f t="shared" si="95"/>
        <v>увеличение финансовой устойчивости</v>
      </c>
      <c r="J61" s="450"/>
      <c r="K61" s="451"/>
      <c r="L61" s="238">
        <f>((бс!E46-бс!F46)/бс!F46)*100</f>
        <v>-19.912652792263994</v>
      </c>
      <c r="M61" s="448"/>
      <c r="N61" s="449" t="str">
        <f t="shared" si="96"/>
        <v>увеличение финансовой устойчивости</v>
      </c>
      <c r="O61" s="450"/>
      <c r="P61" s="451"/>
      <c r="Q61" s="238">
        <f>(бс!F46-бс!G46)/бс!G46*100</f>
        <v>16.956236978490814</v>
      </c>
      <c r="R61" s="448"/>
      <c r="S61" s="449" t="str">
        <f t="shared" si="97"/>
        <v>уменьшение финансовой устойчивости</v>
      </c>
      <c r="T61" s="450"/>
      <c r="U61" s="451"/>
      <c r="V61" s="238">
        <f>(бс!G46-бс!H46)/бс!H46*100</f>
        <v>62.033829567461119</v>
      </c>
      <c r="W61" s="448"/>
      <c r="X61" s="449" t="str">
        <f t="shared" si="98"/>
        <v>уменьшение финансовой устойчивости</v>
      </c>
      <c r="Y61" s="450"/>
      <c r="Z61" s="451"/>
      <c r="AA61" s="238">
        <f>(бс!H46-бс!I46)/бс!I46*100</f>
        <v>18.14880941278771</v>
      </c>
      <c r="AB61" s="448"/>
      <c r="AC61" s="449" t="str">
        <f t="shared" si="99"/>
        <v>увеличение финансовой устойчивости</v>
      </c>
      <c r="AD61" s="450"/>
      <c r="AE61" s="451"/>
      <c r="IU61"/>
      <c r="IV61"/>
    </row>
    <row r="63" spans="1:256" x14ac:dyDescent="0.3">
      <c r="A63" s="452" t="s">
        <v>472</v>
      </c>
      <c r="B63" s="453" t="s">
        <v>482</v>
      </c>
      <c r="C63" s="453"/>
      <c r="D63" s="453"/>
      <c r="E63" s="453"/>
      <c r="F63" s="453"/>
      <c r="G63" s="453"/>
      <c r="H63" s="453"/>
      <c r="I63" s="453"/>
      <c r="J63" s="453"/>
      <c r="K63" s="453"/>
      <c r="L63" s="453"/>
      <c r="M63" s="453"/>
      <c r="N63" s="453"/>
      <c r="O63" s="453"/>
      <c r="P63" s="453"/>
      <c r="Q63" s="453"/>
      <c r="R63" s="453"/>
      <c r="S63" s="453"/>
      <c r="T63" s="453"/>
      <c r="U63" s="453"/>
      <c r="V63" s="453"/>
      <c r="W63" s="453"/>
      <c r="X63" s="453"/>
      <c r="Y63" s="453"/>
      <c r="Z63" s="453"/>
      <c r="AA63" s="453"/>
      <c r="AB63" s="453"/>
      <c r="AC63" s="453"/>
      <c r="AD63" s="453"/>
      <c r="AE63" s="453"/>
    </row>
    <row r="64" spans="1:256" x14ac:dyDescent="0.3">
      <c r="A64" s="452"/>
      <c r="B64" s="453"/>
      <c r="C64" s="453"/>
      <c r="D64" s="453"/>
      <c r="E64" s="453"/>
      <c r="F64" s="453"/>
      <c r="G64" s="453"/>
      <c r="H64" s="453"/>
      <c r="I64" s="453"/>
      <c r="J64" s="453"/>
      <c r="K64" s="453"/>
      <c r="L64" s="453"/>
      <c r="M64" s="453"/>
      <c r="N64" s="453"/>
      <c r="O64" s="453"/>
      <c r="P64" s="453"/>
      <c r="Q64" s="453"/>
      <c r="R64" s="453"/>
      <c r="S64" s="453"/>
      <c r="T64" s="453"/>
      <c r="U64" s="453"/>
      <c r="V64" s="453"/>
      <c r="W64" s="453"/>
      <c r="X64" s="453"/>
      <c r="Y64" s="453"/>
      <c r="Z64" s="453"/>
      <c r="AA64" s="453"/>
      <c r="AB64" s="453"/>
      <c r="AC64" s="453"/>
      <c r="AD64" s="453"/>
      <c r="AE64" s="453"/>
    </row>
    <row r="65" spans="1:256" x14ac:dyDescent="0.3">
      <c r="A65" s="452"/>
      <c r="B65" s="453"/>
      <c r="C65" s="453"/>
      <c r="D65" s="453"/>
      <c r="E65" s="453"/>
      <c r="F65" s="453"/>
      <c r="G65" s="453"/>
      <c r="H65" s="453"/>
      <c r="I65" s="453"/>
      <c r="J65" s="453"/>
      <c r="K65" s="453"/>
      <c r="L65" s="453"/>
      <c r="M65" s="453"/>
      <c r="N65" s="453"/>
      <c r="O65" s="453"/>
      <c r="P65" s="453"/>
      <c r="Q65" s="453"/>
      <c r="R65" s="453"/>
      <c r="S65" s="453"/>
      <c r="T65" s="453"/>
      <c r="U65" s="453"/>
      <c r="V65" s="453"/>
      <c r="W65" s="453"/>
      <c r="X65" s="453"/>
      <c r="Y65" s="453"/>
      <c r="Z65" s="453"/>
      <c r="AA65" s="453"/>
      <c r="AB65" s="453"/>
      <c r="AC65" s="453"/>
      <c r="AD65" s="453"/>
      <c r="AE65" s="453"/>
    </row>
    <row r="66" spans="1:256" x14ac:dyDescent="0.3">
      <c r="A66" s="452"/>
      <c r="B66" s="453"/>
      <c r="C66" s="453"/>
      <c r="D66" s="453"/>
      <c r="E66" s="453"/>
      <c r="F66" s="453"/>
      <c r="G66" s="453"/>
      <c r="H66" s="453"/>
      <c r="I66" s="453"/>
      <c r="J66" s="453"/>
      <c r="K66" s="453"/>
      <c r="L66" s="453"/>
      <c r="M66" s="453"/>
      <c r="N66" s="453"/>
      <c r="O66" s="453"/>
      <c r="P66" s="453"/>
      <c r="Q66" s="453"/>
      <c r="R66" s="453"/>
      <c r="S66" s="453"/>
      <c r="T66" s="453"/>
      <c r="U66" s="453"/>
      <c r="V66" s="453"/>
      <c r="W66" s="453"/>
      <c r="X66" s="453"/>
      <c r="Y66" s="453"/>
      <c r="Z66" s="453"/>
      <c r="AA66" s="453"/>
      <c r="AB66" s="453"/>
      <c r="AC66" s="453"/>
      <c r="AD66" s="453"/>
      <c r="AE66" s="453"/>
    </row>
    <row r="68" spans="1:256" x14ac:dyDescent="0.3">
      <c r="A68" s="198" t="s">
        <v>474</v>
      </c>
    </row>
    <row r="69" spans="1:256" x14ac:dyDescent="0.3">
      <c r="A69" s="441" t="s">
        <v>475</v>
      </c>
      <c r="B69" s="431" t="str">
        <f>B55</f>
        <v xml:space="preserve">2019/2018 </v>
      </c>
      <c r="C69" s="431"/>
      <c r="D69" s="431"/>
      <c r="E69" s="431"/>
      <c r="F69" s="431"/>
      <c r="G69" s="431" t="str">
        <f>G55</f>
        <v>2018/2017</v>
      </c>
      <c r="H69" s="431"/>
      <c r="I69" s="431"/>
      <c r="J69" s="431"/>
      <c r="K69" s="431"/>
      <c r="L69" s="431" t="str">
        <f>L55</f>
        <v>2017/2016</v>
      </c>
      <c r="M69" s="431"/>
      <c r="N69" s="431"/>
      <c r="O69" s="431"/>
      <c r="P69" s="431"/>
      <c r="Q69" s="431" t="str">
        <f>Q55</f>
        <v>2016/2015</v>
      </c>
      <c r="R69" s="431"/>
      <c r="S69" s="431"/>
      <c r="T69" s="431"/>
      <c r="U69" s="431"/>
      <c r="V69" s="431" t="str">
        <f>V55</f>
        <v>2015/2014</v>
      </c>
      <c r="W69" s="431"/>
      <c r="X69" s="431"/>
      <c r="Y69" s="431"/>
      <c r="Z69" s="431"/>
      <c r="AA69" s="431" t="str">
        <f>AA55</f>
        <v>2014/2013</v>
      </c>
      <c r="AB69" s="431"/>
      <c r="AC69" s="431"/>
      <c r="AD69" s="431"/>
      <c r="AE69" s="431"/>
      <c r="IU69"/>
      <c r="IV69"/>
    </row>
    <row r="70" spans="1:256" ht="62.4" x14ac:dyDescent="0.3">
      <c r="A70" s="441"/>
      <c r="B70" s="202" t="s">
        <v>464</v>
      </c>
      <c r="C70" s="202" t="s">
        <v>465</v>
      </c>
      <c r="D70" s="454" t="s">
        <v>466</v>
      </c>
      <c r="E70" s="455"/>
      <c r="F70" s="456"/>
      <c r="G70" s="202" t="s">
        <v>464</v>
      </c>
      <c r="H70" s="202" t="s">
        <v>465</v>
      </c>
      <c r="I70" s="454" t="s">
        <v>466</v>
      </c>
      <c r="J70" s="455"/>
      <c r="K70" s="456"/>
      <c r="L70" s="202" t="s">
        <v>464</v>
      </c>
      <c r="M70" s="202" t="s">
        <v>465</v>
      </c>
      <c r="N70" s="454" t="s">
        <v>466</v>
      </c>
      <c r="O70" s="455"/>
      <c r="P70" s="456"/>
      <c r="Q70" s="202" t="s">
        <v>464</v>
      </c>
      <c r="R70" s="202" t="s">
        <v>465</v>
      </c>
      <c r="S70" s="454" t="s">
        <v>466</v>
      </c>
      <c r="T70" s="455"/>
      <c r="U70" s="456"/>
      <c r="V70" s="202" t="s">
        <v>464</v>
      </c>
      <c r="W70" s="202" t="s">
        <v>465</v>
      </c>
      <c r="X70" s="454" t="s">
        <v>466</v>
      </c>
      <c r="Y70" s="455"/>
      <c r="Z70" s="456"/>
      <c r="AA70" s="202" t="s">
        <v>464</v>
      </c>
      <c r="AB70" s="202" t="s">
        <v>465</v>
      </c>
      <c r="AC70" s="454" t="s">
        <v>466</v>
      </c>
      <c r="AD70" s="455"/>
      <c r="AE70" s="456"/>
      <c r="IU70"/>
      <c r="IV70"/>
    </row>
    <row r="71" spans="1:256" x14ac:dyDescent="0.3">
      <c r="A71" s="212" t="s">
        <v>478</v>
      </c>
      <c r="B71" s="238">
        <f t="shared" ref="B71:B74" si="100">B58</f>
        <v>-6.7785583605828883</v>
      </c>
      <c r="C71" s="446">
        <f>э!B48</f>
        <v>-20.270821911941304</v>
      </c>
      <c r="D71" s="449" t="s">
        <v>483</v>
      </c>
      <c r="E71" s="450"/>
      <c r="F71" s="451"/>
      <c r="G71" s="238">
        <f t="shared" ref="G71:G74" si="101">G58</f>
        <v>1.9342226339707189</v>
      </c>
      <c r="H71" s="446">
        <f>э!C48</f>
        <v>13.141887622586646</v>
      </c>
      <c r="I71" s="449" t="s">
        <v>484</v>
      </c>
      <c r="J71" s="450"/>
      <c r="K71" s="451"/>
      <c r="L71" s="238">
        <f t="shared" ref="L71:L74" si="102">L58</f>
        <v>1.9342226339707189</v>
      </c>
      <c r="M71" s="446">
        <f>э!D48</f>
        <v>3.2126526197922138</v>
      </c>
      <c r="N71" s="449" t="s">
        <v>484</v>
      </c>
      <c r="O71" s="450"/>
      <c r="P71" s="451"/>
      <c r="Q71" s="238">
        <f t="shared" ref="Q71:Q74" si="103">Q58</f>
        <v>12.055961557572388</v>
      </c>
      <c r="R71" s="446">
        <f>э!E48</f>
        <v>-12.760483385521956</v>
      </c>
      <c r="S71" s="449" t="s">
        <v>484</v>
      </c>
      <c r="T71" s="450"/>
      <c r="U71" s="451"/>
      <c r="V71" s="238">
        <f t="shared" ref="V71:V74" si="104">V58</f>
        <v>23.101203644779247</v>
      </c>
      <c r="W71" s="446">
        <f>э!F48</f>
        <v>65.239371271331166</v>
      </c>
      <c r="X71" s="449" t="s">
        <v>484</v>
      </c>
      <c r="Y71" s="450"/>
      <c r="Z71" s="451"/>
      <c r="AA71" s="238">
        <f t="shared" ref="AA71:AA74" si="105">AA58</f>
        <v>12.182565753529436</v>
      </c>
      <c r="AB71" s="446">
        <f>э!G48</f>
        <v>-7.0769344561151417</v>
      </c>
      <c r="AC71" s="449" t="s">
        <v>484</v>
      </c>
      <c r="AD71" s="450"/>
      <c r="AE71" s="451"/>
      <c r="IU71"/>
      <c r="IV71"/>
    </row>
    <row r="72" spans="1:256" ht="15.75" customHeight="1" x14ac:dyDescent="0.3">
      <c r="A72" s="212" t="s">
        <v>479</v>
      </c>
      <c r="B72" s="238">
        <f t="shared" si="100"/>
        <v>53.312189272671418</v>
      </c>
      <c r="C72" s="447"/>
      <c r="D72" s="449" t="s">
        <v>483</v>
      </c>
      <c r="E72" s="450"/>
      <c r="F72" s="451"/>
      <c r="G72" s="238">
        <f t="shared" si="101"/>
        <v>-67.548389668775371</v>
      </c>
      <c r="H72" s="447"/>
      <c r="I72" s="449" t="s">
        <v>484</v>
      </c>
      <c r="J72" s="450"/>
      <c r="K72" s="451"/>
      <c r="L72" s="238">
        <f t="shared" si="102"/>
        <v>-34.583309322605032</v>
      </c>
      <c r="M72" s="447"/>
      <c r="N72" s="449" t="s">
        <v>484</v>
      </c>
      <c r="O72" s="450"/>
      <c r="P72" s="451"/>
      <c r="Q72" s="238">
        <f t="shared" si="103"/>
        <v>-8.6708576562914583</v>
      </c>
      <c r="R72" s="447"/>
      <c r="S72" s="449" t="s">
        <v>483</v>
      </c>
      <c r="T72" s="450"/>
      <c r="U72" s="451"/>
      <c r="V72" s="238">
        <f t="shared" si="104"/>
        <v>28.368577511268544</v>
      </c>
      <c r="W72" s="447"/>
      <c r="X72" s="449" t="s">
        <v>484</v>
      </c>
      <c r="Y72" s="450"/>
      <c r="Z72" s="451"/>
      <c r="AA72" s="238">
        <f t="shared" si="105"/>
        <v>83.054969175319314</v>
      </c>
      <c r="AB72" s="447"/>
      <c r="AC72" s="449" t="s">
        <v>483</v>
      </c>
      <c r="AD72" s="450"/>
      <c r="AE72" s="451"/>
      <c r="IU72"/>
      <c r="IV72"/>
    </row>
    <row r="73" spans="1:256" ht="15.75" customHeight="1" x14ac:dyDescent="0.3">
      <c r="A73" s="212" t="s">
        <v>480</v>
      </c>
      <c r="B73" s="238">
        <f t="shared" si="100"/>
        <v>-100</v>
      </c>
      <c r="C73" s="447"/>
      <c r="D73" s="449" t="s">
        <v>484</v>
      </c>
      <c r="E73" s="450"/>
      <c r="F73" s="451"/>
      <c r="G73" s="238">
        <f t="shared" si="101"/>
        <v>-94.062001285671798</v>
      </c>
      <c r="H73" s="447"/>
      <c r="I73" s="449" t="s">
        <v>484</v>
      </c>
      <c r="J73" s="450"/>
      <c r="K73" s="451"/>
      <c r="L73" s="238">
        <f t="shared" si="102"/>
        <v>-40.857026553639209</v>
      </c>
      <c r="M73" s="447"/>
      <c r="N73" s="449" t="s">
        <v>484</v>
      </c>
      <c r="O73" s="450"/>
      <c r="P73" s="451"/>
      <c r="Q73" s="238">
        <f t="shared" si="103"/>
        <v>-14.817665359870638</v>
      </c>
      <c r="R73" s="447"/>
      <c r="S73" s="449" t="s">
        <v>484</v>
      </c>
      <c r="T73" s="450"/>
      <c r="U73" s="451"/>
      <c r="V73" s="238">
        <f t="shared" si="104"/>
        <v>22.812846181346284</v>
      </c>
      <c r="W73" s="447"/>
      <c r="X73" s="449" t="s">
        <v>484</v>
      </c>
      <c r="Y73" s="450"/>
      <c r="Z73" s="451"/>
      <c r="AA73" s="238">
        <f t="shared" si="105"/>
        <v>102.9920492305489</v>
      </c>
      <c r="AB73" s="447"/>
      <c r="AC73" s="449" t="s">
        <v>483</v>
      </c>
      <c r="AD73" s="450"/>
      <c r="AE73" s="451"/>
      <c r="IU73"/>
      <c r="IV73"/>
    </row>
    <row r="74" spans="1:256" ht="15.75" customHeight="1" x14ac:dyDescent="0.3">
      <c r="A74" s="212" t="s">
        <v>481</v>
      </c>
      <c r="B74" s="238">
        <f t="shared" si="100"/>
        <v>92.586673204767621</v>
      </c>
      <c r="C74" s="448"/>
      <c r="D74" s="449" t="s">
        <v>483</v>
      </c>
      <c r="E74" s="450"/>
      <c r="F74" s="451"/>
      <c r="G74" s="238">
        <f t="shared" si="101"/>
        <v>-17.638780888817472</v>
      </c>
      <c r="H74" s="448"/>
      <c r="I74" s="449" t="s">
        <v>484</v>
      </c>
      <c r="J74" s="450"/>
      <c r="K74" s="451"/>
      <c r="L74" s="238">
        <f t="shared" si="102"/>
        <v>-19.912652792263994</v>
      </c>
      <c r="M74" s="448"/>
      <c r="N74" s="449" t="s">
        <v>484</v>
      </c>
      <c r="O74" s="450"/>
      <c r="P74" s="451"/>
      <c r="Q74" s="238">
        <f t="shared" si="103"/>
        <v>16.956236978490814</v>
      </c>
      <c r="R74" s="448"/>
      <c r="S74" s="449" t="s">
        <v>483</v>
      </c>
      <c r="T74" s="450"/>
      <c r="U74" s="451"/>
      <c r="V74" s="238">
        <f t="shared" si="104"/>
        <v>62.033829567461119</v>
      </c>
      <c r="W74" s="448"/>
      <c r="X74" s="449" t="s">
        <v>484</v>
      </c>
      <c r="Y74" s="450"/>
      <c r="Z74" s="451"/>
      <c r="AA74" s="238">
        <f t="shared" si="105"/>
        <v>18.14880941278771</v>
      </c>
      <c r="AB74" s="448"/>
      <c r="AC74" s="449" t="s">
        <v>483</v>
      </c>
      <c r="AD74" s="450"/>
      <c r="AE74" s="451"/>
      <c r="IU74"/>
      <c r="IV74"/>
    </row>
    <row r="76" spans="1:256" x14ac:dyDescent="0.3">
      <c r="A76" s="452" t="s">
        <v>472</v>
      </c>
      <c r="B76" s="453" t="s">
        <v>485</v>
      </c>
      <c r="C76" s="453"/>
      <c r="D76" s="453"/>
      <c r="E76" s="453"/>
      <c r="F76" s="453"/>
      <c r="G76" s="453"/>
      <c r="H76" s="453"/>
      <c r="I76" s="453"/>
      <c r="J76" s="453"/>
      <c r="K76" s="453"/>
      <c r="L76" s="453"/>
      <c r="M76" s="453"/>
      <c r="N76" s="453"/>
      <c r="O76" s="453"/>
      <c r="P76" s="453"/>
      <c r="Q76" s="453"/>
      <c r="R76" s="453"/>
      <c r="S76" s="453"/>
      <c r="T76" s="453"/>
      <c r="U76" s="453"/>
      <c r="V76" s="453"/>
      <c r="W76" s="453"/>
      <c r="X76" s="453"/>
      <c r="Y76" s="453"/>
      <c r="Z76" s="453"/>
      <c r="AA76" s="453"/>
      <c r="AB76" s="453"/>
      <c r="AC76" s="453"/>
      <c r="AD76" s="453"/>
      <c r="AE76" s="453"/>
    </row>
    <row r="77" spans="1:256" x14ac:dyDescent="0.3">
      <c r="A77" s="452"/>
      <c r="B77" s="453"/>
      <c r="C77" s="453"/>
      <c r="D77" s="453"/>
      <c r="E77" s="453"/>
      <c r="F77" s="453"/>
      <c r="G77" s="453"/>
      <c r="H77" s="453"/>
      <c r="I77" s="453"/>
      <c r="J77" s="453"/>
      <c r="K77" s="453"/>
      <c r="L77" s="453"/>
      <c r="M77" s="453"/>
      <c r="N77" s="453"/>
      <c r="O77" s="453"/>
      <c r="P77" s="453"/>
      <c r="Q77" s="453"/>
      <c r="R77" s="453"/>
      <c r="S77" s="453"/>
      <c r="T77" s="453"/>
      <c r="U77" s="453"/>
      <c r="V77" s="453"/>
      <c r="W77" s="453"/>
      <c r="X77" s="453"/>
      <c r="Y77" s="453"/>
      <c r="Z77" s="453"/>
      <c r="AA77" s="453"/>
      <c r="AB77" s="453"/>
      <c r="AC77" s="453"/>
      <c r="AD77" s="453"/>
      <c r="AE77" s="453"/>
    </row>
    <row r="78" spans="1:256" x14ac:dyDescent="0.3">
      <c r="A78" s="452"/>
      <c r="B78" s="453"/>
      <c r="C78" s="453"/>
      <c r="D78" s="453"/>
      <c r="E78" s="453"/>
      <c r="F78" s="453"/>
      <c r="G78" s="453"/>
      <c r="H78" s="453"/>
      <c r="I78" s="453"/>
      <c r="J78" s="453"/>
      <c r="K78" s="453"/>
      <c r="L78" s="453"/>
      <c r="M78" s="453"/>
      <c r="N78" s="453"/>
      <c r="O78" s="453"/>
      <c r="P78" s="453"/>
      <c r="Q78" s="453"/>
      <c r="R78" s="453"/>
      <c r="S78" s="453"/>
      <c r="T78" s="453"/>
      <c r="U78" s="453"/>
      <c r="V78" s="453"/>
      <c r="W78" s="453"/>
      <c r="X78" s="453"/>
      <c r="Y78" s="453"/>
      <c r="Z78" s="453"/>
      <c r="AA78" s="453"/>
      <c r="AB78" s="453"/>
      <c r="AC78" s="453"/>
      <c r="AD78" s="453"/>
      <c r="AE78" s="453"/>
    </row>
    <row r="79" spans="1:256" x14ac:dyDescent="0.3">
      <c r="A79" s="452"/>
      <c r="B79" s="453"/>
      <c r="C79" s="453"/>
      <c r="D79" s="453"/>
      <c r="E79" s="453"/>
      <c r="F79" s="453"/>
      <c r="G79" s="453"/>
      <c r="H79" s="453"/>
      <c r="I79" s="453"/>
      <c r="J79" s="453"/>
      <c r="K79" s="453"/>
      <c r="L79" s="453"/>
      <c r="M79" s="453"/>
      <c r="N79" s="453"/>
      <c r="O79" s="453"/>
      <c r="P79" s="453"/>
      <c r="Q79" s="453"/>
      <c r="R79" s="453"/>
      <c r="S79" s="453"/>
      <c r="T79" s="453"/>
      <c r="U79" s="453"/>
      <c r="V79" s="453"/>
      <c r="W79" s="453"/>
      <c r="X79" s="453"/>
      <c r="Y79" s="453"/>
      <c r="Z79" s="453"/>
      <c r="AA79" s="453"/>
      <c r="AB79" s="453"/>
      <c r="AC79" s="453"/>
      <c r="AD79" s="453"/>
      <c r="AE79" s="453"/>
    </row>
    <row r="82" spans="1:256" x14ac:dyDescent="0.3">
      <c r="A82" s="66" t="s">
        <v>486</v>
      </c>
      <c r="B82" s="195"/>
      <c r="C82" s="195"/>
      <c r="D82" s="195"/>
      <c r="E82" s="195"/>
      <c r="F82" s="195"/>
      <c r="G82" s="195"/>
      <c r="H82" s="195"/>
      <c r="I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row>
    <row r="83" spans="1:256" x14ac:dyDescent="0.3">
      <c r="A83" s="186" t="s">
        <v>487</v>
      </c>
      <c r="B83" s="177"/>
      <c r="C83" s="177"/>
      <c r="D83" s="195"/>
      <c r="E83" s="195"/>
      <c r="F83" s="195"/>
      <c r="G83" s="195"/>
      <c r="H83" s="195"/>
      <c r="I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row>
    <row r="84" spans="1:256" x14ac:dyDescent="0.3">
      <c r="A84" s="241" t="s">
        <v>488</v>
      </c>
      <c r="B84" s="164" t="str">
        <f>э!B56</f>
        <v>2019 год</v>
      </c>
      <c r="C84" s="164" t="str">
        <f>э!C56</f>
        <v>2018 год</v>
      </c>
      <c r="D84" s="164" t="str">
        <f>э!D56</f>
        <v>2017 год</v>
      </c>
      <c r="E84" s="164" t="str">
        <f>э!E56</f>
        <v>2016 год</v>
      </c>
      <c r="F84" s="164" t="str">
        <f>э!F56</f>
        <v>2015 год</v>
      </c>
      <c r="G84" s="164" t="str">
        <f>э!G56</f>
        <v>2014 год</v>
      </c>
      <c r="H84" s="164" t="str">
        <f>э!H56</f>
        <v>2013 год</v>
      </c>
      <c r="I84" s="196"/>
      <c r="DW84" s="196"/>
      <c r="DX84" s="196"/>
      <c r="DY84" s="196"/>
      <c r="DZ84" s="196"/>
      <c r="EA84" s="196"/>
      <c r="EB84" s="196"/>
      <c r="EC84" s="196"/>
      <c r="ED84" s="196"/>
      <c r="EE84" s="196"/>
      <c r="EF84" s="196"/>
      <c r="EG84" s="196"/>
      <c r="EH84" s="196"/>
      <c r="EI84" s="196"/>
      <c r="EJ84" s="196"/>
      <c r="EK84" s="196"/>
      <c r="EL84" s="196"/>
      <c r="EM84" s="196"/>
      <c r="EN84" s="196"/>
      <c r="EO84" s="196"/>
      <c r="EP84" s="196"/>
      <c r="EQ84" s="196"/>
      <c r="ER84" s="196"/>
      <c r="ES84" s="196"/>
      <c r="ET84" s="196"/>
      <c r="EU84" s="196"/>
      <c r="EV84" s="196"/>
      <c r="EW84" s="196"/>
      <c r="EX84" s="196"/>
      <c r="EY84" s="196"/>
      <c r="EZ84" s="196"/>
      <c r="FA84" s="196"/>
      <c r="FB84" s="196"/>
      <c r="FC84" s="196"/>
      <c r="FD84" s="196"/>
      <c r="FE84" s="196"/>
      <c r="FF84" s="196"/>
      <c r="FG84" s="196"/>
      <c r="FH84" s="196"/>
      <c r="FI84" s="196"/>
      <c r="FJ84" s="196"/>
      <c r="FK84" s="196"/>
      <c r="FL84" s="196"/>
      <c r="FM84" s="196"/>
      <c r="FN84" s="196"/>
      <c r="FO84" s="196"/>
      <c r="FP84" s="196"/>
      <c r="FQ84" s="196"/>
      <c r="FR84" s="196"/>
      <c r="FS84" s="196"/>
      <c r="FT84" s="196"/>
      <c r="FU84" s="196"/>
      <c r="FV84" s="196"/>
      <c r="FW84" s="196"/>
      <c r="FX84" s="196"/>
      <c r="FY84" s="196"/>
      <c r="FZ84" s="196"/>
      <c r="GA84" s="196"/>
      <c r="GB84" s="196"/>
      <c r="GC84" s="196"/>
      <c r="GD84" s="196"/>
      <c r="GE84" s="196"/>
      <c r="GF84" s="196"/>
      <c r="GG84" s="196"/>
      <c r="GH84" s="196"/>
      <c r="GI84" s="196"/>
      <c r="GJ84" s="196"/>
      <c r="GK84" s="196"/>
      <c r="GL84" s="196"/>
      <c r="GM84" s="196"/>
      <c r="GN84" s="196"/>
      <c r="GO84" s="196"/>
      <c r="GP84" s="196"/>
      <c r="GQ84" s="196"/>
      <c r="GR84" s="196"/>
      <c r="GS84" s="196"/>
      <c r="GT84" s="196"/>
      <c r="GU84" s="196"/>
      <c r="GV84" s="196"/>
      <c r="GW84" s="196"/>
      <c r="GX84" s="196"/>
      <c r="GY84" s="196"/>
      <c r="GZ84" s="196"/>
      <c r="HA84" s="196"/>
      <c r="HB84" s="196"/>
      <c r="HC84" s="196"/>
      <c r="HD84" s="196"/>
      <c r="HE84" s="196"/>
      <c r="HF84" s="196"/>
      <c r="HG84" s="196"/>
      <c r="HH84" s="196"/>
      <c r="HI84" s="196"/>
      <c r="HJ84" s="196"/>
      <c r="HK84" s="196"/>
      <c r="HL84" s="196"/>
      <c r="HM84" s="196"/>
      <c r="HN84" s="196"/>
      <c r="HO84" s="196"/>
      <c r="HP84" s="196"/>
      <c r="HQ84" s="196"/>
      <c r="HR84" s="196"/>
      <c r="HS84" s="196"/>
      <c r="HT84" s="196"/>
      <c r="HU84" s="196"/>
      <c r="HV84" s="196"/>
      <c r="HW84" s="196"/>
      <c r="HX84" s="196"/>
      <c r="HY84" s="196"/>
      <c r="HZ84" s="196"/>
      <c r="IA84" s="196"/>
      <c r="IB84" s="196"/>
      <c r="IC84" s="196"/>
      <c r="ID84" s="196"/>
      <c r="IE84" s="196"/>
      <c r="IF84" s="196"/>
      <c r="IG84" s="196"/>
      <c r="IH84" s="196"/>
      <c r="II84" s="196"/>
      <c r="IJ84" s="196"/>
      <c r="IK84" s="196"/>
      <c r="IL84" s="196"/>
      <c r="IM84" s="196"/>
      <c r="IN84" s="196"/>
      <c r="IO84" s="196"/>
      <c r="IP84" s="196"/>
      <c r="IQ84" s="196"/>
      <c r="IR84" s="196"/>
      <c r="IS84" s="196"/>
      <c r="IT84" s="196"/>
      <c r="IU84" s="196"/>
      <c r="IV84" s="196"/>
    </row>
    <row r="85" spans="1:256" x14ac:dyDescent="0.3">
      <c r="A85" s="190" t="s">
        <v>372</v>
      </c>
      <c r="B85" s="183">
        <f>бс!C26</f>
        <v>48379068</v>
      </c>
      <c r="C85" s="183">
        <f>бс!D26</f>
        <v>49841835.5</v>
      </c>
      <c r="D85" s="183">
        <f>бс!E26</f>
        <v>54790360.5</v>
      </c>
      <c r="E85" s="183">
        <f>бс!F26</f>
        <v>54360749</v>
      </c>
      <c r="F85" s="183">
        <f>бс!G26</f>
        <v>48346005</v>
      </c>
      <c r="G85" s="183">
        <f>бс!H26</f>
        <v>39904894.5</v>
      </c>
      <c r="H85" s="183">
        <f>бс!I26</f>
        <v>31568875.5</v>
      </c>
      <c r="I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row>
    <row r="86" spans="1:256" x14ac:dyDescent="0.3">
      <c r="A86" s="167" t="s">
        <v>489</v>
      </c>
      <c r="B86" s="183">
        <f>'2'!C7</f>
        <v>21650314</v>
      </c>
      <c r="C86" s="183">
        <f>'2'!D7</f>
        <v>27154819</v>
      </c>
      <c r="D86" s="183">
        <f>'2'!E7</f>
        <v>24000677</v>
      </c>
      <c r="E86" s="183">
        <f>'2'!F7</f>
        <v>23253619</v>
      </c>
      <c r="F86" s="183">
        <f>'2'!G7</f>
        <v>26654915</v>
      </c>
      <c r="G86" s="183">
        <f>'2'!H7</f>
        <v>16131092</v>
      </c>
      <c r="H86" s="183">
        <f>'2'!I7</f>
        <v>17359621</v>
      </c>
      <c r="I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row>
    <row r="87" spans="1:256" x14ac:dyDescent="0.3">
      <c r="A87" s="167" t="s">
        <v>374</v>
      </c>
      <c r="B87" s="183">
        <f>'2'!C25</f>
        <v>3687983</v>
      </c>
      <c r="C87" s="183">
        <f>'2'!D25</f>
        <v>4745980</v>
      </c>
      <c r="D87" s="183">
        <f>'2'!E25</f>
        <v>8056307</v>
      </c>
      <c r="E87" s="183">
        <f>'2'!F25</f>
        <v>7458998</v>
      </c>
      <c r="F87" s="183">
        <f>'2'!G25</f>
        <v>9074394</v>
      </c>
      <c r="G87" s="183">
        <f>'2'!H25</f>
        <v>412488</v>
      </c>
      <c r="H87" s="183">
        <f>'2'!I25</f>
        <v>4028440</v>
      </c>
      <c r="I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row>
    <row r="88" spans="1:256" x14ac:dyDescent="0.3">
      <c r="A88" s="242"/>
      <c r="B88" s="177"/>
      <c r="C88" s="177"/>
      <c r="D88" s="195"/>
      <c r="E88" s="195"/>
      <c r="F88" s="195"/>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77"/>
      <c r="AJ88" s="177"/>
      <c r="AK88" s="177"/>
      <c r="AL88" s="177"/>
      <c r="AM88" s="177"/>
      <c r="AN88" s="177"/>
      <c r="AO88" s="177"/>
      <c r="AP88" s="177"/>
      <c r="AQ88" s="177"/>
      <c r="AR88" s="177"/>
      <c r="AS88" s="177"/>
      <c r="AT88" s="177"/>
      <c r="AU88" s="177"/>
      <c r="AV88" s="177"/>
      <c r="AW88" s="177"/>
      <c r="AX88" s="177"/>
      <c r="AY88" s="177"/>
      <c r="AZ88" s="177"/>
      <c r="BA88" s="177"/>
      <c r="BB88" s="177"/>
      <c r="BC88" s="177"/>
      <c r="BD88" s="177"/>
      <c r="BE88" s="177"/>
      <c r="BF88" s="177"/>
      <c r="BG88" s="177"/>
      <c r="BH88" s="177"/>
      <c r="BI88" s="177"/>
      <c r="BJ88" s="177"/>
      <c r="BK88" s="177"/>
      <c r="BL88" s="177"/>
      <c r="BM88" s="177"/>
      <c r="BN88" s="177"/>
      <c r="BO88" s="177"/>
      <c r="BP88" s="177"/>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row>
    <row r="89" spans="1:256" x14ac:dyDescent="0.3">
      <c r="A89" s="186" t="s">
        <v>490</v>
      </c>
      <c r="B89" s="177"/>
      <c r="C89" s="177"/>
      <c r="D89" s="177"/>
      <c r="E89" s="177"/>
      <c r="F89" s="177"/>
      <c r="G89" s="177"/>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c r="AU89" s="177"/>
      <c r="AV89" s="177"/>
      <c r="AW89" s="177"/>
      <c r="AX89" s="177"/>
      <c r="AY89" s="177"/>
      <c r="AZ89" s="177"/>
      <c r="BA89" s="177"/>
      <c r="BB89" s="177"/>
      <c r="BC89" s="177"/>
      <c r="BD89" s="177"/>
      <c r="BE89" s="177"/>
      <c r="BF89" s="177"/>
      <c r="BG89" s="177"/>
      <c r="BH89" s="177"/>
      <c r="BI89" s="177"/>
      <c r="BJ89" s="177"/>
      <c r="BK89" s="177"/>
      <c r="BL89" s="177"/>
      <c r="BM89" s="177"/>
      <c r="BN89" s="177"/>
      <c r="BO89" s="177"/>
      <c r="BP89" s="177"/>
      <c r="BQ89" s="177"/>
      <c r="BR89" s="177"/>
      <c r="BS89" s="177"/>
      <c r="BT89" s="177"/>
      <c r="BU89" s="177"/>
      <c r="BV89" s="177"/>
      <c r="BW89" s="177"/>
      <c r="BX89" s="177"/>
      <c r="BY89" s="177"/>
      <c r="BZ89" s="177"/>
      <c r="CA89" s="177"/>
      <c r="CB89" s="177"/>
      <c r="CC89" s="177"/>
      <c r="CD89" s="177"/>
      <c r="CE89" s="177"/>
      <c r="CF89" s="177"/>
      <c r="CG89" s="177"/>
      <c r="CH89" s="177"/>
      <c r="CI89" s="177"/>
      <c r="CJ89" s="177"/>
      <c r="CK89" s="177"/>
      <c r="CL89" s="177"/>
      <c r="CM89" s="177"/>
      <c r="CN89" s="177"/>
      <c r="CO89" s="177"/>
      <c r="CP89" s="177"/>
      <c r="CQ89" s="177"/>
      <c r="CR89" s="177"/>
      <c r="CS89" s="177"/>
      <c r="CT89" s="177"/>
      <c r="CU89" s="177"/>
      <c r="CV89" s="177"/>
      <c r="CW89" s="177"/>
      <c r="CX89" s="177"/>
      <c r="CY89" s="177"/>
      <c r="CZ89" s="177"/>
      <c r="DA89" s="177"/>
      <c r="DB89" s="177"/>
      <c r="DC89" s="177"/>
      <c r="DD89" s="177"/>
      <c r="DE89" s="177"/>
      <c r="DF89" s="177"/>
      <c r="DG89" s="177"/>
      <c r="DH89" s="177"/>
      <c r="DI89" s="177"/>
      <c r="DJ89" s="177"/>
      <c r="DK89" s="177"/>
      <c r="DL89" s="177"/>
      <c r="DM89" s="177"/>
      <c r="DN89" s="177"/>
      <c r="DO89" s="177"/>
      <c r="DP89" s="177"/>
      <c r="DQ89" s="177"/>
      <c r="DR89" s="177"/>
      <c r="DS89" s="177"/>
      <c r="DT89" s="177"/>
      <c r="DU89" s="177"/>
      <c r="DV89" s="177"/>
      <c r="DW89" s="177"/>
      <c r="DX89" s="177"/>
      <c r="DY89" s="177"/>
      <c r="DZ89" s="177"/>
      <c r="EA89" s="177"/>
      <c r="EB89" s="177"/>
      <c r="EC89" s="177"/>
      <c r="ED89" s="177"/>
      <c r="EE89" s="177"/>
      <c r="EF89" s="177"/>
      <c r="EG89" s="177"/>
      <c r="EH89" s="177"/>
      <c r="EI89" s="177"/>
      <c r="EJ89" s="177"/>
      <c r="EK89" s="177"/>
      <c r="EL89" s="177"/>
      <c r="EM89" s="177"/>
      <c r="EN89" s="177"/>
      <c r="EO89" s="177"/>
      <c r="EP89" s="177"/>
      <c r="EQ89" s="177"/>
      <c r="ER89" s="177"/>
      <c r="ES89" s="177"/>
      <c r="ET89" s="177"/>
      <c r="EU89" s="177"/>
      <c r="EV89" s="177"/>
      <c r="EW89" s="177"/>
      <c r="EX89" s="177"/>
      <c r="EY89" s="177"/>
      <c r="EZ89" s="177"/>
      <c r="FA89" s="177"/>
      <c r="FB89" s="177"/>
      <c r="FC89" s="177"/>
      <c r="FD89" s="177"/>
      <c r="FE89" s="177"/>
      <c r="FF89" s="177"/>
      <c r="FG89" s="177"/>
      <c r="FH89" s="177"/>
      <c r="FI89" s="177"/>
      <c r="FJ89" s="177"/>
      <c r="FK89" s="177"/>
      <c r="FL89" s="177"/>
      <c r="FM89" s="177"/>
      <c r="FN89" s="177"/>
      <c r="FO89" s="177"/>
      <c r="FP89" s="177"/>
      <c r="FQ89" s="177"/>
      <c r="FR89" s="177"/>
      <c r="FS89" s="177"/>
      <c r="FT89" s="177"/>
      <c r="FU89" s="177"/>
      <c r="FV89" s="177"/>
      <c r="FW89" s="177"/>
      <c r="FX89" s="177"/>
      <c r="FY89" s="177"/>
      <c r="FZ89" s="177"/>
      <c r="GA89" s="177"/>
      <c r="GB89" s="177"/>
      <c r="GC89" s="177"/>
      <c r="GD89" s="177"/>
      <c r="GE89" s="177"/>
      <c r="GF89" s="177"/>
      <c r="GG89" s="177"/>
      <c r="GH89" s="177"/>
      <c r="GI89" s="177"/>
      <c r="GJ89" s="177"/>
      <c r="GK89" s="177"/>
      <c r="GL89" s="177"/>
      <c r="GM89" s="177"/>
      <c r="GN89" s="177"/>
      <c r="GO89" s="177"/>
      <c r="GP89" s="177"/>
      <c r="GQ89" s="177"/>
      <c r="GR89" s="177"/>
      <c r="GS89" s="177"/>
      <c r="GT89" s="177"/>
      <c r="GU89" s="177"/>
      <c r="GV89" s="177"/>
      <c r="GW89" s="177"/>
      <c r="GX89" s="177"/>
      <c r="GY89" s="177"/>
      <c r="GZ89" s="177"/>
      <c r="HA89" s="177"/>
      <c r="HB89" s="177"/>
      <c r="HC89" s="177"/>
      <c r="HD89" s="177"/>
      <c r="HE89" s="177"/>
      <c r="HF89" s="177"/>
      <c r="HG89" s="177"/>
      <c r="HH89" s="177"/>
      <c r="HI89" s="177"/>
      <c r="HJ89" s="177"/>
      <c r="HK89" s="177"/>
      <c r="HL89" s="177"/>
      <c r="HM89" s="177"/>
      <c r="HN89" s="177"/>
      <c r="HO89" s="177"/>
      <c r="HP89" s="177"/>
      <c r="HQ89" s="177"/>
      <c r="HR89" s="177"/>
      <c r="HS89" s="177"/>
      <c r="HT89" s="177"/>
      <c r="HU89" s="177"/>
      <c r="HV89" s="177"/>
      <c r="HW89" s="177"/>
      <c r="HX89" s="177"/>
      <c r="HY89" s="177"/>
      <c r="HZ89" s="177"/>
      <c r="IA89" s="177"/>
      <c r="IB89" s="177"/>
      <c r="IC89" s="177"/>
      <c r="ID89" s="177"/>
      <c r="IE89" s="177"/>
      <c r="IF89" s="177"/>
      <c r="IG89" s="177"/>
      <c r="IH89" s="177"/>
      <c r="II89" s="177"/>
      <c r="IJ89" s="177"/>
      <c r="IK89" s="177"/>
      <c r="IL89" s="177"/>
      <c r="IM89" s="177"/>
      <c r="IN89" s="177"/>
      <c r="IO89" s="177"/>
      <c r="IP89" s="177"/>
      <c r="IQ89" s="177"/>
      <c r="IR89" s="177"/>
      <c r="IS89" s="177"/>
      <c r="IT89" s="177"/>
      <c r="IU89" s="177"/>
      <c r="IV89" s="177"/>
    </row>
    <row r="90" spans="1:256" x14ac:dyDescent="0.3">
      <c r="A90" s="164" t="s">
        <v>177</v>
      </c>
      <c r="B90" s="164" t="str">
        <f>э!B46</f>
        <v>2019/2018 год</v>
      </c>
      <c r="C90" s="164" t="str">
        <f>э!C46</f>
        <v>2018/2017 год</v>
      </c>
      <c r="D90" s="164" t="str">
        <f>э!D46</f>
        <v>2017/2016 год</v>
      </c>
      <c r="E90" s="164" t="str">
        <f>э!E46</f>
        <v>2016/2015 год</v>
      </c>
      <c r="F90" s="164" t="str">
        <f>э!F46</f>
        <v>2015/2014 год</v>
      </c>
      <c r="G90" s="164" t="str">
        <f>э!G46</f>
        <v>2014/2013 год</v>
      </c>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c r="AU90" s="177"/>
      <c r="AV90" s="177"/>
      <c r="AW90" s="177"/>
      <c r="AX90" s="177"/>
      <c r="AY90" s="177"/>
      <c r="AZ90" s="177"/>
      <c r="BA90" s="177"/>
      <c r="BB90" s="177"/>
      <c r="BC90" s="177"/>
      <c r="BD90" s="177"/>
      <c r="BE90" s="177"/>
      <c r="BF90" s="177"/>
      <c r="BG90" s="177"/>
      <c r="BH90" s="177"/>
      <c r="BI90" s="177"/>
      <c r="BJ90" s="177"/>
      <c r="BK90" s="177"/>
      <c r="BL90" s="177"/>
      <c r="BM90" s="177"/>
      <c r="BN90" s="177"/>
      <c r="BO90" s="177"/>
      <c r="BP90" s="177"/>
      <c r="BQ90" s="177"/>
      <c r="BR90" s="177"/>
      <c r="BS90" s="177"/>
      <c r="BT90" s="177"/>
      <c r="BU90" s="177"/>
      <c r="BV90" s="177"/>
      <c r="BW90" s="177"/>
      <c r="BX90" s="177"/>
      <c r="BY90" s="177"/>
      <c r="BZ90" s="177"/>
      <c r="CA90" s="177"/>
      <c r="CB90" s="177"/>
      <c r="CC90" s="177"/>
      <c r="CD90" s="177"/>
      <c r="CE90" s="177"/>
      <c r="CF90" s="177"/>
      <c r="CG90" s="177"/>
      <c r="CH90" s="177"/>
      <c r="CI90" s="177"/>
      <c r="CJ90" s="177"/>
      <c r="CK90" s="177"/>
      <c r="CL90" s="177"/>
      <c r="CM90" s="177"/>
      <c r="CN90" s="177"/>
      <c r="CO90" s="177"/>
      <c r="CP90" s="177"/>
      <c r="CQ90" s="177"/>
      <c r="CR90" s="177"/>
      <c r="CS90" s="177"/>
      <c r="CT90" s="177"/>
      <c r="CU90" s="177"/>
      <c r="CV90" s="177"/>
      <c r="CW90" s="177"/>
      <c r="CX90" s="177"/>
      <c r="CY90" s="177"/>
      <c r="CZ90" s="177"/>
      <c r="DA90" s="177"/>
      <c r="DB90" s="177"/>
      <c r="DC90" s="177"/>
      <c r="DD90" s="177"/>
      <c r="DE90" s="177"/>
      <c r="DF90" s="177"/>
      <c r="DG90" s="177"/>
      <c r="DH90" s="177"/>
      <c r="DI90" s="177"/>
      <c r="DJ90" s="177"/>
      <c r="DK90" s="177"/>
      <c r="DL90" s="177"/>
      <c r="DM90" s="177"/>
      <c r="DN90" s="177"/>
      <c r="DO90" s="177"/>
      <c r="DP90" s="177"/>
      <c r="DQ90" s="177"/>
      <c r="DR90" s="177"/>
      <c r="DS90" s="177"/>
      <c r="DT90" s="177"/>
      <c r="DU90" s="177"/>
      <c r="DV90" s="177"/>
      <c r="DW90" s="177"/>
      <c r="DX90" s="177"/>
      <c r="DY90" s="177"/>
      <c r="DZ90" s="177"/>
      <c r="EA90" s="177"/>
      <c r="EB90" s="177"/>
      <c r="EC90" s="177"/>
      <c r="ED90" s="177"/>
      <c r="EE90" s="177"/>
      <c r="EF90" s="177"/>
      <c r="EG90" s="177"/>
      <c r="EH90" s="177"/>
      <c r="EI90" s="177"/>
      <c r="EJ90" s="177"/>
      <c r="EK90" s="177"/>
      <c r="EL90" s="177"/>
      <c r="EM90" s="177"/>
      <c r="EN90" s="177"/>
      <c r="EO90" s="177"/>
      <c r="EP90" s="177"/>
      <c r="EQ90" s="177"/>
      <c r="ER90" s="177"/>
      <c r="ES90" s="177"/>
      <c r="ET90" s="177"/>
      <c r="EU90" s="177"/>
      <c r="EV90" s="177"/>
      <c r="EW90" s="177"/>
      <c r="EX90" s="177"/>
      <c r="EY90" s="177"/>
      <c r="EZ90" s="177"/>
      <c r="FA90" s="177"/>
      <c r="FB90" s="177"/>
      <c r="FC90" s="177"/>
      <c r="FD90" s="177"/>
      <c r="FE90" s="177"/>
      <c r="FF90" s="177"/>
      <c r="FG90" s="177"/>
      <c r="FH90" s="177"/>
      <c r="FI90" s="177"/>
      <c r="FJ90" s="177"/>
      <c r="FK90" s="177"/>
      <c r="FL90" s="177"/>
      <c r="FM90" s="177"/>
      <c r="FN90" s="177"/>
      <c r="FO90" s="177"/>
      <c r="FP90" s="177"/>
      <c r="FQ90" s="177"/>
      <c r="FR90" s="177"/>
      <c r="FS90" s="177"/>
      <c r="FT90" s="177"/>
      <c r="FU90" s="177"/>
      <c r="FV90" s="177"/>
      <c r="FW90" s="177"/>
      <c r="FX90" s="177"/>
      <c r="FY90" s="177"/>
      <c r="FZ90" s="177"/>
      <c r="GA90" s="177"/>
      <c r="GB90" s="177"/>
      <c r="GC90" s="177"/>
      <c r="GD90" s="177"/>
      <c r="GE90" s="177"/>
      <c r="GF90" s="177"/>
      <c r="GG90" s="177"/>
      <c r="GH90" s="177"/>
      <c r="GI90" s="177"/>
      <c r="GJ90" s="177"/>
      <c r="GK90" s="177"/>
      <c r="GL90" s="177"/>
      <c r="GM90" s="177"/>
      <c r="GN90" s="177"/>
      <c r="GO90" s="177"/>
      <c r="GP90" s="177"/>
      <c r="GQ90" s="177"/>
      <c r="GR90" s="177"/>
      <c r="GS90" s="177"/>
      <c r="GT90" s="177"/>
      <c r="GU90" s="177"/>
      <c r="GV90" s="177"/>
      <c r="GW90" s="177"/>
      <c r="GX90" s="177"/>
      <c r="GY90" s="177"/>
      <c r="GZ90" s="177"/>
      <c r="HA90" s="177"/>
      <c r="HB90" s="177"/>
      <c r="HC90" s="177"/>
      <c r="HD90" s="177"/>
      <c r="HE90" s="177"/>
      <c r="HF90" s="177"/>
      <c r="HG90" s="177"/>
      <c r="HH90" s="177"/>
      <c r="HI90" s="177"/>
      <c r="HJ90" s="177"/>
      <c r="HK90" s="177"/>
      <c r="HL90" s="177"/>
      <c r="HM90" s="177"/>
      <c r="HN90" s="177"/>
      <c r="HO90" s="177"/>
      <c r="HP90" s="177"/>
      <c r="HQ90" s="177"/>
      <c r="HR90" s="177"/>
      <c r="HS90" s="177"/>
      <c r="HT90" s="177"/>
      <c r="HU90" s="177"/>
      <c r="HV90" s="177"/>
      <c r="HW90" s="177"/>
      <c r="HX90" s="177"/>
      <c r="HY90" s="177"/>
      <c r="HZ90" s="177"/>
      <c r="IA90" s="177"/>
      <c r="IB90" s="177"/>
      <c r="IC90" s="177"/>
      <c r="ID90" s="177"/>
      <c r="IE90" s="177"/>
      <c r="IF90" s="177"/>
      <c r="IG90" s="177"/>
      <c r="IH90" s="177"/>
      <c r="II90" s="177"/>
      <c r="IJ90" s="177"/>
      <c r="IK90" s="177"/>
      <c r="IL90" s="177"/>
      <c r="IM90" s="177"/>
      <c r="IN90" s="177"/>
      <c r="IO90" s="177"/>
      <c r="IP90" s="177"/>
      <c r="IQ90" s="177"/>
      <c r="IR90" s="177"/>
      <c r="IS90" s="177"/>
      <c r="IT90" s="177"/>
      <c r="IU90" s="177"/>
      <c r="IV90" s="177"/>
    </row>
    <row r="91" spans="1:256" x14ac:dyDescent="0.3">
      <c r="A91" s="190" t="s">
        <v>413</v>
      </c>
      <c r="B91" s="243">
        <f>э!B48</f>
        <v>-20.270821911941304</v>
      </c>
      <c r="C91" s="243">
        <f>э!C48</f>
        <v>13.141887622586646</v>
      </c>
      <c r="D91" s="243">
        <f>э!D48</f>
        <v>3.2126526197922138</v>
      </c>
      <c r="E91" s="243">
        <f>э!E48</f>
        <v>-12.760483385521956</v>
      </c>
      <c r="F91" s="243">
        <f>э!F48</f>
        <v>65.239371271331166</v>
      </c>
      <c r="G91" s="243">
        <f>э!G48</f>
        <v>-7.0769344561151417</v>
      </c>
      <c r="H91" s="177"/>
      <c r="I91" s="457" t="s">
        <v>472</v>
      </c>
      <c r="J91" s="458" t="s">
        <v>491</v>
      </c>
      <c r="K91" s="459"/>
      <c r="L91" s="459"/>
      <c r="M91" s="459"/>
      <c r="N91" s="459"/>
      <c r="O91" s="459"/>
      <c r="P91" s="459"/>
      <c r="Q91" s="459"/>
      <c r="R91" s="459"/>
      <c r="S91" s="459"/>
      <c r="T91" s="459"/>
      <c r="U91" s="459"/>
      <c r="V91" s="459"/>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7"/>
      <c r="AS91" s="177"/>
      <c r="AT91" s="177"/>
      <c r="AU91" s="177"/>
      <c r="AV91" s="177"/>
      <c r="AW91" s="177"/>
      <c r="AX91" s="177"/>
      <c r="AY91" s="177"/>
      <c r="AZ91" s="177"/>
      <c r="BA91" s="177"/>
      <c r="BB91" s="177"/>
      <c r="BC91" s="177"/>
      <c r="BD91" s="177"/>
      <c r="BE91" s="177"/>
      <c r="BF91" s="177"/>
      <c r="BG91" s="177"/>
      <c r="BH91" s="177"/>
      <c r="BI91" s="177"/>
      <c r="BJ91" s="177"/>
      <c r="BK91" s="177"/>
      <c r="BL91" s="177"/>
      <c r="BM91" s="177"/>
      <c r="BN91" s="177"/>
      <c r="BO91" s="177"/>
      <c r="BP91" s="177"/>
      <c r="BQ91" s="177"/>
      <c r="BR91" s="177"/>
      <c r="BS91" s="177"/>
      <c r="BT91" s="177"/>
      <c r="BU91" s="177"/>
      <c r="BV91" s="177"/>
      <c r="BW91" s="177"/>
      <c r="BX91" s="177"/>
      <c r="BY91" s="177"/>
      <c r="BZ91" s="177"/>
      <c r="CA91" s="177"/>
      <c r="CB91" s="177"/>
      <c r="CC91" s="177"/>
      <c r="CD91" s="177"/>
      <c r="CE91" s="177"/>
      <c r="CF91" s="177"/>
      <c r="CG91" s="177"/>
      <c r="CH91" s="177"/>
      <c r="CI91" s="177"/>
      <c r="CJ91" s="177"/>
      <c r="CK91" s="177"/>
      <c r="CL91" s="177"/>
      <c r="CM91" s="177"/>
      <c r="CN91" s="177"/>
      <c r="CO91" s="177"/>
      <c r="CP91" s="177"/>
      <c r="CQ91" s="177"/>
      <c r="CR91" s="177"/>
      <c r="CS91" s="177"/>
      <c r="CT91" s="177"/>
      <c r="CU91" s="177"/>
      <c r="CV91" s="177"/>
      <c r="CW91" s="177"/>
      <c r="CX91" s="177"/>
      <c r="CY91" s="177"/>
      <c r="CZ91" s="177"/>
      <c r="DA91" s="177"/>
      <c r="DB91" s="177"/>
      <c r="DC91" s="177"/>
      <c r="DD91" s="177"/>
      <c r="DE91" s="177"/>
      <c r="DF91" s="177"/>
      <c r="DG91" s="177"/>
      <c r="DH91" s="177"/>
      <c r="DI91" s="177"/>
      <c r="DJ91" s="177"/>
      <c r="DK91" s="177"/>
      <c r="DL91" s="177"/>
      <c r="DM91" s="177"/>
      <c r="DN91" s="177"/>
      <c r="DO91" s="177"/>
      <c r="DP91" s="177"/>
      <c r="DQ91" s="177"/>
      <c r="DR91" s="177"/>
      <c r="DS91" s="177"/>
      <c r="DT91" s="177"/>
      <c r="DU91" s="177"/>
      <c r="DV91" s="177"/>
      <c r="DW91" s="177"/>
      <c r="DX91" s="177"/>
      <c r="DY91" s="177"/>
      <c r="DZ91" s="177"/>
      <c r="EA91" s="177"/>
      <c r="EB91" s="177"/>
      <c r="EC91" s="177"/>
      <c r="ED91" s="177"/>
      <c r="EE91" s="177"/>
      <c r="EF91" s="177"/>
      <c r="EG91" s="177"/>
      <c r="EH91" s="177"/>
      <c r="EI91" s="177"/>
      <c r="EJ91" s="177"/>
      <c r="EK91" s="177"/>
      <c r="EL91" s="177"/>
      <c r="EM91" s="177"/>
      <c r="EN91" s="177"/>
      <c r="EO91" s="177"/>
      <c r="EP91" s="177"/>
      <c r="EQ91" s="177"/>
      <c r="ER91" s="177"/>
      <c r="ES91" s="177"/>
      <c r="ET91" s="177"/>
      <c r="EU91" s="177"/>
      <c r="EV91" s="177"/>
      <c r="EW91" s="177"/>
      <c r="EX91" s="177"/>
      <c r="EY91" s="177"/>
      <c r="EZ91" s="177"/>
      <c r="FA91" s="177"/>
      <c r="FB91" s="177"/>
      <c r="FC91" s="177"/>
      <c r="FD91" s="177"/>
      <c r="FE91" s="177"/>
      <c r="FF91" s="177"/>
      <c r="FG91" s="177"/>
      <c r="FH91" s="177"/>
      <c r="FI91" s="177"/>
      <c r="FJ91" s="177"/>
      <c r="FK91" s="177"/>
      <c r="FL91" s="177"/>
      <c r="FM91" s="177"/>
      <c r="FN91" s="177"/>
      <c r="FO91" s="177"/>
      <c r="FP91" s="177"/>
      <c r="FQ91" s="177"/>
      <c r="FR91" s="177"/>
      <c r="FS91" s="177"/>
      <c r="FT91" s="177"/>
      <c r="FU91" s="177"/>
      <c r="FV91" s="177"/>
      <c r="FW91" s="177"/>
      <c r="FX91" s="177"/>
      <c r="FY91" s="177"/>
      <c r="FZ91" s="177"/>
      <c r="GA91" s="177"/>
      <c r="GB91" s="177"/>
      <c r="GC91" s="177"/>
      <c r="GD91" s="177"/>
      <c r="GE91" s="177"/>
      <c r="GF91" s="177"/>
      <c r="GG91" s="177"/>
      <c r="GH91" s="177"/>
      <c r="GI91" s="177"/>
      <c r="GJ91" s="177"/>
      <c r="GK91" s="177"/>
      <c r="GL91" s="177"/>
      <c r="GM91" s="177"/>
      <c r="GN91" s="177"/>
      <c r="GO91" s="177"/>
      <c r="GP91" s="177"/>
      <c r="GQ91" s="177"/>
      <c r="GR91" s="177"/>
      <c r="GS91" s="177"/>
      <c r="GT91" s="177"/>
      <c r="GU91" s="177"/>
      <c r="GV91" s="177"/>
      <c r="GW91" s="177"/>
      <c r="GX91" s="177"/>
      <c r="GY91" s="177"/>
      <c r="GZ91" s="177"/>
      <c r="HA91" s="177"/>
      <c r="HB91" s="177"/>
      <c r="HC91" s="177"/>
      <c r="HD91" s="177"/>
      <c r="HE91" s="177"/>
      <c r="HF91" s="177"/>
      <c r="HG91" s="177"/>
      <c r="HH91" s="177"/>
      <c r="HI91" s="177"/>
      <c r="HJ91" s="177"/>
      <c r="HK91" s="177"/>
      <c r="HL91" s="177"/>
      <c r="HM91" s="177"/>
      <c r="HN91" s="177"/>
      <c r="HO91" s="177"/>
      <c r="HP91" s="177"/>
      <c r="HQ91" s="177"/>
      <c r="HR91" s="177"/>
      <c r="HS91" s="177"/>
      <c r="HT91" s="177"/>
      <c r="HU91" s="177"/>
      <c r="HV91" s="177"/>
      <c r="HW91" s="177"/>
      <c r="HX91" s="177"/>
      <c r="HY91" s="177"/>
      <c r="HZ91" s="177"/>
      <c r="IA91" s="177"/>
      <c r="IB91" s="177"/>
      <c r="IC91" s="177"/>
      <c r="ID91" s="177"/>
      <c r="IE91" s="177"/>
      <c r="IF91" s="177"/>
      <c r="IG91" s="177"/>
      <c r="IH91" s="177"/>
      <c r="II91" s="177"/>
      <c r="IJ91" s="177"/>
      <c r="IK91" s="177"/>
      <c r="IL91" s="177"/>
      <c r="IM91" s="177"/>
      <c r="IN91" s="177"/>
      <c r="IO91" s="177"/>
      <c r="IP91" s="177"/>
      <c r="IQ91" s="177"/>
      <c r="IR91" s="177"/>
      <c r="IS91" s="177"/>
      <c r="IT91" s="177"/>
      <c r="IU91" s="177"/>
      <c r="IV91" s="177"/>
    </row>
    <row r="92" spans="1:256" x14ac:dyDescent="0.3">
      <c r="A92" s="167" t="s">
        <v>492</v>
      </c>
      <c r="B92" s="244">
        <f>(B87/B86-C87/C86)/(C87/C86)*100</f>
        <v>-2.5356659548734557</v>
      </c>
      <c r="C92" s="244">
        <f t="shared" ref="C92:G92" si="106">(C87/C86-D87/D86)/(D87/D86)*100</f>
        <v>-47.93252991213194</v>
      </c>
      <c r="D92" s="244">
        <f t="shared" si="106"/>
        <v>4.6459866174752475</v>
      </c>
      <c r="E92" s="244">
        <f t="shared" si="106"/>
        <v>-5.7785880051766236</v>
      </c>
      <c r="F92" s="244">
        <f t="shared" si="106"/>
        <v>1231.3516455377621</v>
      </c>
      <c r="G92" s="244">
        <f t="shared" si="106"/>
        <v>-88.980779076611654</v>
      </c>
      <c r="H92" s="177"/>
      <c r="I92" s="457"/>
      <c r="J92" s="459"/>
      <c r="K92" s="459"/>
      <c r="L92" s="459"/>
      <c r="M92" s="459"/>
      <c r="N92" s="459"/>
      <c r="O92" s="459"/>
      <c r="P92" s="459"/>
      <c r="Q92" s="459"/>
      <c r="R92" s="459"/>
      <c r="S92" s="459"/>
      <c r="T92" s="459"/>
      <c r="U92" s="459"/>
      <c r="V92" s="459"/>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7"/>
      <c r="AW92" s="177"/>
      <c r="AX92" s="177"/>
      <c r="AY92" s="177"/>
      <c r="AZ92" s="177"/>
      <c r="BA92" s="177"/>
      <c r="BB92" s="177"/>
      <c r="BC92" s="177"/>
      <c r="BD92" s="177"/>
      <c r="BE92" s="177"/>
      <c r="BF92" s="177"/>
      <c r="BG92" s="177"/>
      <c r="BH92" s="177"/>
      <c r="BI92" s="177"/>
      <c r="BJ92" s="177"/>
      <c r="BK92" s="177"/>
      <c r="BL92" s="177"/>
      <c r="BM92" s="177"/>
      <c r="BN92" s="177"/>
      <c r="BO92" s="177"/>
      <c r="BP92" s="177"/>
      <c r="BQ92" s="177"/>
      <c r="BR92" s="177"/>
      <c r="BS92" s="177"/>
      <c r="BT92" s="177"/>
      <c r="BU92" s="177"/>
      <c r="BV92" s="177"/>
      <c r="BW92" s="177"/>
      <c r="BX92" s="177"/>
      <c r="BY92" s="177"/>
      <c r="BZ92" s="177"/>
      <c r="CA92" s="177"/>
      <c r="CB92" s="177"/>
      <c r="CC92" s="177"/>
      <c r="CD92" s="177"/>
      <c r="CE92" s="177"/>
      <c r="CF92" s="177"/>
      <c r="CG92" s="177"/>
      <c r="CH92" s="177"/>
      <c r="CI92" s="177"/>
      <c r="CJ92" s="177"/>
      <c r="CK92" s="177"/>
      <c r="CL92" s="177"/>
      <c r="CM92" s="177"/>
      <c r="CN92" s="177"/>
      <c r="CO92" s="177"/>
      <c r="CP92" s="177"/>
      <c r="CQ92" s="177"/>
      <c r="CR92" s="177"/>
      <c r="CS92" s="177"/>
      <c r="CT92" s="177"/>
      <c r="CU92" s="177"/>
      <c r="CV92" s="177"/>
      <c r="CW92" s="177"/>
      <c r="CX92" s="177"/>
      <c r="CY92" s="177"/>
      <c r="CZ92" s="177"/>
      <c r="DA92" s="177"/>
      <c r="DB92" s="177"/>
      <c r="DC92" s="177"/>
      <c r="DD92" s="177"/>
      <c r="DE92" s="177"/>
      <c r="DF92" s="177"/>
      <c r="DG92" s="177"/>
      <c r="DH92" s="177"/>
      <c r="DI92" s="177"/>
      <c r="DJ92" s="177"/>
      <c r="DK92" s="177"/>
      <c r="DL92" s="177"/>
      <c r="DM92" s="177"/>
      <c r="DN92" s="177"/>
      <c r="DO92" s="177"/>
      <c r="DP92" s="177"/>
      <c r="DQ92" s="177"/>
      <c r="DR92" s="177"/>
      <c r="DS92" s="177"/>
      <c r="DT92" s="177"/>
      <c r="DU92" s="177"/>
      <c r="DV92" s="177"/>
      <c r="DW92" s="177"/>
      <c r="DX92" s="177"/>
      <c r="DY92" s="177"/>
      <c r="DZ92" s="177"/>
      <c r="EA92" s="177"/>
      <c r="EB92" s="177"/>
      <c r="EC92" s="177"/>
      <c r="ED92" s="177"/>
      <c r="EE92" s="177"/>
      <c r="EF92" s="177"/>
      <c r="EG92" s="177"/>
      <c r="EH92" s="177"/>
      <c r="EI92" s="177"/>
      <c r="EJ92" s="177"/>
      <c r="EK92" s="177"/>
      <c r="EL92" s="177"/>
      <c r="EM92" s="177"/>
      <c r="EN92" s="177"/>
      <c r="EO92" s="177"/>
      <c r="EP92" s="177"/>
      <c r="EQ92" s="177"/>
      <c r="ER92" s="177"/>
      <c r="ES92" s="177"/>
      <c r="ET92" s="177"/>
      <c r="EU92" s="177"/>
      <c r="EV92" s="177"/>
      <c r="EW92" s="177"/>
      <c r="EX92" s="177"/>
      <c r="EY92" s="177"/>
      <c r="EZ92" s="177"/>
      <c r="FA92" s="177"/>
      <c r="FB92" s="177"/>
      <c r="FC92" s="177"/>
      <c r="FD92" s="177"/>
      <c r="FE92" s="177"/>
      <c r="FF92" s="177"/>
      <c r="FG92" s="177"/>
      <c r="FH92" s="177"/>
      <c r="FI92" s="177"/>
      <c r="FJ92" s="177"/>
      <c r="FK92" s="177"/>
      <c r="FL92" s="177"/>
      <c r="FM92" s="177"/>
      <c r="FN92" s="177"/>
      <c r="FO92" s="177"/>
      <c r="FP92" s="177"/>
      <c r="FQ92" s="177"/>
      <c r="FR92" s="177"/>
      <c r="FS92" s="177"/>
      <c r="FT92" s="177"/>
      <c r="FU92" s="177"/>
      <c r="FV92" s="177"/>
      <c r="FW92" s="177"/>
      <c r="FX92" s="177"/>
      <c r="FY92" s="177"/>
      <c r="FZ92" s="177"/>
      <c r="GA92" s="177"/>
      <c r="GB92" s="177"/>
      <c r="GC92" s="177"/>
      <c r="GD92" s="177"/>
      <c r="GE92" s="177"/>
      <c r="GF92" s="177"/>
      <c r="GG92" s="177"/>
      <c r="GH92" s="177"/>
      <c r="GI92" s="177"/>
      <c r="GJ92" s="177"/>
      <c r="GK92" s="177"/>
      <c r="GL92" s="177"/>
      <c r="GM92" s="177"/>
      <c r="GN92" s="177"/>
      <c r="GO92" s="177"/>
      <c r="GP92" s="177"/>
      <c r="GQ92" s="177"/>
      <c r="GR92" s="177"/>
      <c r="GS92" s="177"/>
      <c r="GT92" s="177"/>
      <c r="GU92" s="177"/>
      <c r="GV92" s="177"/>
      <c r="GW92" s="177"/>
      <c r="GX92" s="177"/>
      <c r="GY92" s="177"/>
      <c r="GZ92" s="177"/>
      <c r="HA92" s="177"/>
      <c r="HB92" s="177"/>
      <c r="HC92" s="177"/>
      <c r="HD92" s="177"/>
      <c r="HE92" s="177"/>
      <c r="HF92" s="177"/>
      <c r="HG92" s="177"/>
      <c r="HH92" s="177"/>
      <c r="HI92" s="177"/>
      <c r="HJ92" s="177"/>
      <c r="HK92" s="177"/>
      <c r="HL92" s="177"/>
      <c r="HM92" s="177"/>
      <c r="HN92" s="177"/>
      <c r="HO92" s="177"/>
      <c r="HP92" s="177"/>
      <c r="HQ92" s="177"/>
      <c r="HR92" s="177"/>
      <c r="HS92" s="177"/>
      <c r="HT92" s="177"/>
      <c r="HU92" s="177"/>
      <c r="HV92" s="177"/>
      <c r="HW92" s="177"/>
      <c r="HX92" s="177"/>
      <c r="HY92" s="177"/>
      <c r="HZ92" s="177"/>
      <c r="IA92" s="177"/>
      <c r="IB92" s="177"/>
      <c r="IC92" s="177"/>
      <c r="ID92" s="177"/>
      <c r="IE92" s="177"/>
      <c r="IF92" s="177"/>
      <c r="IG92" s="177"/>
      <c r="IH92" s="177"/>
      <c r="II92" s="177"/>
      <c r="IJ92" s="177"/>
      <c r="IK92" s="177"/>
      <c r="IL92" s="177"/>
      <c r="IM92" s="177"/>
      <c r="IN92" s="177"/>
      <c r="IO92" s="177"/>
      <c r="IP92" s="177"/>
      <c r="IQ92" s="177"/>
      <c r="IR92" s="177"/>
      <c r="IS92" s="177"/>
      <c r="IT92" s="177"/>
      <c r="IU92" s="177"/>
      <c r="IV92" s="177"/>
    </row>
    <row r="93" spans="1:256" ht="31.2" x14ac:dyDescent="0.3">
      <c r="A93" s="167" t="s">
        <v>493</v>
      </c>
      <c r="B93" s="245">
        <f>(('2'!C12/'2'!C19)-('2'!D12/'2'!D19))/('2'!D12/'2'!D19)*100</f>
        <v>-28.209041585380746</v>
      </c>
      <c r="C93" s="245">
        <f>(('2'!D12/'2'!D19)-('2'!E12/'2'!E19))/('2'!E12/'2'!E19)*100</f>
        <v>54.884160653412884</v>
      </c>
      <c r="D93" s="245">
        <f>(('2'!E12/'2'!E19)-('2'!F12/'2'!F19))/('2'!F12/'2'!F19)*100</f>
        <v>9.6931716024087962</v>
      </c>
      <c r="E93" s="245">
        <f>(('2'!F12/'2'!F19)-('2'!G12/'2'!G19))/('2'!G12/'2'!G19)*100</f>
        <v>-40.479995563378928</v>
      </c>
      <c r="F93" s="245">
        <f>(('2'!G12/'2'!G19)-('2'!H12/'2'!H19))/('2'!H12/'2'!H19)*100</f>
        <v>-85.888854750976094</v>
      </c>
      <c r="G93" s="245">
        <f>(('2'!H12/'2'!H19)-('2'!I12/'2'!I19))/('2'!I12/'2'!I19)*100</f>
        <v>724.64219945791433</v>
      </c>
      <c r="H93" s="177"/>
      <c r="I93" s="457"/>
      <c r="J93" s="459"/>
      <c r="K93" s="459"/>
      <c r="L93" s="459"/>
      <c r="M93" s="459"/>
      <c r="N93" s="459"/>
      <c r="O93" s="459"/>
      <c r="P93" s="459"/>
      <c r="Q93" s="459"/>
      <c r="R93" s="459"/>
      <c r="S93" s="459"/>
      <c r="T93" s="459"/>
      <c r="U93" s="459"/>
      <c r="V93" s="459"/>
      <c r="W93" s="177"/>
      <c r="X93" s="177"/>
      <c r="Y93" s="177"/>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7"/>
      <c r="AZ93" s="177"/>
      <c r="BA93" s="177"/>
      <c r="BB93" s="177"/>
      <c r="BC93" s="177"/>
      <c r="BD93" s="177"/>
      <c r="BE93" s="177"/>
      <c r="BF93" s="177"/>
      <c r="BG93" s="177"/>
      <c r="BH93" s="177"/>
      <c r="BI93" s="177"/>
      <c r="BJ93" s="177"/>
      <c r="BK93" s="177"/>
      <c r="BL93" s="177"/>
      <c r="BM93" s="177"/>
      <c r="BN93" s="177"/>
      <c r="BO93" s="177"/>
      <c r="BP93" s="177"/>
      <c r="BQ93" s="177"/>
      <c r="BR93" s="177"/>
      <c r="BS93" s="177"/>
      <c r="BT93" s="177"/>
      <c r="BU93" s="177"/>
      <c r="BV93" s="177"/>
      <c r="BW93" s="177"/>
      <c r="BX93" s="177"/>
      <c r="BY93" s="177"/>
      <c r="BZ93" s="177"/>
      <c r="CA93" s="177"/>
      <c r="CB93" s="177"/>
      <c r="CC93" s="177"/>
      <c r="CD93" s="177"/>
      <c r="CE93" s="177"/>
      <c r="CF93" s="177"/>
      <c r="CG93" s="177"/>
      <c r="CH93" s="177"/>
      <c r="CI93" s="177"/>
      <c r="CJ93" s="177"/>
      <c r="CK93" s="177"/>
      <c r="CL93" s="177"/>
      <c r="CM93" s="177"/>
      <c r="CN93" s="177"/>
      <c r="CO93" s="177"/>
      <c r="CP93" s="177"/>
      <c r="CQ93" s="177"/>
      <c r="CR93" s="177"/>
      <c r="CS93" s="177"/>
      <c r="CT93" s="177"/>
      <c r="CU93" s="177"/>
      <c r="CV93" s="177"/>
      <c r="CW93" s="177"/>
      <c r="CX93" s="177"/>
      <c r="CY93" s="177"/>
      <c r="CZ93" s="177"/>
      <c r="DA93" s="177"/>
      <c r="DB93" s="177"/>
      <c r="DC93" s="177"/>
      <c r="DD93" s="177"/>
      <c r="DE93" s="177"/>
      <c r="DF93" s="177"/>
      <c r="DG93" s="177"/>
      <c r="DH93" s="177"/>
      <c r="DI93" s="177"/>
      <c r="DJ93" s="177"/>
      <c r="DK93" s="177"/>
      <c r="DL93" s="177"/>
      <c r="DM93" s="177"/>
      <c r="DN93" s="177"/>
      <c r="DO93" s="177"/>
      <c r="DP93" s="177"/>
      <c r="DQ93" s="177"/>
      <c r="DR93" s="177"/>
      <c r="DS93" s="177"/>
      <c r="DT93" s="177"/>
      <c r="DU93" s="177"/>
      <c r="DV93" s="177"/>
      <c r="DW93" s="177"/>
      <c r="DX93" s="177"/>
      <c r="DY93" s="177"/>
      <c r="DZ93" s="177"/>
      <c r="EA93" s="177"/>
      <c r="EB93" s="177"/>
      <c r="EC93" s="177"/>
      <c r="ED93" s="177"/>
      <c r="EE93" s="177"/>
      <c r="EF93" s="177"/>
      <c r="EG93" s="177"/>
      <c r="EH93" s="177"/>
      <c r="EI93" s="177"/>
      <c r="EJ93" s="177"/>
      <c r="EK93" s="177"/>
      <c r="EL93" s="177"/>
      <c r="EM93" s="177"/>
      <c r="EN93" s="177"/>
      <c r="EO93" s="177"/>
      <c r="EP93" s="177"/>
      <c r="EQ93" s="177"/>
      <c r="ER93" s="177"/>
      <c r="ES93" s="177"/>
      <c r="ET93" s="177"/>
      <c r="EU93" s="177"/>
      <c r="EV93" s="177"/>
      <c r="EW93" s="177"/>
      <c r="EX93" s="177"/>
      <c r="EY93" s="177"/>
      <c r="EZ93" s="177"/>
      <c r="FA93" s="177"/>
      <c r="FB93" s="177"/>
      <c r="FC93" s="177"/>
      <c r="FD93" s="177"/>
      <c r="FE93" s="177"/>
      <c r="FF93" s="177"/>
      <c r="FG93" s="177"/>
      <c r="FH93" s="177"/>
      <c r="FI93" s="177"/>
      <c r="FJ93" s="177"/>
      <c r="FK93" s="177"/>
      <c r="FL93" s="177"/>
      <c r="FM93" s="177"/>
      <c r="FN93" s="177"/>
      <c r="FO93" s="177"/>
      <c r="FP93" s="177"/>
      <c r="FQ93" s="177"/>
      <c r="FR93" s="177"/>
      <c r="FS93" s="177"/>
      <c r="FT93" s="177"/>
      <c r="FU93" s="177"/>
      <c r="FV93" s="177"/>
      <c r="FW93" s="177"/>
      <c r="FX93" s="177"/>
      <c r="FY93" s="177"/>
      <c r="FZ93" s="177"/>
      <c r="GA93" s="177"/>
      <c r="GB93" s="177"/>
      <c r="GC93" s="177"/>
      <c r="GD93" s="177"/>
      <c r="GE93" s="177"/>
      <c r="GF93" s="177"/>
      <c r="GG93" s="177"/>
      <c r="GH93" s="177"/>
      <c r="GI93" s="177"/>
      <c r="GJ93" s="177"/>
      <c r="GK93" s="177"/>
      <c r="GL93" s="177"/>
      <c r="GM93" s="177"/>
      <c r="GN93" s="177"/>
      <c r="GO93" s="177"/>
      <c r="GP93" s="177"/>
      <c r="GQ93" s="177"/>
      <c r="GR93" s="177"/>
      <c r="GS93" s="177"/>
      <c r="GT93" s="177"/>
      <c r="GU93" s="177"/>
      <c r="GV93" s="177"/>
      <c r="GW93" s="177"/>
      <c r="GX93" s="177"/>
      <c r="GY93" s="177"/>
      <c r="GZ93" s="177"/>
      <c r="HA93" s="177"/>
      <c r="HB93" s="177"/>
      <c r="HC93" s="177"/>
      <c r="HD93" s="177"/>
      <c r="HE93" s="177"/>
      <c r="HF93" s="177"/>
      <c r="HG93" s="177"/>
      <c r="HH93" s="177"/>
      <c r="HI93" s="177"/>
      <c r="HJ93" s="177"/>
      <c r="HK93" s="177"/>
      <c r="HL93" s="177"/>
      <c r="HM93" s="177"/>
      <c r="HN93" s="177"/>
      <c r="HO93" s="177"/>
      <c r="HP93" s="177"/>
      <c r="HQ93" s="177"/>
      <c r="HR93" s="177"/>
      <c r="HS93" s="177"/>
      <c r="HT93" s="177"/>
      <c r="HU93" s="177"/>
      <c r="HV93" s="177"/>
      <c r="HW93" s="177"/>
      <c r="HX93" s="177"/>
      <c r="HY93" s="177"/>
      <c r="HZ93" s="177"/>
      <c r="IA93" s="177"/>
      <c r="IB93" s="177"/>
      <c r="IC93" s="177"/>
      <c r="ID93" s="177"/>
      <c r="IE93" s="177"/>
      <c r="IF93" s="177"/>
      <c r="IG93" s="177"/>
      <c r="IH93" s="177"/>
      <c r="II93" s="177"/>
      <c r="IJ93" s="177"/>
      <c r="IK93" s="177"/>
      <c r="IL93" s="177"/>
      <c r="IM93" s="177"/>
      <c r="IN93" s="177"/>
      <c r="IO93" s="177"/>
      <c r="IP93" s="177"/>
      <c r="IQ93" s="177"/>
      <c r="IR93" s="177"/>
      <c r="IS93" s="177"/>
      <c r="IT93" s="177"/>
      <c r="IU93" s="177"/>
      <c r="IV93" s="177"/>
    </row>
    <row r="94" spans="1:256" ht="46.8" x14ac:dyDescent="0.3">
      <c r="A94" s="190" t="s">
        <v>494</v>
      </c>
      <c r="B94" s="26">
        <f>(бс!C19-бс!C46)-(бс!D19-бс!D46)</f>
        <v>-2394681</v>
      </c>
      <c r="C94" s="26">
        <f>(бс!D19-бс!D46)-(бс!E19-бс!E46)</f>
        <v>187662.5</v>
      </c>
      <c r="D94" s="26">
        <f>(бс!E19-бс!E46)-(бс!F19-бс!F46)</f>
        <v>-376449</v>
      </c>
      <c r="E94" s="26">
        <f>(бс!F19-бс!F46)-(бс!G19-бс!G46)</f>
        <v>-1425982.5</v>
      </c>
      <c r="F94" s="26">
        <f>(бс!G19-бс!G46)-(бс!H19-бс!H46)</f>
        <v>-648843</v>
      </c>
      <c r="G94" s="26">
        <f>(бс!H19-бс!H46)-(бс!I19-бс!I46)</f>
        <v>192623.5</v>
      </c>
      <c r="H94" s="177"/>
      <c r="I94" s="457"/>
      <c r="J94" s="459"/>
      <c r="K94" s="459"/>
      <c r="L94" s="459"/>
      <c r="M94" s="459"/>
      <c r="N94" s="459"/>
      <c r="O94" s="459"/>
      <c r="P94" s="459"/>
      <c r="Q94" s="459"/>
      <c r="R94" s="459"/>
      <c r="S94" s="459"/>
      <c r="T94" s="459"/>
      <c r="U94" s="459"/>
      <c r="V94" s="459"/>
      <c r="W94" s="177"/>
      <c r="X94" s="177"/>
      <c r="Y94" s="177"/>
      <c r="Z94" s="177"/>
      <c r="AA94" s="177"/>
      <c r="AB94" s="177"/>
      <c r="AC94" s="177"/>
      <c r="AD94" s="177"/>
      <c r="AE94" s="177"/>
      <c r="AF94" s="177"/>
      <c r="AG94" s="177"/>
      <c r="AH94" s="177"/>
      <c r="AI94" s="177"/>
      <c r="AJ94" s="177"/>
      <c r="AK94" s="177"/>
      <c r="AL94" s="177"/>
      <c r="AM94" s="177"/>
      <c r="AN94" s="177"/>
      <c r="AO94" s="177"/>
      <c r="AP94" s="177"/>
      <c r="AQ94" s="177"/>
      <c r="AR94" s="177"/>
      <c r="AS94" s="177"/>
      <c r="AT94" s="177"/>
      <c r="AU94" s="177"/>
      <c r="AV94" s="177"/>
      <c r="AW94" s="177"/>
      <c r="AX94" s="177"/>
      <c r="AY94" s="177"/>
      <c r="AZ94" s="177"/>
      <c r="BA94" s="177"/>
      <c r="BB94" s="177"/>
      <c r="BC94" s="177"/>
      <c r="BD94" s="177"/>
      <c r="BE94" s="177"/>
      <c r="BF94" s="177"/>
      <c r="BG94" s="177"/>
      <c r="BH94" s="177"/>
      <c r="BI94" s="177"/>
      <c r="BJ94" s="177"/>
      <c r="BK94" s="177"/>
      <c r="BL94" s="177"/>
      <c r="BM94" s="177"/>
      <c r="BN94" s="177"/>
      <c r="BO94" s="177"/>
      <c r="BP94" s="177"/>
      <c r="BQ94" s="177"/>
      <c r="BR94" s="177"/>
      <c r="BS94" s="177"/>
      <c r="BT94" s="177"/>
      <c r="BU94" s="177"/>
      <c r="BV94" s="177"/>
      <c r="BW94" s="177"/>
      <c r="BX94" s="177"/>
      <c r="BY94" s="177"/>
      <c r="BZ94" s="177"/>
      <c r="CA94" s="177"/>
      <c r="CB94" s="177"/>
      <c r="CC94" s="177"/>
      <c r="CD94" s="177"/>
      <c r="CE94" s="177"/>
      <c r="CF94" s="177"/>
      <c r="CG94" s="177"/>
      <c r="CH94" s="177"/>
      <c r="CI94" s="177"/>
      <c r="CJ94" s="177"/>
      <c r="CK94" s="177"/>
      <c r="CL94" s="177"/>
      <c r="CM94" s="177"/>
      <c r="CN94" s="177"/>
      <c r="CO94" s="177"/>
      <c r="CP94" s="177"/>
      <c r="CQ94" s="177"/>
      <c r="CR94" s="177"/>
      <c r="CS94" s="177"/>
      <c r="CT94" s="177"/>
      <c r="CU94" s="177"/>
      <c r="CV94" s="177"/>
      <c r="CW94" s="177"/>
      <c r="CX94" s="177"/>
      <c r="CY94" s="177"/>
      <c r="CZ94" s="177"/>
      <c r="DA94" s="177"/>
      <c r="DB94" s="177"/>
      <c r="DC94" s="177"/>
      <c r="DD94" s="177"/>
      <c r="DE94" s="177"/>
      <c r="DF94" s="177"/>
      <c r="DG94" s="177"/>
      <c r="DH94" s="177"/>
      <c r="DI94" s="177"/>
      <c r="DJ94" s="177"/>
      <c r="DK94" s="177"/>
      <c r="DL94" s="177"/>
      <c r="DM94" s="177"/>
      <c r="DN94" s="177"/>
      <c r="DO94" s="177"/>
      <c r="DP94" s="177"/>
      <c r="DQ94" s="177"/>
      <c r="DR94" s="177"/>
      <c r="DS94" s="177"/>
      <c r="DT94" s="177"/>
      <c r="DU94" s="177"/>
      <c r="DV94" s="177"/>
      <c r="DW94" s="177"/>
      <c r="DX94" s="177"/>
      <c r="DY94" s="177"/>
      <c r="DZ94" s="177"/>
      <c r="EA94" s="177"/>
      <c r="EB94" s="177"/>
      <c r="EC94" s="177"/>
      <c r="ED94" s="177"/>
      <c r="EE94" s="177"/>
      <c r="EF94" s="177"/>
      <c r="EG94" s="177"/>
      <c r="EH94" s="177"/>
      <c r="EI94" s="177"/>
      <c r="EJ94" s="177"/>
      <c r="EK94" s="177"/>
      <c r="EL94" s="177"/>
      <c r="EM94" s="177"/>
      <c r="EN94" s="177"/>
      <c r="EO94" s="177"/>
      <c r="EP94" s="177"/>
      <c r="EQ94" s="177"/>
      <c r="ER94" s="177"/>
      <c r="ES94" s="177"/>
      <c r="ET94" s="177"/>
      <c r="EU94" s="177"/>
      <c r="EV94" s="177"/>
      <c r="EW94" s="177"/>
      <c r="EX94" s="177"/>
      <c r="EY94" s="177"/>
      <c r="EZ94" s="177"/>
      <c r="FA94" s="177"/>
      <c r="FB94" s="177"/>
      <c r="FC94" s="177"/>
      <c r="FD94" s="177"/>
      <c r="FE94" s="177"/>
      <c r="FF94" s="177"/>
      <c r="FG94" s="177"/>
      <c r="FH94" s="177"/>
      <c r="FI94" s="177"/>
      <c r="FJ94" s="177"/>
      <c r="FK94" s="177"/>
      <c r="FL94" s="177"/>
      <c r="FM94" s="177"/>
      <c r="FN94" s="177"/>
      <c r="FO94" s="177"/>
      <c r="FP94" s="177"/>
      <c r="FQ94" s="177"/>
      <c r="FR94" s="177"/>
      <c r="FS94" s="177"/>
      <c r="FT94" s="177"/>
      <c r="FU94" s="177"/>
      <c r="FV94" s="177"/>
      <c r="FW94" s="177"/>
      <c r="FX94" s="177"/>
      <c r="FY94" s="177"/>
      <c r="FZ94" s="177"/>
      <c r="GA94" s="177"/>
      <c r="GB94" s="177"/>
      <c r="GC94" s="177"/>
      <c r="GD94" s="177"/>
      <c r="GE94" s="177"/>
      <c r="GF94" s="177"/>
      <c r="GG94" s="177"/>
      <c r="GH94" s="177"/>
      <c r="GI94" s="177"/>
      <c r="GJ94" s="177"/>
      <c r="GK94" s="177"/>
      <c r="GL94" s="177"/>
      <c r="GM94" s="177"/>
      <c r="GN94" s="177"/>
      <c r="GO94" s="177"/>
      <c r="GP94" s="177"/>
      <c r="GQ94" s="177"/>
      <c r="GR94" s="177"/>
      <c r="GS94" s="177"/>
      <c r="GT94" s="177"/>
      <c r="GU94" s="177"/>
      <c r="GV94" s="177"/>
      <c r="GW94" s="177"/>
      <c r="GX94" s="177"/>
      <c r="GY94" s="177"/>
      <c r="GZ94" s="177"/>
      <c r="HA94" s="177"/>
      <c r="HB94" s="177"/>
      <c r="HC94" s="177"/>
      <c r="HD94" s="177"/>
      <c r="HE94" s="177"/>
      <c r="HF94" s="177"/>
      <c r="HG94" s="177"/>
      <c r="HH94" s="177"/>
      <c r="HI94" s="177"/>
      <c r="HJ94" s="177"/>
      <c r="HK94" s="177"/>
      <c r="HL94" s="177"/>
      <c r="HM94" s="177"/>
      <c r="HN94" s="177"/>
      <c r="HO94" s="177"/>
      <c r="HP94" s="177"/>
      <c r="HQ94" s="177"/>
      <c r="HR94" s="177"/>
      <c r="HS94" s="177"/>
      <c r="HT94" s="177"/>
      <c r="HU94" s="177"/>
      <c r="HV94" s="177"/>
      <c r="HW94" s="177"/>
      <c r="HX94" s="177"/>
      <c r="HY94" s="177"/>
      <c r="HZ94" s="177"/>
      <c r="IA94" s="177"/>
      <c r="IB94" s="177"/>
      <c r="IC94" s="177"/>
      <c r="ID94" s="177"/>
      <c r="IE94" s="177"/>
      <c r="IF94" s="177"/>
      <c r="IG94" s="177"/>
      <c r="IH94" s="177"/>
      <c r="II94" s="177"/>
      <c r="IJ94" s="177"/>
      <c r="IK94" s="177"/>
      <c r="IL94" s="177"/>
      <c r="IM94" s="177"/>
      <c r="IN94" s="177"/>
      <c r="IO94" s="177"/>
      <c r="IP94" s="177"/>
      <c r="IQ94" s="177"/>
      <c r="IR94" s="177"/>
      <c r="IS94" s="177"/>
      <c r="IT94" s="177"/>
      <c r="IU94" s="177"/>
      <c r="IV94" s="177"/>
    </row>
    <row r="95" spans="1:256" x14ac:dyDescent="0.3">
      <c r="A95" s="246"/>
      <c r="B95" s="177"/>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c r="AU95" s="177"/>
      <c r="AV95" s="177"/>
      <c r="AW95" s="177"/>
      <c r="AX95" s="177"/>
      <c r="AY95" s="177"/>
      <c r="AZ95" s="177"/>
      <c r="BA95" s="177"/>
      <c r="BB95" s="177"/>
      <c r="BC95" s="177"/>
      <c r="BD95" s="177"/>
      <c r="BE95" s="177"/>
      <c r="BF95" s="177"/>
      <c r="BG95" s="177"/>
      <c r="BH95" s="177"/>
      <c r="BI95" s="177"/>
      <c r="BJ95" s="177"/>
      <c r="BK95" s="177"/>
      <c r="BL95" s="177"/>
      <c r="BM95" s="177"/>
      <c r="BN95" s="177"/>
      <c r="BO95" s="177"/>
      <c r="BP95" s="177"/>
      <c r="BQ95" s="177"/>
      <c r="BR95" s="177"/>
      <c r="BS95" s="177"/>
      <c r="BT95" s="177"/>
      <c r="BU95" s="177"/>
      <c r="BV95" s="177"/>
      <c r="BW95" s="177"/>
      <c r="BX95" s="177"/>
      <c r="BY95" s="177"/>
      <c r="BZ95" s="177"/>
      <c r="CA95" s="177"/>
      <c r="CB95" s="177"/>
      <c r="CC95" s="177"/>
      <c r="CD95" s="177"/>
      <c r="CE95" s="177"/>
      <c r="CF95" s="177"/>
      <c r="CG95" s="177"/>
      <c r="CH95" s="177"/>
      <c r="CI95" s="177"/>
      <c r="CJ95" s="177"/>
      <c r="CK95" s="177"/>
      <c r="CL95" s="177"/>
      <c r="CM95" s="177"/>
      <c r="CN95" s="177"/>
      <c r="CO95" s="177"/>
      <c r="CP95" s="177"/>
      <c r="CQ95" s="177"/>
      <c r="CR95" s="177"/>
      <c r="CS95" s="177"/>
      <c r="CT95" s="177"/>
      <c r="CU95" s="177"/>
      <c r="CV95" s="177"/>
      <c r="CW95" s="177"/>
      <c r="CX95" s="177"/>
      <c r="CY95" s="177"/>
      <c r="CZ95" s="177"/>
      <c r="DA95" s="177"/>
      <c r="DB95" s="177"/>
      <c r="DC95" s="177"/>
      <c r="DD95" s="177"/>
      <c r="DE95" s="177"/>
      <c r="DF95" s="177"/>
      <c r="DG95" s="177"/>
      <c r="DH95" s="177"/>
      <c r="DI95" s="177"/>
      <c r="DJ95" s="177"/>
      <c r="DK95" s="177"/>
      <c r="DL95" s="177"/>
      <c r="DM95" s="177"/>
      <c r="DN95" s="177"/>
      <c r="DO95" s="177"/>
      <c r="DP95" s="177"/>
      <c r="DQ95" s="177"/>
      <c r="DR95" s="177"/>
      <c r="DS95" s="177"/>
      <c r="DT95" s="177"/>
      <c r="DU95" s="177"/>
      <c r="DV95" s="177"/>
      <c r="DW95" s="177"/>
      <c r="DX95" s="177"/>
      <c r="DY95" s="177"/>
      <c r="DZ95" s="177"/>
      <c r="EA95" s="177"/>
      <c r="EB95" s="177"/>
      <c r="EC95" s="177"/>
      <c r="ED95" s="177"/>
      <c r="EE95" s="177"/>
      <c r="EF95" s="177"/>
      <c r="EG95" s="177"/>
      <c r="EH95" s="177"/>
      <c r="EI95" s="177"/>
      <c r="EJ95" s="177"/>
      <c r="EK95" s="177"/>
      <c r="EL95" s="177"/>
      <c r="EM95" s="177"/>
      <c r="EN95" s="177"/>
      <c r="EO95" s="177"/>
      <c r="EP95" s="177"/>
      <c r="EQ95" s="177"/>
      <c r="ER95" s="177"/>
      <c r="ES95" s="177"/>
      <c r="ET95" s="177"/>
      <c r="EU95" s="177"/>
      <c r="EV95" s="177"/>
      <c r="EW95" s="177"/>
      <c r="EX95" s="177"/>
      <c r="EY95" s="177"/>
      <c r="EZ95" s="177"/>
      <c r="FA95" s="177"/>
      <c r="FB95" s="177"/>
      <c r="FC95" s="177"/>
      <c r="FD95" s="177"/>
      <c r="FE95" s="177"/>
      <c r="FF95" s="177"/>
      <c r="FG95" s="177"/>
      <c r="FH95" s="177"/>
      <c r="FI95" s="177"/>
      <c r="FJ95" s="177"/>
      <c r="FK95" s="177"/>
      <c r="FL95" s="177"/>
      <c r="FM95" s="177"/>
      <c r="FN95" s="177"/>
      <c r="FO95" s="177"/>
      <c r="FP95" s="177"/>
      <c r="FQ95" s="177"/>
      <c r="FR95" s="177"/>
      <c r="FS95" s="177"/>
      <c r="FT95" s="177"/>
      <c r="FU95" s="177"/>
      <c r="FV95" s="177"/>
      <c r="FW95" s="177"/>
      <c r="FX95" s="177"/>
      <c r="FY95" s="177"/>
      <c r="FZ95" s="177"/>
      <c r="GA95" s="177"/>
      <c r="GB95" s="177"/>
      <c r="GC95" s="177"/>
      <c r="GD95" s="177"/>
      <c r="GE95" s="177"/>
      <c r="GF95" s="177"/>
      <c r="GG95" s="177"/>
      <c r="GH95" s="177"/>
      <c r="GI95" s="177"/>
      <c r="GJ95" s="177"/>
      <c r="GK95" s="177"/>
      <c r="GL95" s="177"/>
      <c r="GM95" s="177"/>
      <c r="GN95" s="177"/>
      <c r="GO95" s="177"/>
      <c r="GP95" s="177"/>
      <c r="GQ95" s="177"/>
      <c r="GR95" s="177"/>
      <c r="GS95" s="177"/>
      <c r="GT95" s="177"/>
      <c r="GU95" s="177"/>
      <c r="GV95" s="177"/>
      <c r="GW95" s="177"/>
      <c r="GX95" s="177"/>
      <c r="GY95" s="177"/>
      <c r="GZ95" s="177"/>
      <c r="HA95" s="177"/>
      <c r="HB95" s="177"/>
      <c r="HC95" s="177"/>
      <c r="HD95" s="177"/>
      <c r="HE95" s="177"/>
      <c r="HF95" s="177"/>
      <c r="HG95" s="177"/>
      <c r="HH95" s="177"/>
      <c r="HI95" s="177"/>
      <c r="HJ95" s="177"/>
      <c r="HK95" s="177"/>
      <c r="HL95" s="177"/>
      <c r="HM95" s="177"/>
      <c r="HN95" s="177"/>
      <c r="HO95" s="177"/>
      <c r="HP95" s="177"/>
      <c r="HQ95" s="177"/>
      <c r="HR95" s="177"/>
      <c r="HS95" s="177"/>
      <c r="HT95" s="177"/>
      <c r="HU95" s="177"/>
      <c r="HV95" s="177"/>
      <c r="HW95" s="177"/>
      <c r="HX95" s="177"/>
      <c r="HY95" s="177"/>
      <c r="HZ95" s="177"/>
      <c r="IA95" s="177"/>
      <c r="IB95" s="177"/>
      <c r="IC95" s="177"/>
      <c r="ID95" s="177"/>
      <c r="IE95" s="177"/>
      <c r="IF95" s="177"/>
      <c r="IG95" s="177"/>
      <c r="IH95" s="177"/>
      <c r="II95" s="177"/>
      <c r="IJ95" s="177"/>
      <c r="IK95" s="177"/>
      <c r="IL95" s="177"/>
      <c r="IM95" s="177"/>
      <c r="IN95" s="177"/>
      <c r="IO95" s="177"/>
      <c r="IP95" s="177"/>
      <c r="IQ95" s="177"/>
      <c r="IR95" s="177"/>
      <c r="IS95" s="177"/>
      <c r="IT95" s="177"/>
      <c r="IU95" s="177"/>
      <c r="IV95" s="177"/>
    </row>
    <row r="96" spans="1:256" x14ac:dyDescent="0.3">
      <c r="A96" s="186" t="s">
        <v>495</v>
      </c>
      <c r="B96" s="177"/>
      <c r="C96" s="177"/>
      <c r="D96" s="177"/>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c r="AK96" s="177"/>
      <c r="AL96" s="177"/>
      <c r="AM96" s="177"/>
      <c r="AN96" s="177"/>
      <c r="AO96" s="177"/>
      <c r="AP96" s="177"/>
      <c r="AQ96" s="177"/>
      <c r="AR96" s="177"/>
      <c r="AS96" s="177"/>
      <c r="AT96" s="177"/>
      <c r="AU96" s="177"/>
      <c r="AV96" s="177"/>
      <c r="AW96" s="177"/>
      <c r="AX96" s="177"/>
      <c r="AY96" s="177"/>
      <c r="AZ96" s="177"/>
      <c r="BA96" s="177"/>
      <c r="BB96" s="177"/>
      <c r="BC96" s="177"/>
      <c r="BD96" s="177"/>
      <c r="BE96" s="177"/>
      <c r="BF96" s="177"/>
      <c r="BG96" s="177"/>
      <c r="BH96" s="177"/>
      <c r="BI96" s="177"/>
      <c r="BJ96" s="177"/>
      <c r="BK96" s="177"/>
      <c r="BL96" s="177"/>
      <c r="BM96" s="177"/>
      <c r="BN96" s="177"/>
      <c r="BO96" s="177"/>
      <c r="BP96" s="177"/>
      <c r="BQ96" s="177"/>
      <c r="BR96" s="177"/>
      <c r="BS96" s="177"/>
      <c r="BT96" s="177"/>
      <c r="BU96" s="177"/>
      <c r="BV96" s="177"/>
      <c r="BW96" s="177"/>
      <c r="BX96" s="177"/>
      <c r="BY96" s="177"/>
      <c r="BZ96" s="177"/>
      <c r="CA96" s="177"/>
      <c r="CB96" s="177"/>
      <c r="CC96" s="177"/>
      <c r="CD96" s="177"/>
      <c r="CE96" s="177"/>
      <c r="CF96" s="177"/>
      <c r="CG96" s="177"/>
      <c r="CH96" s="177"/>
      <c r="CI96" s="177"/>
      <c r="CJ96" s="177"/>
      <c r="CK96" s="177"/>
      <c r="CL96" s="177"/>
      <c r="CM96" s="177"/>
      <c r="CN96" s="177"/>
      <c r="CO96" s="177"/>
      <c r="CP96" s="177"/>
      <c r="CQ96" s="177"/>
      <c r="CR96" s="177"/>
      <c r="CS96" s="177"/>
      <c r="CT96" s="177"/>
      <c r="CU96" s="177"/>
      <c r="CV96" s="177"/>
      <c r="CW96" s="177"/>
      <c r="CX96" s="177"/>
      <c r="CY96" s="177"/>
      <c r="CZ96" s="177"/>
      <c r="DA96" s="177"/>
      <c r="DB96" s="177"/>
      <c r="DC96" s="177"/>
      <c r="DD96" s="177"/>
      <c r="DE96" s="177"/>
      <c r="DF96" s="177"/>
      <c r="DG96" s="177"/>
      <c r="DH96" s="177"/>
      <c r="DI96" s="177"/>
      <c r="DJ96" s="177"/>
      <c r="DK96" s="177"/>
      <c r="DL96" s="177"/>
      <c r="DM96" s="177"/>
      <c r="DN96" s="177"/>
      <c r="DO96" s="177"/>
      <c r="DP96" s="177"/>
      <c r="DQ96" s="177"/>
      <c r="DR96" s="177"/>
      <c r="DS96" s="177"/>
      <c r="DT96" s="177"/>
      <c r="DU96" s="177"/>
      <c r="DV96" s="177"/>
      <c r="DW96" s="177"/>
      <c r="DX96" s="177"/>
      <c r="DY96" s="177"/>
      <c r="DZ96" s="177"/>
      <c r="EA96" s="177"/>
      <c r="EB96" s="177"/>
      <c r="EC96" s="177"/>
      <c r="ED96" s="177"/>
      <c r="EE96" s="177"/>
      <c r="EF96" s="177"/>
      <c r="EG96" s="177"/>
      <c r="EH96" s="177"/>
      <c r="EI96" s="177"/>
      <c r="EJ96" s="177"/>
      <c r="EK96" s="177"/>
      <c r="EL96" s="177"/>
      <c r="EM96" s="177"/>
      <c r="EN96" s="177"/>
      <c r="EO96" s="177"/>
      <c r="EP96" s="177"/>
      <c r="EQ96" s="177"/>
      <c r="ER96" s="177"/>
      <c r="ES96" s="177"/>
      <c r="ET96" s="177"/>
      <c r="EU96" s="177"/>
      <c r="EV96" s="177"/>
      <c r="EW96" s="177"/>
      <c r="EX96" s="177"/>
      <c r="EY96" s="177"/>
      <c r="EZ96" s="177"/>
      <c r="FA96" s="177"/>
      <c r="FB96" s="177"/>
      <c r="FC96" s="177"/>
      <c r="FD96" s="177"/>
      <c r="FE96" s="177"/>
      <c r="FF96" s="177"/>
      <c r="FG96" s="177"/>
      <c r="FH96" s="177"/>
      <c r="FI96" s="177"/>
      <c r="FJ96" s="177"/>
      <c r="FK96" s="177"/>
      <c r="FL96" s="177"/>
      <c r="FM96" s="177"/>
      <c r="FN96" s="177"/>
      <c r="FO96" s="177"/>
      <c r="FP96" s="177"/>
      <c r="FQ96" s="177"/>
      <c r="FR96" s="177"/>
      <c r="FS96" s="177"/>
      <c r="FT96" s="177"/>
      <c r="FU96" s="177"/>
      <c r="FV96" s="177"/>
      <c r="FW96" s="177"/>
      <c r="FX96" s="177"/>
      <c r="FY96" s="177"/>
      <c r="FZ96" s="177"/>
      <c r="GA96" s="177"/>
      <c r="GB96" s="177"/>
      <c r="GC96" s="177"/>
      <c r="GD96" s="177"/>
      <c r="GE96" s="177"/>
      <c r="GF96" s="177"/>
      <c r="GG96" s="177"/>
      <c r="GH96" s="177"/>
      <c r="GI96" s="177"/>
      <c r="GJ96" s="177"/>
      <c r="GK96" s="177"/>
      <c r="GL96" s="177"/>
      <c r="GM96" s="177"/>
      <c r="GN96" s="177"/>
      <c r="GO96" s="177"/>
      <c r="GP96" s="177"/>
      <c r="GQ96" s="177"/>
      <c r="GR96" s="177"/>
      <c r="GS96" s="177"/>
      <c r="GT96" s="177"/>
      <c r="GU96" s="177"/>
      <c r="GV96" s="177"/>
      <c r="GW96" s="177"/>
      <c r="GX96" s="177"/>
      <c r="GY96" s="177"/>
      <c r="GZ96" s="177"/>
      <c r="HA96" s="177"/>
      <c r="HB96" s="177"/>
      <c r="HC96" s="177"/>
      <c r="HD96" s="177"/>
      <c r="HE96" s="177"/>
      <c r="HF96" s="177"/>
      <c r="HG96" s="177"/>
      <c r="HH96" s="177"/>
      <c r="HI96" s="177"/>
      <c r="HJ96" s="177"/>
      <c r="HK96" s="177"/>
      <c r="HL96" s="177"/>
      <c r="HM96" s="177"/>
      <c r="HN96" s="177"/>
      <c r="HO96" s="177"/>
      <c r="HP96" s="177"/>
      <c r="HQ96" s="177"/>
      <c r="HR96" s="177"/>
      <c r="HS96" s="177"/>
      <c r="HT96" s="177"/>
      <c r="HU96" s="177"/>
      <c r="HV96" s="177"/>
      <c r="HW96" s="177"/>
      <c r="HX96" s="177"/>
      <c r="HY96" s="177"/>
      <c r="HZ96" s="177"/>
      <c r="IA96" s="177"/>
      <c r="IB96" s="177"/>
      <c r="IC96" s="177"/>
      <c r="ID96" s="177"/>
      <c r="IE96" s="177"/>
      <c r="IF96" s="177"/>
      <c r="IG96" s="177"/>
      <c r="IH96" s="177"/>
      <c r="II96" s="177"/>
      <c r="IJ96" s="177"/>
      <c r="IK96" s="177"/>
      <c r="IL96" s="177"/>
      <c r="IM96" s="177"/>
      <c r="IN96" s="177"/>
      <c r="IO96" s="177"/>
      <c r="IP96" s="177"/>
      <c r="IQ96" s="177"/>
      <c r="IR96" s="177"/>
      <c r="IS96" s="177"/>
      <c r="IT96" s="177"/>
      <c r="IU96" s="177"/>
      <c r="IV96" s="177"/>
    </row>
    <row r="97" spans="1:256" x14ac:dyDescent="0.3">
      <c r="A97" s="164" t="s">
        <v>177</v>
      </c>
      <c r="B97" s="164" t="str">
        <f t="shared" ref="B97:H97" si="107">B84</f>
        <v>2019 год</v>
      </c>
      <c r="C97" s="164" t="str">
        <f t="shared" si="107"/>
        <v>2018 год</v>
      </c>
      <c r="D97" s="164" t="str">
        <f t="shared" si="107"/>
        <v>2017 год</v>
      </c>
      <c r="E97" s="164" t="str">
        <f t="shared" si="107"/>
        <v>2016 год</v>
      </c>
      <c r="F97" s="164" t="str">
        <f t="shared" si="107"/>
        <v>2015 год</v>
      </c>
      <c r="G97" s="164" t="str">
        <f t="shared" si="107"/>
        <v>2014 год</v>
      </c>
      <c r="H97" s="164" t="str">
        <f t="shared" si="107"/>
        <v>2013 год</v>
      </c>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7"/>
      <c r="AT97" s="177"/>
      <c r="AU97" s="177"/>
      <c r="AV97" s="177"/>
      <c r="AW97" s="177"/>
      <c r="AX97" s="177"/>
      <c r="AY97" s="177"/>
      <c r="AZ97" s="177"/>
      <c r="BA97" s="177"/>
      <c r="BB97" s="177"/>
      <c r="BC97" s="177"/>
      <c r="BD97" s="177"/>
      <c r="BE97" s="177"/>
      <c r="BF97" s="177"/>
      <c r="BG97" s="177"/>
      <c r="BH97" s="177"/>
      <c r="BI97" s="177"/>
      <c r="BJ97" s="177"/>
      <c r="BK97" s="177"/>
      <c r="BL97" s="177"/>
      <c r="BM97" s="177"/>
      <c r="BN97" s="177"/>
      <c r="BO97" s="177"/>
      <c r="BP97" s="177"/>
      <c r="BQ97" s="177"/>
      <c r="BR97" s="177"/>
      <c r="BS97" s="177"/>
      <c r="BT97" s="177"/>
      <c r="BU97" s="177"/>
      <c r="BV97" s="177"/>
      <c r="BW97" s="177"/>
      <c r="BX97" s="177"/>
      <c r="BY97" s="177"/>
      <c r="BZ97" s="177"/>
      <c r="CA97" s="177"/>
      <c r="CB97" s="177"/>
      <c r="CC97" s="177"/>
      <c r="CD97" s="177"/>
      <c r="CE97" s="177"/>
      <c r="CF97" s="177"/>
      <c r="CG97" s="177"/>
      <c r="CH97" s="177"/>
      <c r="CI97" s="177"/>
      <c r="CJ97" s="177"/>
      <c r="CK97" s="177"/>
      <c r="CL97" s="177"/>
      <c r="CM97" s="177"/>
      <c r="CN97" s="177"/>
      <c r="CO97" s="177"/>
      <c r="CP97" s="177"/>
      <c r="CQ97" s="177"/>
      <c r="CR97" s="177"/>
      <c r="CS97" s="177"/>
      <c r="CT97" s="177"/>
      <c r="CU97" s="177"/>
      <c r="CV97" s="177"/>
      <c r="CW97" s="177"/>
      <c r="CX97" s="177"/>
      <c r="CY97" s="177"/>
      <c r="CZ97" s="177"/>
      <c r="DA97" s="177"/>
      <c r="DB97" s="177"/>
      <c r="DC97" s="177"/>
      <c r="DD97" s="177"/>
      <c r="DE97" s="177"/>
      <c r="DF97" s="177"/>
      <c r="DG97" s="177"/>
      <c r="DH97" s="177"/>
      <c r="DI97" s="177"/>
      <c r="DJ97" s="177"/>
      <c r="DK97" s="177"/>
      <c r="DL97" s="177"/>
      <c r="DM97" s="177"/>
      <c r="DN97" s="177"/>
      <c r="DO97" s="177"/>
      <c r="DP97" s="177"/>
      <c r="DQ97" s="177"/>
      <c r="DR97" s="177"/>
      <c r="DS97" s="177"/>
      <c r="DT97" s="177"/>
      <c r="DU97" s="177"/>
      <c r="DV97" s="177"/>
      <c r="DW97" s="177"/>
      <c r="DX97" s="177"/>
      <c r="DY97" s="177"/>
      <c r="DZ97" s="177"/>
      <c r="EA97" s="177"/>
      <c r="EB97" s="177"/>
      <c r="EC97" s="177"/>
      <c r="ED97" s="177"/>
      <c r="EE97" s="177"/>
      <c r="EF97" s="177"/>
      <c r="EG97" s="177"/>
      <c r="EH97" s="177"/>
      <c r="EI97" s="177"/>
      <c r="EJ97" s="177"/>
      <c r="EK97" s="177"/>
      <c r="EL97" s="177"/>
      <c r="EM97" s="177"/>
      <c r="EN97" s="177"/>
      <c r="EO97" s="177"/>
      <c r="EP97" s="177"/>
      <c r="EQ97" s="177"/>
      <c r="ER97" s="177"/>
      <c r="ES97" s="177"/>
      <c r="ET97" s="177"/>
      <c r="EU97" s="177"/>
      <c r="EV97" s="177"/>
      <c r="EW97" s="177"/>
      <c r="EX97" s="177"/>
      <c r="EY97" s="177"/>
      <c r="EZ97" s="177"/>
      <c r="FA97" s="177"/>
      <c r="FB97" s="177"/>
      <c r="FC97" s="177"/>
      <c r="FD97" s="177"/>
      <c r="FE97" s="177"/>
      <c r="FF97" s="177"/>
      <c r="FG97" s="177"/>
      <c r="FH97" s="177"/>
      <c r="FI97" s="177"/>
      <c r="FJ97" s="177"/>
      <c r="FK97" s="177"/>
      <c r="FL97" s="177"/>
      <c r="FM97" s="177"/>
      <c r="FN97" s="177"/>
      <c r="FO97" s="177"/>
      <c r="FP97" s="177"/>
      <c r="FQ97" s="177"/>
      <c r="FR97" s="177"/>
      <c r="FS97" s="177"/>
      <c r="FT97" s="177"/>
      <c r="FU97" s="177"/>
      <c r="FV97" s="177"/>
      <c r="FW97" s="177"/>
      <c r="FX97" s="177"/>
      <c r="FY97" s="177"/>
      <c r="FZ97" s="177"/>
      <c r="GA97" s="177"/>
      <c r="GB97" s="177"/>
      <c r="GC97" s="177"/>
      <c r="GD97" s="177"/>
      <c r="GE97" s="177"/>
      <c r="GF97" s="177"/>
      <c r="GG97" s="177"/>
      <c r="GH97" s="177"/>
      <c r="GI97" s="177"/>
      <c r="GJ97" s="177"/>
      <c r="GK97" s="177"/>
      <c r="GL97" s="177"/>
      <c r="GM97" s="177"/>
      <c r="GN97" s="177"/>
      <c r="GO97" s="177"/>
      <c r="GP97" s="177"/>
      <c r="GQ97" s="177"/>
      <c r="GR97" s="177"/>
      <c r="GS97" s="177"/>
      <c r="GT97" s="177"/>
      <c r="GU97" s="177"/>
      <c r="GV97" s="177"/>
      <c r="GW97" s="177"/>
      <c r="GX97" s="177"/>
      <c r="GY97" s="177"/>
      <c r="GZ97" s="177"/>
      <c r="HA97" s="177"/>
      <c r="HB97" s="177"/>
      <c r="HC97" s="177"/>
      <c r="HD97" s="177"/>
      <c r="HE97" s="177"/>
      <c r="HF97" s="177"/>
      <c r="HG97" s="177"/>
      <c r="HH97" s="177"/>
      <c r="HI97" s="177"/>
      <c r="HJ97" s="177"/>
      <c r="HK97" s="177"/>
      <c r="HL97" s="177"/>
      <c r="HM97" s="177"/>
      <c r="HN97" s="177"/>
      <c r="HO97" s="177"/>
      <c r="HP97" s="177"/>
      <c r="HQ97" s="177"/>
      <c r="HR97" s="177"/>
      <c r="HS97" s="177"/>
      <c r="HT97" s="177"/>
      <c r="HU97" s="177"/>
      <c r="HV97" s="177"/>
      <c r="HW97" s="177"/>
      <c r="HX97" s="177"/>
      <c r="HY97" s="177"/>
      <c r="HZ97" s="177"/>
      <c r="IA97" s="177"/>
      <c r="IB97" s="177"/>
      <c r="IC97" s="177"/>
      <c r="ID97" s="177"/>
      <c r="IE97" s="177"/>
      <c r="IF97" s="177"/>
      <c r="IG97" s="177"/>
      <c r="IH97" s="177"/>
      <c r="II97" s="177"/>
      <c r="IJ97" s="177"/>
      <c r="IK97" s="177"/>
      <c r="IL97" s="177"/>
      <c r="IM97" s="177"/>
      <c r="IN97" s="177"/>
      <c r="IO97" s="177"/>
      <c r="IP97" s="177"/>
      <c r="IQ97" s="177"/>
      <c r="IR97" s="177"/>
      <c r="IS97" s="177"/>
      <c r="IT97" s="177"/>
      <c r="IU97" s="177"/>
      <c r="IV97" s="177"/>
    </row>
    <row r="98" spans="1:256" x14ac:dyDescent="0.3">
      <c r="A98" s="190" t="s">
        <v>496</v>
      </c>
      <c r="B98" s="245">
        <f>(бс!C15/бс!C26)*100</f>
        <v>35.267471461004583</v>
      </c>
      <c r="C98" s="245">
        <f>(бс!D15/бс!D26)*100</f>
        <v>33.792259717240952</v>
      </c>
      <c r="D98" s="244">
        <f>(бс!E15/бс!E26)*100</f>
        <v>25.813783430025065</v>
      </c>
      <c r="E98" s="244">
        <f>(бс!F15/бс!F26)*100</f>
        <v>18.032819047434391</v>
      </c>
      <c r="F98" s="244">
        <f>(бс!G15/бс!G26)*100</f>
        <v>22.483484416137383</v>
      </c>
      <c r="G98" s="244">
        <f>(бс!H15/бс!H26)*100</f>
        <v>34.24077715579476</v>
      </c>
      <c r="H98" s="244">
        <f>(бс!I15/бс!I26)*100</f>
        <v>55.308873767138145</v>
      </c>
      <c r="I98" s="395" t="s">
        <v>472</v>
      </c>
      <c r="J98" s="458" t="s">
        <v>497</v>
      </c>
      <c r="K98" s="459"/>
      <c r="L98" s="459"/>
      <c r="M98" s="459"/>
      <c r="N98" s="459"/>
      <c r="O98" s="459"/>
      <c r="P98" s="459"/>
      <c r="Q98" s="459"/>
      <c r="R98" s="459"/>
      <c r="S98" s="459"/>
      <c r="T98" s="459"/>
      <c r="U98" s="459"/>
      <c r="V98" s="459"/>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c r="AU98" s="177"/>
      <c r="AV98" s="177"/>
      <c r="AW98" s="177"/>
      <c r="AX98" s="177"/>
      <c r="AY98" s="177"/>
      <c r="AZ98" s="177"/>
      <c r="BA98" s="177"/>
      <c r="BB98" s="177"/>
      <c r="BC98" s="177"/>
      <c r="BD98" s="177"/>
      <c r="BE98" s="177"/>
      <c r="BF98" s="177"/>
      <c r="BG98" s="177"/>
      <c r="BH98" s="177"/>
      <c r="BI98" s="177"/>
      <c r="BJ98" s="177"/>
      <c r="BK98" s="177"/>
      <c r="BL98" s="177"/>
      <c r="BM98" s="177"/>
      <c r="BN98" s="177"/>
      <c r="BO98" s="177"/>
      <c r="BP98" s="177"/>
      <c r="BQ98" s="177"/>
      <c r="BR98" s="177"/>
      <c r="BS98" s="177"/>
      <c r="BT98" s="177"/>
      <c r="BU98" s="177"/>
      <c r="BV98" s="177"/>
      <c r="BW98" s="177"/>
      <c r="BX98" s="177"/>
      <c r="BY98" s="177"/>
      <c r="BZ98" s="177"/>
      <c r="CA98" s="177"/>
      <c r="CB98" s="177"/>
      <c r="CC98" s="177"/>
      <c r="CD98" s="177"/>
      <c r="CE98" s="177"/>
      <c r="CF98" s="177"/>
      <c r="CG98" s="177"/>
      <c r="CH98" s="177"/>
      <c r="CI98" s="177"/>
      <c r="CJ98" s="177"/>
      <c r="CK98" s="177"/>
      <c r="CL98" s="177"/>
      <c r="CM98" s="177"/>
      <c r="CN98" s="177"/>
      <c r="CO98" s="177"/>
      <c r="CP98" s="177"/>
      <c r="CQ98" s="177"/>
      <c r="CR98" s="177"/>
      <c r="CS98" s="177"/>
      <c r="CT98" s="177"/>
      <c r="CU98" s="177"/>
      <c r="CV98" s="177"/>
      <c r="CW98" s="177"/>
      <c r="CX98" s="177"/>
      <c r="CY98" s="177"/>
      <c r="CZ98" s="177"/>
      <c r="DA98" s="177"/>
      <c r="DB98" s="177"/>
      <c r="DC98" s="177"/>
      <c r="DD98" s="177"/>
      <c r="DE98" s="177"/>
      <c r="DF98" s="177"/>
      <c r="DG98" s="177"/>
      <c r="DH98" s="177"/>
      <c r="DI98" s="177"/>
      <c r="DJ98" s="177"/>
      <c r="DK98" s="177"/>
      <c r="DL98" s="177"/>
      <c r="DM98" s="177"/>
      <c r="DN98" s="177"/>
      <c r="DO98" s="177"/>
      <c r="DP98" s="177"/>
      <c r="DQ98" s="177"/>
      <c r="DR98" s="177"/>
      <c r="DS98" s="177"/>
      <c r="DT98" s="177"/>
      <c r="DU98" s="177"/>
      <c r="DV98" s="177"/>
      <c r="DW98" s="177"/>
      <c r="DX98" s="177"/>
      <c r="DY98" s="177"/>
      <c r="DZ98" s="177"/>
      <c r="EA98" s="177"/>
      <c r="EB98" s="177"/>
      <c r="EC98" s="177"/>
      <c r="ED98" s="177"/>
      <c r="EE98" s="177"/>
      <c r="EF98" s="177"/>
      <c r="EG98" s="177"/>
      <c r="EH98" s="177"/>
      <c r="EI98" s="177"/>
      <c r="EJ98" s="177"/>
      <c r="EK98" s="177"/>
      <c r="EL98" s="177"/>
      <c r="EM98" s="177"/>
      <c r="EN98" s="177"/>
      <c r="EO98" s="177"/>
      <c r="EP98" s="177"/>
      <c r="EQ98" s="177"/>
      <c r="ER98" s="177"/>
      <c r="ES98" s="177"/>
      <c r="ET98" s="177"/>
      <c r="EU98" s="177"/>
      <c r="EV98" s="177"/>
      <c r="EW98" s="177"/>
      <c r="EX98" s="177"/>
      <c r="EY98" s="177"/>
      <c r="EZ98" s="177"/>
      <c r="FA98" s="177"/>
      <c r="FB98" s="177"/>
      <c r="FC98" s="177"/>
      <c r="FD98" s="177"/>
      <c r="FE98" s="177"/>
      <c r="FF98" s="177"/>
      <c r="FG98" s="177"/>
      <c r="FH98" s="177"/>
      <c r="FI98" s="177"/>
      <c r="FJ98" s="177"/>
      <c r="FK98" s="177"/>
      <c r="FL98" s="177"/>
      <c r="FM98" s="177"/>
      <c r="FN98" s="177"/>
      <c r="FO98" s="177"/>
      <c r="FP98" s="177"/>
      <c r="FQ98" s="177"/>
      <c r="FR98" s="177"/>
      <c r="FS98" s="177"/>
      <c r="FT98" s="177"/>
      <c r="FU98" s="177"/>
      <c r="FV98" s="177"/>
      <c r="FW98" s="177"/>
      <c r="FX98" s="177"/>
      <c r="FY98" s="177"/>
      <c r="FZ98" s="177"/>
      <c r="GA98" s="177"/>
      <c r="GB98" s="177"/>
      <c r="GC98" s="177"/>
      <c r="GD98" s="177"/>
      <c r="GE98" s="177"/>
      <c r="GF98" s="177"/>
      <c r="GG98" s="177"/>
      <c r="GH98" s="177"/>
      <c r="GI98" s="177"/>
      <c r="GJ98" s="177"/>
      <c r="GK98" s="177"/>
      <c r="GL98" s="177"/>
      <c r="GM98" s="177"/>
      <c r="GN98" s="177"/>
      <c r="GO98" s="177"/>
      <c r="GP98" s="177"/>
      <c r="GQ98" s="177"/>
      <c r="GR98" s="177"/>
      <c r="GS98" s="177"/>
      <c r="GT98" s="177"/>
      <c r="GU98" s="177"/>
      <c r="GV98" s="177"/>
      <c r="GW98" s="177"/>
      <c r="GX98" s="177"/>
      <c r="GY98" s="177"/>
      <c r="GZ98" s="177"/>
      <c r="HA98" s="177"/>
      <c r="HB98" s="177"/>
      <c r="HC98" s="177"/>
      <c r="HD98" s="177"/>
      <c r="HE98" s="177"/>
      <c r="HF98" s="177"/>
      <c r="HG98" s="177"/>
      <c r="HH98" s="177"/>
      <c r="HI98" s="177"/>
      <c r="HJ98" s="177"/>
      <c r="HK98" s="177"/>
      <c r="HL98" s="177"/>
      <c r="HM98" s="177"/>
      <c r="HN98" s="177"/>
      <c r="HO98" s="177"/>
      <c r="HP98" s="177"/>
      <c r="HQ98" s="177"/>
      <c r="HR98" s="177"/>
      <c r="HS98" s="177"/>
      <c r="HT98" s="177"/>
      <c r="HU98" s="177"/>
      <c r="HV98" s="177"/>
      <c r="HW98" s="177"/>
      <c r="HX98" s="177"/>
      <c r="HY98" s="177"/>
      <c r="HZ98" s="177"/>
      <c r="IA98" s="177"/>
      <c r="IB98" s="177"/>
      <c r="IC98" s="177"/>
      <c r="ID98" s="177"/>
      <c r="IE98" s="177"/>
      <c r="IF98" s="177"/>
      <c r="IG98" s="177"/>
      <c r="IH98" s="177"/>
      <c r="II98" s="177"/>
      <c r="IJ98" s="177"/>
      <c r="IK98" s="177"/>
      <c r="IL98" s="177"/>
      <c r="IM98" s="177"/>
      <c r="IN98" s="177"/>
      <c r="IO98" s="177"/>
      <c r="IP98" s="177"/>
      <c r="IQ98" s="177"/>
      <c r="IR98" s="177"/>
      <c r="IS98" s="177"/>
      <c r="IT98" s="177"/>
      <c r="IU98" s="177"/>
      <c r="IV98" s="177"/>
    </row>
    <row r="99" spans="1:256" x14ac:dyDescent="0.3">
      <c r="A99" s="190" t="s">
        <v>498</v>
      </c>
      <c r="B99" s="243">
        <f>(бс!C15-бс!D15)/бс!D15*100</f>
        <v>1.3025923869312386</v>
      </c>
      <c r="C99" s="243">
        <f>(бс!D15-бс!E15)/бс!E15*100</f>
        <v>19.084556012264322</v>
      </c>
      <c r="D99" s="247">
        <f>(бс!E15-бс!F15)/бс!F15*100</f>
        <v>44.280209212176693</v>
      </c>
      <c r="E99" s="247">
        <f>(бс!F15-бс!G15)/бс!G15*100</f>
        <v>-9.8169650933615422</v>
      </c>
      <c r="F99" s="247">
        <f>(бс!G15-бс!H15)/бс!H15*100</f>
        <v>-20.447390488669797</v>
      </c>
      <c r="G99" s="247">
        <f>(бс!H15-бс!I15)/бс!I15*100</f>
        <v>-21.744323057627092</v>
      </c>
      <c r="H99" s="248" t="s">
        <v>108</v>
      </c>
      <c r="I99" s="395"/>
      <c r="J99" s="459"/>
      <c r="K99" s="459"/>
      <c r="L99" s="459"/>
      <c r="M99" s="459"/>
      <c r="N99" s="459"/>
      <c r="O99" s="459"/>
      <c r="P99" s="459"/>
      <c r="Q99" s="459"/>
      <c r="R99" s="459"/>
      <c r="S99" s="459"/>
      <c r="T99" s="459"/>
      <c r="U99" s="459"/>
      <c r="V99" s="459"/>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c r="AT99" s="177"/>
      <c r="AU99" s="177"/>
      <c r="AV99" s="177"/>
      <c r="AW99" s="177"/>
      <c r="AX99" s="177"/>
      <c r="AY99" s="177"/>
      <c r="AZ99" s="177"/>
      <c r="BA99" s="177"/>
      <c r="BB99" s="177"/>
      <c r="BC99" s="177"/>
      <c r="BD99" s="177"/>
      <c r="BE99" s="177"/>
      <c r="BF99" s="177"/>
      <c r="BG99" s="177"/>
      <c r="BH99" s="177"/>
      <c r="BI99" s="177"/>
      <c r="BJ99" s="177"/>
      <c r="BK99" s="177"/>
      <c r="BL99" s="177"/>
      <c r="BM99" s="177"/>
      <c r="BN99" s="177"/>
      <c r="BO99" s="177"/>
      <c r="BP99" s="177"/>
      <c r="BQ99" s="177"/>
      <c r="BR99" s="177"/>
      <c r="BS99" s="177"/>
      <c r="BT99" s="177"/>
      <c r="BU99" s="177"/>
      <c r="BV99" s="177"/>
      <c r="BW99" s="177"/>
      <c r="BX99" s="177"/>
      <c r="BY99" s="177"/>
      <c r="BZ99" s="177"/>
      <c r="CA99" s="177"/>
      <c r="CB99" s="177"/>
      <c r="CC99" s="177"/>
      <c r="CD99" s="177"/>
      <c r="CE99" s="177"/>
      <c r="CF99" s="177"/>
      <c r="CG99" s="177"/>
      <c r="CH99" s="177"/>
      <c r="CI99" s="177"/>
      <c r="CJ99" s="177"/>
      <c r="CK99" s="177"/>
      <c r="CL99" s="177"/>
      <c r="CM99" s="177"/>
      <c r="CN99" s="177"/>
      <c r="CO99" s="177"/>
      <c r="CP99" s="177"/>
      <c r="CQ99" s="177"/>
      <c r="CR99" s="177"/>
      <c r="CS99" s="177"/>
      <c r="CT99" s="177"/>
      <c r="CU99" s="177"/>
      <c r="CV99" s="177"/>
      <c r="CW99" s="177"/>
      <c r="CX99" s="177"/>
      <c r="CY99" s="177"/>
      <c r="CZ99" s="177"/>
      <c r="DA99" s="177"/>
      <c r="DB99" s="177"/>
      <c r="DC99" s="177"/>
      <c r="DD99" s="177"/>
      <c r="DE99" s="177"/>
      <c r="DF99" s="177"/>
      <c r="DG99" s="177"/>
      <c r="DH99" s="177"/>
      <c r="DI99" s="177"/>
      <c r="DJ99" s="177"/>
      <c r="DK99" s="177"/>
      <c r="DL99" s="177"/>
      <c r="DM99" s="177"/>
      <c r="DN99" s="177"/>
      <c r="DO99" s="177"/>
      <c r="DP99" s="177"/>
      <c r="DQ99" s="177"/>
      <c r="DR99" s="177"/>
      <c r="DS99" s="177"/>
      <c r="DT99" s="177"/>
      <c r="DU99" s="177"/>
      <c r="DV99" s="177"/>
      <c r="DW99" s="177"/>
      <c r="DX99" s="177"/>
      <c r="DY99" s="177"/>
      <c r="DZ99" s="177"/>
      <c r="EA99" s="177"/>
      <c r="EB99" s="177"/>
      <c r="EC99" s="177"/>
      <c r="ED99" s="177"/>
      <c r="EE99" s="177"/>
      <c r="EF99" s="177"/>
      <c r="EG99" s="177"/>
      <c r="EH99" s="177"/>
      <c r="EI99" s="177"/>
      <c r="EJ99" s="177"/>
      <c r="EK99" s="177"/>
      <c r="EL99" s="177"/>
      <c r="EM99" s="177"/>
      <c r="EN99" s="177"/>
      <c r="EO99" s="177"/>
      <c r="EP99" s="177"/>
      <c r="EQ99" s="177"/>
      <c r="ER99" s="177"/>
      <c r="ES99" s="177"/>
      <c r="ET99" s="177"/>
      <c r="EU99" s="177"/>
      <c r="EV99" s="177"/>
      <c r="EW99" s="177"/>
      <c r="EX99" s="177"/>
      <c r="EY99" s="177"/>
      <c r="EZ99" s="177"/>
      <c r="FA99" s="177"/>
      <c r="FB99" s="177"/>
      <c r="FC99" s="177"/>
      <c r="FD99" s="177"/>
      <c r="FE99" s="177"/>
      <c r="FF99" s="177"/>
      <c r="FG99" s="177"/>
      <c r="FH99" s="177"/>
      <c r="FI99" s="177"/>
      <c r="FJ99" s="177"/>
      <c r="FK99" s="177"/>
      <c r="FL99" s="177"/>
      <c r="FM99" s="177"/>
      <c r="FN99" s="177"/>
      <c r="FO99" s="177"/>
      <c r="FP99" s="177"/>
      <c r="FQ99" s="177"/>
      <c r="FR99" s="177"/>
      <c r="FS99" s="177"/>
      <c r="FT99" s="177"/>
      <c r="FU99" s="177"/>
      <c r="FV99" s="177"/>
      <c r="FW99" s="177"/>
      <c r="FX99" s="177"/>
      <c r="FY99" s="177"/>
      <c r="FZ99" s="177"/>
      <c r="GA99" s="177"/>
      <c r="GB99" s="177"/>
      <c r="GC99" s="177"/>
      <c r="GD99" s="177"/>
      <c r="GE99" s="177"/>
      <c r="GF99" s="177"/>
      <c r="GG99" s="177"/>
      <c r="GH99" s="177"/>
      <c r="GI99" s="177"/>
      <c r="GJ99" s="177"/>
      <c r="GK99" s="177"/>
      <c r="GL99" s="177"/>
      <c r="GM99" s="177"/>
      <c r="GN99" s="177"/>
      <c r="GO99" s="177"/>
      <c r="GP99" s="177"/>
      <c r="GQ99" s="177"/>
      <c r="GR99" s="177"/>
      <c r="GS99" s="177"/>
      <c r="GT99" s="177"/>
      <c r="GU99" s="177"/>
      <c r="GV99" s="177"/>
      <c r="GW99" s="177"/>
      <c r="GX99" s="177"/>
      <c r="GY99" s="177"/>
      <c r="GZ99" s="177"/>
      <c r="HA99" s="177"/>
      <c r="HB99" s="177"/>
      <c r="HC99" s="177"/>
      <c r="HD99" s="177"/>
      <c r="HE99" s="177"/>
      <c r="HF99" s="177"/>
      <c r="HG99" s="177"/>
      <c r="HH99" s="177"/>
      <c r="HI99" s="177"/>
      <c r="HJ99" s="177"/>
      <c r="HK99" s="177"/>
      <c r="HL99" s="177"/>
      <c r="HM99" s="177"/>
      <c r="HN99" s="177"/>
      <c r="HO99" s="177"/>
      <c r="HP99" s="177"/>
      <c r="HQ99" s="177"/>
      <c r="HR99" s="177"/>
      <c r="HS99" s="177"/>
      <c r="HT99" s="177"/>
      <c r="HU99" s="177"/>
      <c r="HV99" s="177"/>
      <c r="HW99" s="177"/>
      <c r="HX99" s="177"/>
      <c r="HY99" s="177"/>
      <c r="HZ99" s="177"/>
      <c r="IA99" s="177"/>
      <c r="IB99" s="177"/>
      <c r="IC99" s="177"/>
      <c r="ID99" s="177"/>
      <c r="IE99" s="177"/>
      <c r="IF99" s="177"/>
      <c r="IG99" s="177"/>
      <c r="IH99" s="177"/>
      <c r="II99" s="177"/>
      <c r="IJ99" s="177"/>
      <c r="IK99" s="177"/>
      <c r="IL99" s="177"/>
      <c r="IM99" s="177"/>
      <c r="IN99" s="177"/>
      <c r="IO99" s="177"/>
      <c r="IP99" s="177"/>
      <c r="IQ99" s="177"/>
      <c r="IR99" s="177"/>
      <c r="IS99" s="177"/>
      <c r="IT99" s="177"/>
      <c r="IU99" s="177"/>
      <c r="IV99" s="177"/>
    </row>
    <row r="100" spans="1:256" x14ac:dyDescent="0.3">
      <c r="A100" s="167" t="s">
        <v>499</v>
      </c>
      <c r="B100" s="243">
        <f>(483446/'1'!C10)</f>
        <v>6.0409734963449591E-2</v>
      </c>
      <c r="C100" s="243">
        <f>(454549/'1'!D10)</f>
        <v>0.11852411790535572</v>
      </c>
      <c r="D100" s="247">
        <f>(686654/'1'!E10)</f>
        <v>0.17634388719604194</v>
      </c>
      <c r="E100" s="247">
        <f>(1026821/'1'!F10)</f>
        <v>0.26046750779953343</v>
      </c>
      <c r="F100" s="247">
        <f>(369348/'1'!G10)</f>
        <v>9.6381781957055268E-2</v>
      </c>
      <c r="G100" s="247">
        <f>(563412/'1'!H10)</f>
        <v>0.14282270361117766</v>
      </c>
      <c r="H100" s="247">
        <f>(618745/'1'!I10)</f>
        <v>0.17326677221907033</v>
      </c>
      <c r="I100" s="395"/>
      <c r="J100" s="459"/>
      <c r="K100" s="459"/>
      <c r="L100" s="459"/>
      <c r="M100" s="459"/>
      <c r="N100" s="459"/>
      <c r="O100" s="459"/>
      <c r="P100" s="459"/>
      <c r="Q100" s="459"/>
      <c r="R100" s="459"/>
      <c r="S100" s="459"/>
      <c r="T100" s="459"/>
      <c r="U100" s="459"/>
      <c r="V100" s="459"/>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c r="AU100" s="177"/>
      <c r="AV100" s="177"/>
      <c r="AW100" s="177"/>
      <c r="AX100" s="177"/>
      <c r="AY100" s="177"/>
      <c r="AZ100" s="177"/>
      <c r="BA100" s="177"/>
      <c r="BB100" s="177"/>
      <c r="BC100" s="177"/>
      <c r="BD100" s="177"/>
      <c r="BE100" s="177"/>
      <c r="BF100" s="177"/>
      <c r="BG100" s="177"/>
      <c r="BH100" s="177"/>
      <c r="BI100" s="177"/>
      <c r="BJ100" s="177"/>
      <c r="BK100" s="177"/>
      <c r="BL100" s="177"/>
      <c r="BM100" s="177"/>
      <c r="BN100" s="177"/>
      <c r="BO100" s="177"/>
      <c r="BP100" s="177"/>
      <c r="BQ100" s="177"/>
      <c r="BR100" s="177"/>
      <c r="BS100" s="177"/>
      <c r="BT100" s="177"/>
      <c r="BU100" s="177"/>
      <c r="BV100" s="177"/>
      <c r="BW100" s="177"/>
      <c r="BX100" s="177"/>
      <c r="BY100" s="177"/>
      <c r="BZ100" s="177"/>
      <c r="CA100" s="177"/>
      <c r="CB100" s="177"/>
      <c r="CC100" s="177"/>
      <c r="CD100" s="177"/>
      <c r="CE100" s="177"/>
      <c r="CF100" s="177"/>
      <c r="CG100" s="177"/>
      <c r="CH100" s="177"/>
      <c r="CI100" s="177"/>
      <c r="CJ100" s="177"/>
      <c r="CK100" s="177"/>
      <c r="CL100" s="177"/>
      <c r="CM100" s="177"/>
      <c r="CN100" s="177"/>
      <c r="CO100" s="177"/>
      <c r="CP100" s="177"/>
      <c r="CQ100" s="177"/>
      <c r="CR100" s="177"/>
      <c r="CS100" s="177"/>
      <c r="CT100" s="177"/>
      <c r="CU100" s="177"/>
      <c r="CV100" s="177"/>
      <c r="CW100" s="177"/>
      <c r="CX100" s="177"/>
      <c r="CY100" s="177"/>
      <c r="CZ100" s="177"/>
      <c r="DA100" s="177"/>
      <c r="DB100" s="177"/>
      <c r="DC100" s="177"/>
      <c r="DD100" s="177"/>
      <c r="DE100" s="177"/>
      <c r="DF100" s="177"/>
      <c r="DG100" s="177"/>
      <c r="DH100" s="177"/>
      <c r="DI100" s="177"/>
      <c r="DJ100" s="177"/>
      <c r="DK100" s="177"/>
      <c r="DL100" s="177"/>
      <c r="DM100" s="177"/>
      <c r="DN100" s="177"/>
      <c r="DO100" s="177"/>
      <c r="DP100" s="177"/>
      <c r="DQ100" s="177"/>
      <c r="DR100" s="177"/>
      <c r="DS100" s="177"/>
      <c r="DT100" s="177"/>
      <c r="DU100" s="177"/>
      <c r="DV100" s="177"/>
      <c r="DW100" s="177"/>
      <c r="DX100" s="177"/>
      <c r="DY100" s="177"/>
      <c r="DZ100" s="177"/>
      <c r="EA100" s="177"/>
      <c r="EB100" s="177"/>
      <c r="EC100" s="177"/>
      <c r="ED100" s="177"/>
      <c r="EE100" s="177"/>
      <c r="EF100" s="177"/>
      <c r="EG100" s="177"/>
      <c r="EH100" s="177"/>
      <c r="EI100" s="177"/>
      <c r="EJ100" s="177"/>
      <c r="EK100" s="177"/>
      <c r="EL100" s="177"/>
      <c r="EM100" s="177"/>
      <c r="EN100" s="177"/>
      <c r="EO100" s="177"/>
      <c r="EP100" s="177"/>
      <c r="EQ100" s="177"/>
      <c r="ER100" s="177"/>
      <c r="ES100" s="177"/>
      <c r="ET100" s="177"/>
      <c r="EU100" s="177"/>
      <c r="EV100" s="177"/>
      <c r="EW100" s="177"/>
      <c r="EX100" s="177"/>
      <c r="EY100" s="177"/>
      <c r="EZ100" s="177"/>
      <c r="FA100" s="177"/>
      <c r="FB100" s="177"/>
      <c r="FC100" s="177"/>
      <c r="FD100" s="177"/>
      <c r="FE100" s="177"/>
      <c r="FF100" s="177"/>
      <c r="FG100" s="177"/>
      <c r="FH100" s="177"/>
      <c r="FI100" s="177"/>
      <c r="FJ100" s="177"/>
      <c r="FK100" s="177"/>
      <c r="FL100" s="177"/>
      <c r="FM100" s="177"/>
      <c r="FN100" s="177"/>
      <c r="FO100" s="177"/>
      <c r="FP100" s="177"/>
      <c r="FQ100" s="177"/>
      <c r="FR100" s="177"/>
      <c r="FS100" s="177"/>
      <c r="FT100" s="177"/>
      <c r="FU100" s="177"/>
      <c r="FV100" s="177"/>
      <c r="FW100" s="177"/>
      <c r="FX100" s="177"/>
      <c r="FY100" s="177"/>
      <c r="FZ100" s="177"/>
      <c r="GA100" s="177"/>
      <c r="GB100" s="177"/>
      <c r="GC100" s="177"/>
      <c r="GD100" s="177"/>
      <c r="GE100" s="177"/>
      <c r="GF100" s="177"/>
      <c r="GG100" s="177"/>
      <c r="GH100" s="177"/>
      <c r="GI100" s="177"/>
      <c r="GJ100" s="177"/>
      <c r="GK100" s="177"/>
      <c r="GL100" s="177"/>
      <c r="GM100" s="177"/>
      <c r="GN100" s="177"/>
      <c r="GO100" s="177"/>
      <c r="GP100" s="177"/>
      <c r="GQ100" s="177"/>
      <c r="GR100" s="177"/>
      <c r="GS100" s="177"/>
      <c r="GT100" s="177"/>
      <c r="GU100" s="177"/>
      <c r="GV100" s="177"/>
      <c r="GW100" s="177"/>
      <c r="GX100" s="177"/>
      <c r="GY100" s="177"/>
      <c r="GZ100" s="177"/>
      <c r="HA100" s="177"/>
      <c r="HB100" s="177"/>
      <c r="HC100" s="177"/>
      <c r="HD100" s="177"/>
      <c r="HE100" s="177"/>
      <c r="HF100" s="177"/>
      <c r="HG100" s="177"/>
      <c r="HH100" s="177"/>
      <c r="HI100" s="177"/>
      <c r="HJ100" s="177"/>
      <c r="HK100" s="177"/>
      <c r="HL100" s="177"/>
      <c r="HM100" s="177"/>
      <c r="HN100" s="177"/>
      <c r="HO100" s="177"/>
      <c r="HP100" s="177"/>
      <c r="HQ100" s="177"/>
      <c r="HR100" s="177"/>
      <c r="HS100" s="177"/>
      <c r="HT100" s="177"/>
      <c r="HU100" s="177"/>
      <c r="HV100" s="177"/>
      <c r="HW100" s="177"/>
      <c r="HX100" s="177"/>
      <c r="HY100" s="177"/>
      <c r="HZ100" s="177"/>
      <c r="IA100" s="177"/>
      <c r="IB100" s="177"/>
      <c r="IC100" s="177"/>
      <c r="ID100" s="177"/>
      <c r="IE100" s="177"/>
      <c r="IF100" s="177"/>
      <c r="IG100" s="177"/>
      <c r="IH100" s="177"/>
      <c r="II100" s="177"/>
      <c r="IJ100" s="177"/>
      <c r="IK100" s="177"/>
      <c r="IL100" s="177"/>
      <c r="IM100" s="177"/>
      <c r="IN100" s="177"/>
      <c r="IO100" s="177"/>
      <c r="IP100" s="177"/>
      <c r="IQ100" s="177"/>
      <c r="IR100" s="177"/>
      <c r="IS100" s="177"/>
      <c r="IT100" s="177"/>
      <c r="IU100" s="177"/>
      <c r="IV100" s="177"/>
    </row>
    <row r="101" spans="1:256" x14ac:dyDescent="0.3">
      <c r="A101" s="178" t="s">
        <v>500</v>
      </c>
      <c r="B101" s="243">
        <f>'1'!C10/8402019</f>
        <v>0.95248332573396943</v>
      </c>
      <c r="C101" s="243">
        <f>'1'!D10/8022064</f>
        <v>0.47806599398857952</v>
      </c>
      <c r="D101" s="243">
        <f>'1'!E10/8312942</f>
        <v>0.46840637165518539</v>
      </c>
      <c r="E101" s="243">
        <f>'1'!F10/7756233</f>
        <v>0.50826515913072756</v>
      </c>
      <c r="F101" s="243">
        <f>'1'!G10/6809226</f>
        <v>0.56278569693530511</v>
      </c>
      <c r="G101" s="243">
        <f>'1'!H10/6487545</f>
        <v>0.60806283424623642</v>
      </c>
      <c r="H101" s="243">
        <f>'1'!I10/6006971</f>
        <v>0.5944849742074666</v>
      </c>
      <c r="I101" s="395"/>
      <c r="J101" s="459"/>
      <c r="K101" s="459"/>
      <c r="L101" s="459"/>
      <c r="M101" s="459"/>
      <c r="N101" s="459"/>
      <c r="O101" s="459"/>
      <c r="P101" s="459"/>
      <c r="Q101" s="459"/>
      <c r="R101" s="459"/>
      <c r="S101" s="459"/>
      <c r="T101" s="459"/>
      <c r="U101" s="459"/>
      <c r="V101" s="459"/>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c r="BE101" s="177"/>
      <c r="BF101" s="177"/>
      <c r="BG101" s="177"/>
      <c r="BH101" s="177"/>
      <c r="BI101" s="177"/>
      <c r="BJ101" s="177"/>
      <c r="BK101" s="177"/>
      <c r="BL101" s="177"/>
      <c r="BM101" s="177"/>
      <c r="BN101" s="177"/>
      <c r="BO101" s="177"/>
      <c r="BP101" s="177"/>
      <c r="BQ101" s="177"/>
      <c r="BR101" s="177"/>
      <c r="BS101" s="177"/>
      <c r="BT101" s="177"/>
      <c r="BU101" s="177"/>
      <c r="BV101" s="177"/>
      <c r="BW101" s="177"/>
      <c r="BX101" s="177"/>
      <c r="BY101" s="177"/>
      <c r="BZ101" s="177"/>
      <c r="CA101" s="177"/>
      <c r="CB101" s="177"/>
      <c r="CC101" s="177"/>
      <c r="CD101" s="177"/>
      <c r="CE101" s="177"/>
      <c r="CF101" s="177"/>
      <c r="CG101" s="177"/>
      <c r="CH101" s="177"/>
      <c r="CI101" s="177"/>
      <c r="CJ101" s="177"/>
      <c r="CK101" s="177"/>
      <c r="CL101" s="177"/>
      <c r="CM101" s="177"/>
      <c r="CN101" s="177"/>
      <c r="CO101" s="177"/>
      <c r="CP101" s="177"/>
      <c r="CQ101" s="177"/>
      <c r="CR101" s="177"/>
      <c r="CS101" s="177"/>
      <c r="CT101" s="177"/>
      <c r="CU101" s="177"/>
      <c r="CV101" s="177"/>
      <c r="CW101" s="177"/>
      <c r="CX101" s="177"/>
      <c r="CY101" s="177"/>
      <c r="CZ101" s="177"/>
      <c r="DA101" s="177"/>
      <c r="DB101" s="177"/>
      <c r="DC101" s="177"/>
      <c r="DD101" s="177"/>
      <c r="DE101" s="177"/>
      <c r="DF101" s="177"/>
      <c r="DG101" s="177"/>
      <c r="DH101" s="177"/>
      <c r="DI101" s="177"/>
      <c r="DJ101" s="177"/>
      <c r="DK101" s="177"/>
      <c r="DL101" s="177"/>
      <c r="DM101" s="177"/>
      <c r="DN101" s="177"/>
      <c r="DO101" s="177"/>
      <c r="DP101" s="177"/>
      <c r="DQ101" s="177"/>
      <c r="DR101" s="177"/>
      <c r="DS101" s="177"/>
      <c r="DT101" s="177"/>
      <c r="DU101" s="177"/>
      <c r="DV101" s="177"/>
      <c r="DW101" s="177"/>
      <c r="DX101" s="177"/>
      <c r="DY101" s="177"/>
      <c r="DZ101" s="177"/>
      <c r="EA101" s="177"/>
      <c r="EB101" s="177"/>
      <c r="EC101" s="177"/>
      <c r="ED101" s="177"/>
      <c r="EE101" s="177"/>
      <c r="EF101" s="177"/>
      <c r="EG101" s="177"/>
      <c r="EH101" s="177"/>
      <c r="EI101" s="177"/>
      <c r="EJ101" s="177"/>
      <c r="EK101" s="177"/>
      <c r="EL101" s="177"/>
      <c r="EM101" s="177"/>
      <c r="EN101" s="177"/>
      <c r="EO101" s="177"/>
      <c r="EP101" s="177"/>
      <c r="EQ101" s="177"/>
      <c r="ER101" s="177"/>
      <c r="ES101" s="177"/>
      <c r="ET101" s="177"/>
      <c r="EU101" s="177"/>
      <c r="EV101" s="177"/>
      <c r="EW101" s="177"/>
      <c r="EX101" s="177"/>
      <c r="EY101" s="177"/>
      <c r="EZ101" s="177"/>
      <c r="FA101" s="177"/>
      <c r="FB101" s="177"/>
      <c r="FC101" s="177"/>
      <c r="FD101" s="177"/>
      <c r="FE101" s="177"/>
      <c r="FF101" s="177"/>
      <c r="FG101" s="177"/>
      <c r="FH101" s="177"/>
      <c r="FI101" s="177"/>
      <c r="FJ101" s="177"/>
      <c r="FK101" s="177"/>
      <c r="FL101" s="177"/>
      <c r="FM101" s="177"/>
      <c r="FN101" s="177"/>
      <c r="FO101" s="177"/>
      <c r="FP101" s="177"/>
      <c r="FQ101" s="177"/>
      <c r="FR101" s="177"/>
      <c r="FS101" s="177"/>
      <c r="FT101" s="177"/>
      <c r="FU101" s="177"/>
      <c r="FV101" s="177"/>
      <c r="FW101" s="177"/>
      <c r="FX101" s="177"/>
      <c r="FY101" s="177"/>
      <c r="FZ101" s="177"/>
      <c r="GA101" s="177"/>
      <c r="GB101" s="177"/>
      <c r="GC101" s="177"/>
      <c r="GD101" s="177"/>
      <c r="GE101" s="177"/>
      <c r="GF101" s="177"/>
      <c r="GG101" s="177"/>
      <c r="GH101" s="177"/>
      <c r="GI101" s="177"/>
      <c r="GJ101" s="177"/>
      <c r="GK101" s="177"/>
      <c r="GL101" s="177"/>
      <c r="GM101" s="177"/>
      <c r="GN101" s="177"/>
      <c r="GO101" s="177"/>
      <c r="GP101" s="177"/>
      <c r="GQ101" s="177"/>
      <c r="GR101" s="177"/>
      <c r="GS101" s="177"/>
      <c r="GT101" s="177"/>
      <c r="GU101" s="177"/>
      <c r="GV101" s="177"/>
      <c r="GW101" s="177"/>
      <c r="GX101" s="177"/>
      <c r="GY101" s="177"/>
      <c r="GZ101" s="177"/>
      <c r="HA101" s="177"/>
      <c r="HB101" s="177"/>
      <c r="HC101" s="177"/>
      <c r="HD101" s="177"/>
      <c r="HE101" s="177"/>
      <c r="HF101" s="177"/>
      <c r="HG101" s="177"/>
      <c r="HH101" s="177"/>
      <c r="HI101" s="177"/>
      <c r="HJ101" s="177"/>
      <c r="HK101" s="177"/>
      <c r="HL101" s="177"/>
      <c r="HM101" s="177"/>
      <c r="HN101" s="177"/>
      <c r="HO101" s="177"/>
      <c r="HP101" s="177"/>
      <c r="HQ101" s="177"/>
      <c r="HR101" s="177"/>
      <c r="HS101" s="177"/>
      <c r="HT101" s="177"/>
      <c r="HU101" s="177"/>
      <c r="HV101" s="177"/>
      <c r="HW101" s="177"/>
      <c r="HX101" s="177"/>
      <c r="HY101" s="177"/>
      <c r="HZ101" s="177"/>
      <c r="IA101" s="177"/>
      <c r="IB101" s="177"/>
      <c r="IC101" s="177"/>
      <c r="ID101" s="177"/>
      <c r="IE101" s="177"/>
      <c r="IF101" s="177"/>
      <c r="IG101" s="177"/>
      <c r="IH101" s="177"/>
      <c r="II101" s="177"/>
      <c r="IJ101" s="177"/>
      <c r="IK101" s="177"/>
      <c r="IL101" s="177"/>
      <c r="IM101" s="177"/>
      <c r="IN101" s="177"/>
      <c r="IO101" s="177"/>
      <c r="IP101" s="177"/>
      <c r="IQ101" s="177"/>
      <c r="IR101" s="177"/>
      <c r="IS101" s="177"/>
      <c r="IT101" s="177"/>
      <c r="IU101" s="177"/>
      <c r="IV101" s="177"/>
    </row>
    <row r="102" spans="1:256" x14ac:dyDescent="0.3">
      <c r="A102" s="249"/>
      <c r="B102" s="250"/>
      <c r="C102" s="250"/>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7"/>
      <c r="CH102" s="177"/>
      <c r="CI102" s="177"/>
      <c r="CJ102" s="177"/>
      <c r="CK102" s="177"/>
      <c r="CL102" s="177"/>
      <c r="CM102" s="177"/>
      <c r="CN102" s="177"/>
      <c r="CO102" s="177"/>
      <c r="CP102" s="177"/>
      <c r="CQ102" s="177"/>
      <c r="CR102" s="177"/>
      <c r="CS102" s="177"/>
      <c r="CT102" s="177"/>
      <c r="CU102" s="177"/>
      <c r="CV102" s="177"/>
      <c r="CW102" s="177"/>
      <c r="CX102" s="177"/>
      <c r="CY102" s="177"/>
      <c r="CZ102" s="177"/>
      <c r="DA102" s="177"/>
      <c r="DB102" s="177"/>
      <c r="DC102" s="177"/>
      <c r="DD102" s="177"/>
      <c r="DE102" s="177"/>
      <c r="DF102" s="177"/>
      <c r="DG102" s="177"/>
      <c r="DH102" s="177"/>
      <c r="DI102" s="177"/>
      <c r="DJ102" s="177"/>
      <c r="DK102" s="177"/>
      <c r="DL102" s="177"/>
      <c r="DM102" s="177"/>
      <c r="DN102" s="177"/>
      <c r="DO102" s="177"/>
      <c r="DP102" s="177"/>
      <c r="DQ102" s="177"/>
      <c r="DR102" s="177"/>
      <c r="DS102" s="177"/>
      <c r="DT102" s="177"/>
      <c r="DU102" s="177"/>
      <c r="DV102" s="177"/>
      <c r="DW102" s="177"/>
      <c r="DX102" s="177"/>
      <c r="DY102" s="177"/>
      <c r="DZ102" s="177"/>
      <c r="EA102" s="177"/>
      <c r="EB102" s="177"/>
      <c r="EC102" s="177"/>
      <c r="ED102" s="177"/>
      <c r="EE102" s="177"/>
      <c r="EF102" s="177"/>
      <c r="EG102" s="177"/>
      <c r="EH102" s="177"/>
      <c r="EI102" s="177"/>
      <c r="EJ102" s="177"/>
      <c r="EK102" s="177"/>
      <c r="EL102" s="177"/>
      <c r="EM102" s="177"/>
      <c r="EN102" s="177"/>
      <c r="EO102" s="177"/>
      <c r="EP102" s="177"/>
      <c r="EQ102" s="177"/>
      <c r="ER102" s="177"/>
      <c r="ES102" s="177"/>
      <c r="ET102" s="177"/>
      <c r="EU102" s="177"/>
      <c r="EV102" s="177"/>
      <c r="EW102" s="177"/>
      <c r="EX102" s="177"/>
      <c r="EY102" s="177"/>
      <c r="EZ102" s="177"/>
      <c r="FA102" s="177"/>
      <c r="FB102" s="177"/>
      <c r="FC102" s="177"/>
      <c r="FD102" s="177"/>
      <c r="FE102" s="177"/>
      <c r="FF102" s="177"/>
      <c r="FG102" s="177"/>
      <c r="FH102" s="177"/>
      <c r="FI102" s="177"/>
      <c r="FJ102" s="177"/>
      <c r="FK102" s="177"/>
      <c r="FL102" s="177"/>
      <c r="FM102" s="177"/>
      <c r="FN102" s="177"/>
      <c r="FO102" s="177"/>
      <c r="FP102" s="177"/>
      <c r="FQ102" s="177"/>
      <c r="FR102" s="177"/>
      <c r="FS102" s="177"/>
      <c r="FT102" s="177"/>
      <c r="FU102" s="177"/>
      <c r="FV102" s="177"/>
      <c r="FW102" s="177"/>
      <c r="FX102" s="177"/>
      <c r="FY102" s="177"/>
      <c r="FZ102" s="177"/>
      <c r="GA102" s="177"/>
      <c r="GB102" s="177"/>
      <c r="GC102" s="177"/>
      <c r="GD102" s="177"/>
      <c r="GE102" s="177"/>
      <c r="GF102" s="177"/>
      <c r="GG102" s="177"/>
      <c r="GH102" s="177"/>
      <c r="GI102" s="177"/>
      <c r="GJ102" s="177"/>
      <c r="GK102" s="177"/>
      <c r="GL102" s="177"/>
      <c r="GM102" s="177"/>
      <c r="GN102" s="177"/>
      <c r="GO102" s="177"/>
      <c r="GP102" s="177"/>
      <c r="GQ102" s="177"/>
      <c r="GR102" s="177"/>
      <c r="GS102" s="177"/>
      <c r="GT102" s="177"/>
      <c r="GU102" s="177"/>
      <c r="GV102" s="177"/>
      <c r="GW102" s="177"/>
      <c r="GX102" s="177"/>
      <c r="GY102" s="177"/>
      <c r="GZ102" s="177"/>
      <c r="HA102" s="177"/>
      <c r="HB102" s="177"/>
      <c r="HC102" s="177"/>
      <c r="HD102" s="177"/>
      <c r="HE102" s="177"/>
      <c r="HF102" s="177"/>
      <c r="HG102" s="177"/>
      <c r="HH102" s="177"/>
      <c r="HI102" s="177"/>
      <c r="HJ102" s="177"/>
      <c r="HK102" s="177"/>
      <c r="HL102" s="177"/>
      <c r="HM102" s="177"/>
      <c r="HN102" s="177"/>
      <c r="HO102" s="177"/>
      <c r="HP102" s="177"/>
      <c r="HQ102" s="177"/>
      <c r="HR102" s="177"/>
      <c r="HS102" s="177"/>
      <c r="HT102" s="177"/>
      <c r="HU102" s="177"/>
      <c r="HV102" s="177"/>
      <c r="HW102" s="177"/>
      <c r="HX102" s="177"/>
      <c r="HY102" s="177"/>
      <c r="HZ102" s="177"/>
      <c r="IA102" s="177"/>
      <c r="IB102" s="177"/>
      <c r="IC102" s="177"/>
      <c r="ID102" s="177"/>
      <c r="IE102" s="177"/>
      <c r="IF102" s="177"/>
      <c r="IG102" s="177"/>
      <c r="IH102" s="177"/>
      <c r="II102" s="177"/>
      <c r="IJ102" s="177"/>
      <c r="IK102" s="177"/>
      <c r="IL102" s="177"/>
      <c r="IM102" s="177"/>
      <c r="IN102" s="177"/>
      <c r="IO102" s="177"/>
      <c r="IP102" s="177"/>
      <c r="IQ102" s="177"/>
      <c r="IR102" s="177"/>
      <c r="IS102" s="177"/>
      <c r="IT102" s="177"/>
      <c r="IU102" s="177"/>
      <c r="IV102" s="177"/>
    </row>
    <row r="103" spans="1:256" x14ac:dyDescent="0.3">
      <c r="A103" s="186" t="s">
        <v>501</v>
      </c>
      <c r="B103" s="250"/>
      <c r="C103" s="250"/>
      <c r="D103" s="177"/>
      <c r="E103" s="177"/>
      <c r="F103" s="177"/>
      <c r="G103" s="177"/>
      <c r="H103" s="177"/>
      <c r="I103" s="177"/>
      <c r="J103" s="390" t="s">
        <v>502</v>
      </c>
      <c r="K103" s="390"/>
      <c r="L103" s="390"/>
      <c r="M103" s="390"/>
      <c r="N103" s="390"/>
      <c r="O103" s="390"/>
      <c r="P103" s="390"/>
      <c r="Q103" s="390"/>
      <c r="R103" s="390"/>
      <c r="S103" s="390"/>
      <c r="T103" s="390"/>
      <c r="U103" s="390"/>
      <c r="V103" s="390"/>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c r="AU103" s="177"/>
      <c r="AV103" s="177"/>
      <c r="AW103" s="177"/>
      <c r="AX103" s="177"/>
      <c r="AY103" s="177"/>
      <c r="AZ103" s="177"/>
      <c r="BA103" s="177"/>
      <c r="BB103" s="177"/>
      <c r="BC103" s="177"/>
      <c r="BD103" s="177"/>
      <c r="BE103" s="177"/>
      <c r="BF103" s="177"/>
      <c r="BG103" s="177"/>
      <c r="BH103" s="177"/>
      <c r="BI103" s="177"/>
      <c r="BJ103" s="177"/>
      <c r="BK103" s="177"/>
      <c r="BL103" s="177"/>
      <c r="BM103" s="177"/>
      <c r="BN103" s="177"/>
      <c r="BO103" s="177"/>
      <c r="BP103" s="177"/>
      <c r="BQ103" s="177"/>
      <c r="BR103" s="177"/>
      <c r="BS103" s="177"/>
      <c r="BT103" s="177"/>
      <c r="BU103" s="177"/>
      <c r="BV103" s="177"/>
      <c r="BW103" s="177"/>
      <c r="BX103" s="177"/>
      <c r="BY103" s="177"/>
      <c r="BZ103" s="177"/>
      <c r="CA103" s="177"/>
      <c r="CB103" s="177"/>
      <c r="CC103" s="177"/>
      <c r="CD103" s="177"/>
      <c r="CE103" s="177"/>
      <c r="CF103" s="177"/>
      <c r="CG103" s="177"/>
      <c r="CH103" s="177"/>
      <c r="CI103" s="177"/>
      <c r="CJ103" s="177"/>
      <c r="CK103" s="177"/>
      <c r="CL103" s="177"/>
      <c r="CM103" s="177"/>
      <c r="CN103" s="177"/>
      <c r="CO103" s="177"/>
      <c r="CP103" s="177"/>
      <c r="CQ103" s="177"/>
      <c r="CR103" s="177"/>
      <c r="CS103" s="177"/>
      <c r="CT103" s="177"/>
      <c r="CU103" s="177"/>
      <c r="CV103" s="177"/>
      <c r="CW103" s="177"/>
      <c r="CX103" s="177"/>
      <c r="CY103" s="177"/>
      <c r="CZ103" s="177"/>
      <c r="DA103" s="177"/>
      <c r="DB103" s="177"/>
      <c r="DC103" s="177"/>
      <c r="DD103" s="177"/>
      <c r="DE103" s="177"/>
      <c r="DF103" s="177"/>
      <c r="DG103" s="177"/>
      <c r="DH103" s="177"/>
      <c r="DI103" s="177"/>
      <c r="DJ103" s="177"/>
      <c r="DK103" s="177"/>
      <c r="DL103" s="177"/>
      <c r="DM103" s="177"/>
      <c r="DN103" s="177"/>
      <c r="DO103" s="177"/>
      <c r="DP103" s="177"/>
      <c r="DQ103" s="177"/>
      <c r="DR103" s="177"/>
      <c r="DS103" s="177"/>
      <c r="DT103" s="177"/>
      <c r="DU103" s="177"/>
      <c r="DV103" s="177"/>
      <c r="DW103" s="177"/>
      <c r="DX103" s="177"/>
      <c r="DY103" s="177"/>
      <c r="DZ103" s="177"/>
      <c r="EA103" s="177"/>
      <c r="EB103" s="177"/>
      <c r="EC103" s="177"/>
      <c r="ED103" s="177"/>
      <c r="EE103" s="177"/>
      <c r="EF103" s="177"/>
      <c r="EG103" s="177"/>
      <c r="EH103" s="177"/>
      <c r="EI103" s="177"/>
      <c r="EJ103" s="177"/>
      <c r="EK103" s="177"/>
      <c r="EL103" s="177"/>
      <c r="EM103" s="177"/>
      <c r="EN103" s="177"/>
      <c r="EO103" s="177"/>
      <c r="EP103" s="177"/>
      <c r="EQ103" s="177"/>
      <c r="ER103" s="177"/>
      <c r="ES103" s="177"/>
      <c r="ET103" s="177"/>
      <c r="EU103" s="177"/>
      <c r="EV103" s="177"/>
      <c r="EW103" s="177"/>
      <c r="EX103" s="177"/>
      <c r="EY103" s="177"/>
      <c r="EZ103" s="177"/>
      <c r="FA103" s="177"/>
      <c r="FB103" s="177"/>
      <c r="FC103" s="177"/>
      <c r="FD103" s="177"/>
      <c r="FE103" s="177"/>
      <c r="FF103" s="177"/>
      <c r="FG103" s="177"/>
      <c r="FH103" s="177"/>
      <c r="FI103" s="177"/>
      <c r="FJ103" s="177"/>
      <c r="FK103" s="177"/>
      <c r="FL103" s="177"/>
      <c r="FM103" s="177"/>
      <c r="FN103" s="177"/>
      <c r="FO103" s="177"/>
      <c r="FP103" s="177"/>
      <c r="FQ103" s="177"/>
      <c r="FR103" s="177"/>
      <c r="FS103" s="177"/>
      <c r="FT103" s="177"/>
      <c r="FU103" s="177"/>
      <c r="FV103" s="177"/>
      <c r="FW103" s="177"/>
      <c r="FX103" s="177"/>
      <c r="FY103" s="177"/>
      <c r="FZ103" s="177"/>
      <c r="GA103" s="177"/>
      <c r="GB103" s="177"/>
      <c r="GC103" s="177"/>
      <c r="GD103" s="177"/>
      <c r="GE103" s="177"/>
      <c r="GF103" s="177"/>
      <c r="GG103" s="177"/>
      <c r="GH103" s="177"/>
      <c r="GI103" s="177"/>
      <c r="GJ103" s="177"/>
      <c r="GK103" s="177"/>
      <c r="GL103" s="177"/>
      <c r="GM103" s="177"/>
      <c r="GN103" s="177"/>
      <c r="GO103" s="177"/>
      <c r="GP103" s="177"/>
      <c r="GQ103" s="177"/>
      <c r="GR103" s="177"/>
      <c r="GS103" s="177"/>
      <c r="GT103" s="177"/>
      <c r="GU103" s="177"/>
      <c r="GV103" s="177"/>
      <c r="GW103" s="177"/>
      <c r="GX103" s="177"/>
      <c r="GY103" s="177"/>
      <c r="GZ103" s="177"/>
      <c r="HA103" s="177"/>
      <c r="HB103" s="177"/>
      <c r="HC103" s="177"/>
      <c r="HD103" s="177"/>
      <c r="HE103" s="177"/>
      <c r="HF103" s="177"/>
      <c r="HG103" s="177"/>
      <c r="HH103" s="177"/>
      <c r="HI103" s="177"/>
      <c r="HJ103" s="177"/>
      <c r="HK103" s="177"/>
      <c r="HL103" s="177"/>
      <c r="HM103" s="177"/>
      <c r="HN103" s="177"/>
      <c r="HO103" s="177"/>
      <c r="HP103" s="177"/>
      <c r="HQ103" s="177"/>
      <c r="HR103" s="177"/>
      <c r="HS103" s="177"/>
      <c r="HT103" s="177"/>
      <c r="HU103" s="177"/>
      <c r="HV103" s="177"/>
      <c r="HW103" s="177"/>
      <c r="HX103" s="177"/>
      <c r="HY103" s="177"/>
      <c r="HZ103" s="177"/>
      <c r="IA103" s="177"/>
      <c r="IB103" s="177"/>
      <c r="IC103" s="177"/>
      <c r="ID103" s="177"/>
      <c r="IE103" s="177"/>
      <c r="IF103" s="177"/>
      <c r="IG103" s="177"/>
      <c r="IH103" s="177"/>
      <c r="II103" s="177"/>
      <c r="IJ103" s="177"/>
      <c r="IK103" s="177"/>
      <c r="IL103" s="177"/>
      <c r="IM103" s="177"/>
      <c r="IN103" s="177"/>
      <c r="IO103" s="177"/>
      <c r="IP103" s="177"/>
      <c r="IQ103" s="177"/>
      <c r="IR103" s="177"/>
      <c r="IS103" s="177"/>
      <c r="IT103" s="177"/>
      <c r="IU103" s="177"/>
      <c r="IV103" s="177"/>
    </row>
    <row r="104" spans="1:256" ht="27" customHeight="1" x14ac:dyDescent="0.3">
      <c r="A104" s="164" t="s">
        <v>177</v>
      </c>
      <c r="B104" s="164" t="str">
        <f t="shared" ref="B104:H104" si="108">B97</f>
        <v>2019 год</v>
      </c>
      <c r="C104" s="164" t="str">
        <f t="shared" si="108"/>
        <v>2018 год</v>
      </c>
      <c r="D104" s="164" t="str">
        <f t="shared" si="108"/>
        <v>2017 год</v>
      </c>
      <c r="E104" s="164" t="str">
        <f t="shared" si="108"/>
        <v>2016 год</v>
      </c>
      <c r="F104" s="164" t="str">
        <f t="shared" si="108"/>
        <v>2015 год</v>
      </c>
      <c r="G104" s="164" t="str">
        <f t="shared" si="108"/>
        <v>2014 год</v>
      </c>
      <c r="H104" s="164" t="str">
        <f t="shared" si="108"/>
        <v>2013 год</v>
      </c>
      <c r="I104" s="177"/>
      <c r="J104" s="390"/>
      <c r="K104" s="390"/>
      <c r="L104" s="390"/>
      <c r="M104" s="390"/>
      <c r="N104" s="390"/>
      <c r="O104" s="390"/>
      <c r="P104" s="390"/>
      <c r="Q104" s="390"/>
      <c r="R104" s="390"/>
      <c r="S104" s="390"/>
      <c r="T104" s="390"/>
      <c r="U104" s="390"/>
      <c r="V104" s="390"/>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c r="BE104" s="177"/>
      <c r="BF104" s="177"/>
      <c r="BG104" s="177"/>
      <c r="BH104" s="177"/>
      <c r="BI104" s="177"/>
      <c r="BJ104" s="177"/>
      <c r="BK104" s="177"/>
      <c r="BL104" s="177"/>
      <c r="BM104" s="177"/>
      <c r="BN104" s="177"/>
      <c r="BO104" s="177"/>
      <c r="BP104" s="177"/>
      <c r="BQ104" s="177"/>
      <c r="BR104" s="177"/>
      <c r="BS104" s="177"/>
      <c r="BT104" s="177"/>
      <c r="BU104" s="177"/>
      <c r="BV104" s="177"/>
      <c r="BW104" s="177"/>
      <c r="BX104" s="177"/>
      <c r="BY104" s="177"/>
      <c r="BZ104" s="177"/>
      <c r="CA104" s="177"/>
      <c r="CB104" s="177"/>
      <c r="CC104" s="177"/>
      <c r="CD104" s="177"/>
      <c r="CE104" s="177"/>
      <c r="CF104" s="177"/>
      <c r="CG104" s="177"/>
      <c r="CH104" s="177"/>
      <c r="CI104" s="177"/>
      <c r="CJ104" s="177"/>
      <c r="CK104" s="177"/>
      <c r="CL104" s="177"/>
      <c r="CM104" s="177"/>
      <c r="CN104" s="177"/>
      <c r="CO104" s="177"/>
      <c r="CP104" s="177"/>
      <c r="CQ104" s="177"/>
      <c r="CR104" s="177"/>
      <c r="CS104" s="177"/>
      <c r="CT104" s="177"/>
      <c r="CU104" s="177"/>
      <c r="CV104" s="177"/>
      <c r="CW104" s="177"/>
      <c r="CX104" s="177"/>
      <c r="CY104" s="177"/>
      <c r="CZ104" s="177"/>
      <c r="DA104" s="177"/>
      <c r="DB104" s="177"/>
      <c r="DC104" s="177"/>
      <c r="DD104" s="177"/>
      <c r="DE104" s="177"/>
      <c r="DF104" s="177"/>
      <c r="DG104" s="177"/>
      <c r="DH104" s="177"/>
      <c r="DI104" s="177"/>
      <c r="DJ104" s="177"/>
      <c r="DK104" s="177"/>
      <c r="DL104" s="177"/>
      <c r="DM104" s="177"/>
      <c r="DN104" s="177"/>
      <c r="DO104" s="177"/>
      <c r="DP104" s="177"/>
      <c r="DQ104" s="177"/>
      <c r="DR104" s="177"/>
      <c r="DS104" s="177"/>
      <c r="DT104" s="177"/>
      <c r="DU104" s="177"/>
      <c r="DV104" s="177"/>
      <c r="DW104" s="177"/>
      <c r="DX104" s="177"/>
      <c r="DY104" s="177"/>
      <c r="DZ104" s="177"/>
      <c r="EA104" s="177"/>
      <c r="EB104" s="177"/>
      <c r="EC104" s="177"/>
      <c r="ED104" s="177"/>
      <c r="EE104" s="177"/>
      <c r="EF104" s="177"/>
      <c r="EG104" s="177"/>
      <c r="EH104" s="177"/>
      <c r="EI104" s="177"/>
      <c r="EJ104" s="177"/>
      <c r="EK104" s="177"/>
      <c r="EL104" s="177"/>
      <c r="EM104" s="177"/>
      <c r="EN104" s="177"/>
      <c r="EO104" s="177"/>
      <c r="EP104" s="177"/>
      <c r="EQ104" s="177"/>
      <c r="ER104" s="177"/>
      <c r="ES104" s="177"/>
      <c r="ET104" s="177"/>
      <c r="EU104" s="177"/>
      <c r="EV104" s="177"/>
      <c r="EW104" s="177"/>
      <c r="EX104" s="177"/>
      <c r="EY104" s="177"/>
      <c r="EZ104" s="177"/>
      <c r="FA104" s="177"/>
      <c r="FB104" s="177"/>
      <c r="FC104" s="177"/>
      <c r="FD104" s="177"/>
      <c r="FE104" s="177"/>
      <c r="FF104" s="177"/>
      <c r="FG104" s="177"/>
      <c r="FH104" s="177"/>
      <c r="FI104" s="177"/>
      <c r="FJ104" s="177"/>
      <c r="FK104" s="177"/>
      <c r="FL104" s="177"/>
      <c r="FM104" s="177"/>
      <c r="FN104" s="177"/>
      <c r="FO104" s="177"/>
      <c r="FP104" s="177"/>
      <c r="FQ104" s="177"/>
      <c r="FR104" s="177"/>
      <c r="FS104" s="177"/>
      <c r="FT104" s="177"/>
      <c r="FU104" s="177"/>
      <c r="FV104" s="177"/>
      <c r="FW104" s="177"/>
      <c r="FX104" s="177"/>
      <c r="FY104" s="177"/>
      <c r="FZ104" s="177"/>
      <c r="GA104" s="177"/>
      <c r="GB104" s="177"/>
      <c r="GC104" s="177"/>
      <c r="GD104" s="177"/>
      <c r="GE104" s="177"/>
      <c r="GF104" s="177"/>
      <c r="GG104" s="177"/>
      <c r="GH104" s="177"/>
      <c r="GI104" s="177"/>
      <c r="GJ104" s="177"/>
      <c r="GK104" s="177"/>
      <c r="GL104" s="177"/>
      <c r="GM104" s="177"/>
      <c r="GN104" s="177"/>
      <c r="GO104" s="177"/>
      <c r="GP104" s="177"/>
      <c r="GQ104" s="177"/>
      <c r="GR104" s="177"/>
      <c r="GS104" s="177"/>
      <c r="GT104" s="177"/>
      <c r="GU104" s="177"/>
      <c r="GV104" s="177"/>
      <c r="GW104" s="177"/>
      <c r="GX104" s="177"/>
      <c r="GY104" s="177"/>
      <c r="GZ104" s="177"/>
      <c r="HA104" s="177"/>
      <c r="HB104" s="177"/>
      <c r="HC104" s="177"/>
      <c r="HD104" s="177"/>
      <c r="HE104" s="177"/>
      <c r="HF104" s="177"/>
      <c r="HG104" s="177"/>
      <c r="HH104" s="177"/>
      <c r="HI104" s="177"/>
      <c r="HJ104" s="177"/>
      <c r="HK104" s="177"/>
      <c r="HL104" s="177"/>
      <c r="HM104" s="177"/>
      <c r="HN104" s="177"/>
      <c r="HO104" s="177"/>
      <c r="HP104" s="177"/>
      <c r="HQ104" s="177"/>
      <c r="HR104" s="177"/>
      <c r="HS104" s="177"/>
      <c r="HT104" s="177"/>
      <c r="HU104" s="177"/>
      <c r="HV104" s="177"/>
      <c r="HW104" s="177"/>
      <c r="HX104" s="177"/>
      <c r="HY104" s="177"/>
      <c r="HZ104" s="177"/>
      <c r="IA104" s="177"/>
      <c r="IB104" s="177"/>
      <c r="IC104" s="177"/>
      <c r="ID104" s="177"/>
      <c r="IE104" s="177"/>
      <c r="IF104" s="177"/>
      <c r="IG104" s="177"/>
      <c r="IH104" s="177"/>
      <c r="II104" s="177"/>
      <c r="IJ104" s="177"/>
      <c r="IK104" s="177"/>
      <c r="IL104" s="177"/>
      <c r="IM104" s="177"/>
      <c r="IN104" s="177"/>
      <c r="IO104" s="177"/>
      <c r="IP104" s="177"/>
      <c r="IQ104" s="177"/>
      <c r="IR104" s="177"/>
      <c r="IS104" s="177"/>
      <c r="IT104" s="177"/>
      <c r="IU104" s="177"/>
      <c r="IV104" s="177"/>
    </row>
    <row r="105" spans="1:256" ht="31.5" customHeight="1" x14ac:dyDescent="0.3">
      <c r="A105" s="178" t="s">
        <v>503</v>
      </c>
      <c r="B105" s="251">
        <f>'2'!C7/бс!C15</f>
        <v>1.2689145528263446</v>
      </c>
      <c r="C105" s="251">
        <f>'2'!D7/бс!D15</f>
        <v>1.6122621203599843</v>
      </c>
      <c r="D105" s="251">
        <f>'2'!E7/бс!E15</f>
        <v>1.6969446313191288</v>
      </c>
      <c r="E105" s="251">
        <f>'2'!F7/бс!F15</f>
        <v>2.3721464395466367</v>
      </c>
      <c r="F105" s="251">
        <f>'2'!G7/бс!G15</f>
        <v>2.4521842103580571</v>
      </c>
      <c r="G105" s="251">
        <f>'2'!H7/бс!H15</f>
        <v>1.1805761026295425</v>
      </c>
      <c r="H105" s="251">
        <f>'2'!I7/бс!I15</f>
        <v>0.99422873699352465</v>
      </c>
      <c r="I105" s="395" t="s">
        <v>504</v>
      </c>
      <c r="J105" s="390"/>
      <c r="K105" s="390"/>
      <c r="L105" s="390"/>
      <c r="M105" s="390"/>
      <c r="N105" s="390"/>
      <c r="O105" s="390"/>
      <c r="P105" s="390"/>
      <c r="Q105" s="390"/>
      <c r="R105" s="390"/>
      <c r="S105" s="390"/>
      <c r="T105" s="390"/>
      <c r="U105" s="390"/>
      <c r="V105" s="390"/>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c r="BA105" s="177"/>
      <c r="BB105" s="177"/>
      <c r="BC105" s="177"/>
      <c r="BD105" s="177"/>
      <c r="BE105" s="177"/>
      <c r="BF105" s="177"/>
      <c r="BG105" s="177"/>
      <c r="BH105" s="177"/>
      <c r="BI105" s="177"/>
      <c r="BJ105" s="177"/>
      <c r="BK105" s="177"/>
      <c r="BL105" s="177"/>
      <c r="BM105" s="177"/>
      <c r="BN105" s="177"/>
      <c r="BO105" s="177"/>
      <c r="BP105" s="177"/>
      <c r="BQ105" s="177"/>
      <c r="BR105" s="177"/>
      <c r="BS105" s="177"/>
      <c r="BT105" s="177"/>
      <c r="BU105" s="177"/>
      <c r="BV105" s="177"/>
      <c r="BW105" s="177"/>
      <c r="BX105" s="177"/>
      <c r="BY105" s="177"/>
      <c r="BZ105" s="177"/>
      <c r="CA105" s="177"/>
      <c r="CB105" s="177"/>
      <c r="CC105" s="177"/>
      <c r="CD105" s="177"/>
      <c r="CE105" s="177"/>
      <c r="CF105" s="177"/>
      <c r="CG105" s="177"/>
      <c r="CH105" s="177"/>
      <c r="CI105" s="177"/>
      <c r="CJ105" s="177"/>
      <c r="CK105" s="177"/>
      <c r="CL105" s="177"/>
      <c r="CM105" s="177"/>
      <c r="CN105" s="177"/>
      <c r="CO105" s="177"/>
      <c r="CP105" s="177"/>
      <c r="CQ105" s="177"/>
      <c r="CR105" s="177"/>
      <c r="CS105" s="177"/>
      <c r="CT105" s="177"/>
      <c r="CU105" s="177"/>
      <c r="CV105" s="177"/>
      <c r="CW105" s="177"/>
      <c r="CX105" s="177"/>
      <c r="CY105" s="177"/>
      <c r="CZ105" s="177"/>
      <c r="DA105" s="177"/>
      <c r="DB105" s="177"/>
      <c r="DC105" s="177"/>
      <c r="DD105" s="177"/>
      <c r="DE105" s="177"/>
      <c r="DF105" s="177"/>
      <c r="DG105" s="177"/>
      <c r="DH105" s="177"/>
      <c r="DI105" s="177"/>
      <c r="DJ105" s="177"/>
      <c r="DK105" s="177"/>
      <c r="DL105" s="177"/>
      <c r="DM105" s="177"/>
      <c r="DN105" s="177"/>
      <c r="DO105" s="177"/>
      <c r="DP105" s="177"/>
      <c r="DQ105" s="177"/>
      <c r="DR105" s="177"/>
      <c r="DS105" s="177"/>
      <c r="DT105" s="177"/>
      <c r="DU105" s="177"/>
      <c r="DV105" s="177"/>
      <c r="DW105" s="177"/>
      <c r="DX105" s="177"/>
      <c r="DY105" s="177"/>
      <c r="DZ105" s="177"/>
      <c r="EA105" s="177"/>
      <c r="EB105" s="177"/>
      <c r="EC105" s="177"/>
      <c r="ED105" s="177"/>
      <c r="EE105" s="177"/>
      <c r="EF105" s="177"/>
      <c r="EG105" s="177"/>
      <c r="EH105" s="177"/>
      <c r="EI105" s="177"/>
      <c r="EJ105" s="177"/>
      <c r="EK105" s="177"/>
      <c r="EL105" s="177"/>
      <c r="EM105" s="177"/>
      <c r="EN105" s="177"/>
      <c r="EO105" s="177"/>
      <c r="EP105" s="177"/>
      <c r="EQ105" s="177"/>
      <c r="ER105" s="177"/>
      <c r="ES105" s="177"/>
      <c r="ET105" s="177"/>
      <c r="EU105" s="177"/>
      <c r="EV105" s="177"/>
      <c r="EW105" s="177"/>
      <c r="EX105" s="177"/>
      <c r="EY105" s="177"/>
      <c r="EZ105" s="177"/>
      <c r="FA105" s="177"/>
      <c r="FB105" s="177"/>
      <c r="FC105" s="177"/>
      <c r="FD105" s="177"/>
      <c r="FE105" s="177"/>
      <c r="FF105" s="177"/>
      <c r="FG105" s="177"/>
      <c r="FH105" s="177"/>
      <c r="FI105" s="177"/>
      <c r="FJ105" s="177"/>
      <c r="FK105" s="177"/>
      <c r="FL105" s="177"/>
      <c r="FM105" s="177"/>
      <c r="FN105" s="177"/>
      <c r="FO105" s="177"/>
      <c r="FP105" s="177"/>
      <c r="FQ105" s="177"/>
      <c r="FR105" s="177"/>
      <c r="FS105" s="177"/>
      <c r="FT105" s="177"/>
      <c r="FU105" s="177"/>
      <c r="FV105" s="177"/>
      <c r="FW105" s="177"/>
      <c r="FX105" s="177"/>
      <c r="FY105" s="177"/>
      <c r="FZ105" s="177"/>
      <c r="GA105" s="177"/>
      <c r="GB105" s="177"/>
      <c r="GC105" s="177"/>
      <c r="GD105" s="177"/>
      <c r="GE105" s="177"/>
      <c r="GF105" s="177"/>
      <c r="GG105" s="177"/>
      <c r="GH105" s="177"/>
      <c r="GI105" s="177"/>
      <c r="GJ105" s="177"/>
      <c r="GK105" s="177"/>
      <c r="GL105" s="177"/>
      <c r="GM105" s="177"/>
      <c r="GN105" s="177"/>
      <c r="GO105" s="177"/>
      <c r="GP105" s="177"/>
      <c r="GQ105" s="177"/>
      <c r="GR105" s="177"/>
      <c r="GS105" s="177"/>
      <c r="GT105" s="177"/>
      <c r="GU105" s="177"/>
      <c r="GV105" s="177"/>
      <c r="GW105" s="177"/>
      <c r="GX105" s="177"/>
      <c r="GY105" s="177"/>
      <c r="GZ105" s="177"/>
      <c r="HA105" s="177"/>
      <c r="HB105" s="177"/>
      <c r="HC105" s="177"/>
      <c r="HD105" s="177"/>
      <c r="HE105" s="177"/>
      <c r="HF105" s="177"/>
      <c r="HG105" s="177"/>
      <c r="HH105" s="177"/>
      <c r="HI105" s="177"/>
      <c r="HJ105" s="177"/>
      <c r="HK105" s="177"/>
      <c r="HL105" s="177"/>
      <c r="HM105" s="177"/>
      <c r="HN105" s="177"/>
      <c r="HO105" s="177"/>
      <c r="HP105" s="177"/>
      <c r="HQ105" s="177"/>
      <c r="HR105" s="177"/>
      <c r="HS105" s="177"/>
      <c r="HT105" s="177"/>
      <c r="HU105" s="177"/>
      <c r="HV105" s="177"/>
      <c r="HW105" s="177"/>
      <c r="HX105" s="177"/>
      <c r="HY105" s="177"/>
      <c r="HZ105" s="177"/>
      <c r="IA105" s="177"/>
      <c r="IB105" s="177"/>
      <c r="IC105" s="177"/>
      <c r="ID105" s="177"/>
      <c r="IE105" s="177"/>
      <c r="IF105" s="177"/>
      <c r="IG105" s="177"/>
      <c r="IH105" s="177"/>
      <c r="II105" s="177"/>
      <c r="IJ105" s="177"/>
      <c r="IK105" s="177"/>
      <c r="IL105" s="177"/>
      <c r="IM105" s="177"/>
      <c r="IN105" s="177"/>
      <c r="IO105" s="177"/>
      <c r="IP105" s="177"/>
      <c r="IQ105" s="177"/>
      <c r="IR105" s="177"/>
      <c r="IS105" s="177"/>
      <c r="IT105" s="177"/>
      <c r="IU105" s="177"/>
      <c r="IV105" s="177"/>
    </row>
    <row r="106" spans="1:256" x14ac:dyDescent="0.3">
      <c r="A106" s="178" t="s">
        <v>505</v>
      </c>
      <c r="B106" s="251">
        <f>'2'!C25/бс!C37</f>
        <v>8.560506778766494E-2</v>
      </c>
      <c r="C106" s="251">
        <f>'2'!D25/бс!D37</f>
        <v>0.1023141858979414</v>
      </c>
      <c r="D106" s="251">
        <f>'2'!E25/бс!E37</f>
        <v>0.18250807832524138</v>
      </c>
      <c r="E106" s="251">
        <f>'2'!F25/бс!F37</f>
        <v>0.19586005972223575</v>
      </c>
      <c r="F106" s="251">
        <f>'2'!G25/бс!G37</f>
        <v>0.29729530678436178</v>
      </c>
      <c r="G106" s="251">
        <f>'2'!H25/бс!H37</f>
        <v>1.5852252858974524E-2</v>
      </c>
      <c r="H106" s="251">
        <f>'2'!I25/бс!I37</f>
        <v>0.16796219628946241</v>
      </c>
      <c r="I106" s="395"/>
      <c r="J106" s="390"/>
      <c r="K106" s="390"/>
      <c r="L106" s="390"/>
      <c r="M106" s="390"/>
      <c r="N106" s="390"/>
      <c r="O106" s="390"/>
      <c r="P106" s="390"/>
      <c r="Q106" s="390"/>
      <c r="R106" s="390"/>
      <c r="S106" s="390"/>
      <c r="T106" s="390"/>
      <c r="U106" s="390"/>
      <c r="V106" s="390"/>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c r="BA106" s="177"/>
      <c r="BB106" s="177"/>
      <c r="BC106" s="177"/>
      <c r="BD106" s="177"/>
      <c r="BE106" s="177"/>
      <c r="BF106" s="177"/>
      <c r="BG106" s="177"/>
      <c r="BH106" s="177"/>
      <c r="BI106" s="177"/>
      <c r="BJ106" s="177"/>
      <c r="BK106" s="177"/>
      <c r="BL106" s="177"/>
      <c r="BM106" s="177"/>
      <c r="BN106" s="177"/>
      <c r="BO106" s="177"/>
      <c r="BP106" s="177"/>
      <c r="BQ106" s="177"/>
      <c r="BR106" s="177"/>
      <c r="BS106" s="177"/>
      <c r="BT106" s="177"/>
      <c r="BU106" s="177"/>
      <c r="BV106" s="177"/>
      <c r="BW106" s="177"/>
      <c r="BX106" s="177"/>
      <c r="BY106" s="177"/>
      <c r="BZ106" s="177"/>
      <c r="CA106" s="177"/>
      <c r="CB106" s="177"/>
      <c r="CC106" s="177"/>
      <c r="CD106" s="177"/>
      <c r="CE106" s="177"/>
      <c r="CF106" s="177"/>
      <c r="CG106" s="177"/>
      <c r="CH106" s="177"/>
      <c r="CI106" s="177"/>
      <c r="CJ106" s="177"/>
      <c r="CK106" s="177"/>
      <c r="CL106" s="177"/>
      <c r="CM106" s="177"/>
      <c r="CN106" s="177"/>
      <c r="CO106" s="177"/>
      <c r="CP106" s="177"/>
      <c r="CQ106" s="177"/>
      <c r="CR106" s="177"/>
      <c r="CS106" s="177"/>
      <c r="CT106" s="177"/>
      <c r="CU106" s="177"/>
      <c r="CV106" s="177"/>
      <c r="CW106" s="177"/>
      <c r="CX106" s="177"/>
      <c r="CY106" s="177"/>
      <c r="CZ106" s="177"/>
      <c r="DA106" s="177"/>
      <c r="DB106" s="177"/>
      <c r="DC106" s="177"/>
      <c r="DD106" s="177"/>
      <c r="DE106" s="177"/>
      <c r="DF106" s="177"/>
      <c r="DG106" s="177"/>
      <c r="DH106" s="177"/>
      <c r="DI106" s="177"/>
      <c r="DJ106" s="177"/>
      <c r="DK106" s="177"/>
      <c r="DL106" s="177"/>
      <c r="DM106" s="177"/>
      <c r="DN106" s="177"/>
      <c r="DO106" s="177"/>
      <c r="DP106" s="177"/>
      <c r="DQ106" s="177"/>
      <c r="DR106" s="177"/>
      <c r="DS106" s="177"/>
      <c r="DT106" s="177"/>
      <c r="DU106" s="177"/>
      <c r="DV106" s="177"/>
      <c r="DW106" s="177"/>
      <c r="DX106" s="177"/>
      <c r="DY106" s="177"/>
      <c r="DZ106" s="177"/>
      <c r="EA106" s="177"/>
      <c r="EB106" s="177"/>
      <c r="EC106" s="177"/>
      <c r="ED106" s="177"/>
      <c r="EE106" s="177"/>
      <c r="EF106" s="177"/>
      <c r="EG106" s="177"/>
      <c r="EH106" s="177"/>
      <c r="EI106" s="177"/>
      <c r="EJ106" s="177"/>
      <c r="EK106" s="177"/>
      <c r="EL106" s="177"/>
      <c r="EM106" s="177"/>
      <c r="EN106" s="177"/>
      <c r="EO106" s="177"/>
      <c r="EP106" s="177"/>
      <c r="EQ106" s="177"/>
      <c r="ER106" s="177"/>
      <c r="ES106" s="177"/>
      <c r="ET106" s="177"/>
      <c r="EU106" s="177"/>
      <c r="EV106" s="177"/>
      <c r="EW106" s="177"/>
      <c r="EX106" s="177"/>
      <c r="EY106" s="177"/>
      <c r="EZ106" s="177"/>
      <c r="FA106" s="177"/>
      <c r="FB106" s="177"/>
      <c r="FC106" s="177"/>
      <c r="FD106" s="177"/>
      <c r="FE106" s="177"/>
      <c r="FF106" s="177"/>
      <c r="FG106" s="177"/>
      <c r="FH106" s="177"/>
      <c r="FI106" s="177"/>
      <c r="FJ106" s="177"/>
      <c r="FK106" s="177"/>
      <c r="FL106" s="177"/>
      <c r="FM106" s="177"/>
      <c r="FN106" s="177"/>
      <c r="FO106" s="177"/>
      <c r="FP106" s="177"/>
      <c r="FQ106" s="177"/>
      <c r="FR106" s="177"/>
      <c r="FS106" s="177"/>
      <c r="FT106" s="177"/>
      <c r="FU106" s="177"/>
      <c r="FV106" s="177"/>
      <c r="FW106" s="177"/>
      <c r="FX106" s="177"/>
      <c r="FY106" s="177"/>
      <c r="FZ106" s="177"/>
      <c r="GA106" s="177"/>
      <c r="GB106" s="177"/>
      <c r="GC106" s="177"/>
      <c r="GD106" s="177"/>
      <c r="GE106" s="177"/>
      <c r="GF106" s="177"/>
      <c r="GG106" s="177"/>
      <c r="GH106" s="177"/>
      <c r="GI106" s="177"/>
      <c r="GJ106" s="177"/>
      <c r="GK106" s="177"/>
      <c r="GL106" s="177"/>
      <c r="GM106" s="177"/>
      <c r="GN106" s="177"/>
      <c r="GO106" s="177"/>
      <c r="GP106" s="177"/>
      <c r="GQ106" s="177"/>
      <c r="GR106" s="177"/>
      <c r="GS106" s="177"/>
      <c r="GT106" s="177"/>
      <c r="GU106" s="177"/>
      <c r="GV106" s="177"/>
      <c r="GW106" s="177"/>
      <c r="GX106" s="177"/>
      <c r="GY106" s="177"/>
      <c r="GZ106" s="177"/>
      <c r="HA106" s="177"/>
      <c r="HB106" s="177"/>
      <c r="HC106" s="177"/>
      <c r="HD106" s="177"/>
      <c r="HE106" s="177"/>
      <c r="HF106" s="177"/>
      <c r="HG106" s="177"/>
      <c r="HH106" s="177"/>
      <c r="HI106" s="177"/>
      <c r="HJ106" s="177"/>
      <c r="HK106" s="177"/>
      <c r="HL106" s="177"/>
      <c r="HM106" s="177"/>
      <c r="HN106" s="177"/>
      <c r="HO106" s="177"/>
      <c r="HP106" s="177"/>
      <c r="HQ106" s="177"/>
      <c r="HR106" s="177"/>
      <c r="HS106" s="177"/>
      <c r="HT106" s="177"/>
      <c r="HU106" s="177"/>
      <c r="HV106" s="177"/>
      <c r="HW106" s="177"/>
      <c r="HX106" s="177"/>
      <c r="HY106" s="177"/>
      <c r="HZ106" s="177"/>
      <c r="IA106" s="177"/>
      <c r="IB106" s="177"/>
      <c r="IC106" s="177"/>
      <c r="ID106" s="177"/>
      <c r="IE106" s="177"/>
      <c r="IF106" s="177"/>
      <c r="IG106" s="177"/>
      <c r="IH106" s="177"/>
      <c r="II106" s="177"/>
      <c r="IJ106" s="177"/>
      <c r="IK106" s="177"/>
      <c r="IL106" s="177"/>
      <c r="IM106" s="177"/>
      <c r="IN106" s="177"/>
      <c r="IO106" s="177"/>
      <c r="IP106" s="177"/>
      <c r="IQ106" s="177"/>
      <c r="IR106" s="177"/>
      <c r="IS106" s="177"/>
      <c r="IT106" s="177"/>
      <c r="IU106" s="177"/>
      <c r="IV106" s="177"/>
    </row>
    <row r="107" spans="1:256" x14ac:dyDescent="0.3">
      <c r="A107" s="252" t="s">
        <v>506</v>
      </c>
      <c r="B107" s="253">
        <f>(бс!C25/'2'!C7)*365</f>
        <v>527.96937771895603</v>
      </c>
      <c r="C107" s="253">
        <f>(бс!D25/'2'!D7)*365</f>
        <v>443.55629271548446</v>
      </c>
      <c r="D107" s="253">
        <f>(бс!E25/'2'!E7)*365</f>
        <v>618.15409863230104</v>
      </c>
      <c r="E107" s="253">
        <f>(бс!F25/'2'!F7)*365</f>
        <v>699.40340587415665</v>
      </c>
      <c r="F107" s="253">
        <f>(бс!G25/'2'!G7)*365</f>
        <v>513.18079808170455</v>
      </c>
      <c r="G107" s="253">
        <f>(бс!H25/'2'!H7)*365</f>
        <v>593.76136485366271</v>
      </c>
      <c r="H107" s="253">
        <f>(бс!I25/'2'!I7)*365</f>
        <v>296.64227058874155</v>
      </c>
      <c r="I107" s="395"/>
      <c r="J107" s="390"/>
      <c r="K107" s="390"/>
      <c r="L107" s="390"/>
      <c r="M107" s="390"/>
      <c r="N107" s="390"/>
      <c r="O107" s="390"/>
      <c r="P107" s="390"/>
      <c r="Q107" s="390"/>
      <c r="R107" s="390"/>
      <c r="S107" s="390"/>
      <c r="T107" s="390"/>
      <c r="U107" s="390"/>
      <c r="V107" s="390"/>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c r="AU107" s="177"/>
      <c r="AV107" s="177"/>
      <c r="AW107" s="177"/>
      <c r="AX107" s="177"/>
      <c r="AY107" s="177"/>
      <c r="AZ107" s="177"/>
      <c r="BA107" s="177"/>
      <c r="BB107" s="177"/>
      <c r="BC107" s="177"/>
      <c r="BD107" s="177"/>
      <c r="BE107" s="177"/>
      <c r="BF107" s="177"/>
      <c r="BG107" s="177"/>
      <c r="BH107" s="177"/>
      <c r="BI107" s="177"/>
      <c r="BJ107" s="177"/>
      <c r="BK107" s="177"/>
      <c r="BL107" s="177"/>
      <c r="BM107" s="177"/>
      <c r="BN107" s="177"/>
      <c r="BO107" s="177"/>
      <c r="BP107" s="177"/>
      <c r="BQ107" s="177"/>
      <c r="BR107" s="177"/>
      <c r="BS107" s="177"/>
      <c r="BT107" s="177"/>
      <c r="BU107" s="177"/>
      <c r="BV107" s="177"/>
      <c r="BW107" s="177"/>
      <c r="BX107" s="177"/>
      <c r="BY107" s="177"/>
      <c r="BZ107" s="177"/>
      <c r="CA107" s="177"/>
      <c r="CB107" s="177"/>
      <c r="CC107" s="177"/>
      <c r="CD107" s="177"/>
      <c r="CE107" s="177"/>
      <c r="CF107" s="177"/>
      <c r="CG107" s="177"/>
      <c r="CH107" s="177"/>
      <c r="CI107" s="177"/>
      <c r="CJ107" s="177"/>
      <c r="CK107" s="177"/>
      <c r="CL107" s="177"/>
      <c r="CM107" s="177"/>
      <c r="CN107" s="177"/>
      <c r="CO107" s="177"/>
      <c r="CP107" s="177"/>
      <c r="CQ107" s="177"/>
      <c r="CR107" s="177"/>
      <c r="CS107" s="177"/>
      <c r="CT107" s="177"/>
      <c r="CU107" s="177"/>
      <c r="CV107" s="177"/>
      <c r="CW107" s="177"/>
      <c r="CX107" s="177"/>
      <c r="CY107" s="177"/>
      <c r="CZ107" s="177"/>
      <c r="DA107" s="177"/>
      <c r="DB107" s="177"/>
      <c r="DC107" s="177"/>
      <c r="DD107" s="177"/>
      <c r="DE107" s="177"/>
      <c r="DF107" s="177"/>
      <c r="DG107" s="177"/>
      <c r="DH107" s="177"/>
      <c r="DI107" s="177"/>
      <c r="DJ107" s="177"/>
      <c r="DK107" s="177"/>
      <c r="DL107" s="177"/>
      <c r="DM107" s="177"/>
      <c r="DN107" s="177"/>
      <c r="DO107" s="177"/>
      <c r="DP107" s="177"/>
      <c r="DQ107" s="177"/>
      <c r="DR107" s="177"/>
      <c r="DS107" s="177"/>
      <c r="DT107" s="177"/>
      <c r="DU107" s="177"/>
      <c r="DV107" s="177"/>
      <c r="DW107" s="177"/>
      <c r="DX107" s="177"/>
      <c r="DY107" s="177"/>
      <c r="DZ107" s="177"/>
      <c r="EA107" s="177"/>
      <c r="EB107" s="177"/>
      <c r="EC107" s="177"/>
      <c r="ED107" s="177"/>
      <c r="EE107" s="177"/>
      <c r="EF107" s="177"/>
      <c r="EG107" s="177"/>
      <c r="EH107" s="177"/>
      <c r="EI107" s="177"/>
      <c r="EJ107" s="177"/>
      <c r="EK107" s="177"/>
      <c r="EL107" s="177"/>
      <c r="EM107" s="177"/>
      <c r="EN107" s="177"/>
      <c r="EO107" s="177"/>
      <c r="EP107" s="177"/>
      <c r="EQ107" s="177"/>
      <c r="ER107" s="177"/>
      <c r="ES107" s="177"/>
      <c r="ET107" s="177"/>
      <c r="EU107" s="177"/>
      <c r="EV107" s="177"/>
      <c r="EW107" s="177"/>
      <c r="EX107" s="177"/>
      <c r="EY107" s="177"/>
      <c r="EZ107" s="177"/>
      <c r="FA107" s="177"/>
      <c r="FB107" s="177"/>
      <c r="FC107" s="177"/>
      <c r="FD107" s="177"/>
      <c r="FE107" s="177"/>
      <c r="FF107" s="177"/>
      <c r="FG107" s="177"/>
      <c r="FH107" s="177"/>
      <c r="FI107" s="177"/>
      <c r="FJ107" s="177"/>
      <c r="FK107" s="177"/>
      <c r="FL107" s="177"/>
      <c r="FM107" s="177"/>
      <c r="FN107" s="177"/>
      <c r="FO107" s="177"/>
      <c r="FP107" s="177"/>
      <c r="FQ107" s="177"/>
      <c r="FR107" s="177"/>
      <c r="FS107" s="177"/>
      <c r="FT107" s="177"/>
      <c r="FU107" s="177"/>
      <c r="FV107" s="177"/>
      <c r="FW107" s="177"/>
      <c r="FX107" s="177"/>
      <c r="FY107" s="177"/>
      <c r="FZ107" s="177"/>
      <c r="GA107" s="177"/>
      <c r="GB107" s="177"/>
      <c r="GC107" s="177"/>
      <c r="GD107" s="177"/>
      <c r="GE107" s="177"/>
      <c r="GF107" s="177"/>
      <c r="GG107" s="177"/>
      <c r="GH107" s="177"/>
      <c r="GI107" s="177"/>
      <c r="GJ107" s="177"/>
      <c r="GK107" s="177"/>
      <c r="GL107" s="177"/>
      <c r="GM107" s="177"/>
      <c r="GN107" s="177"/>
      <c r="GO107" s="177"/>
      <c r="GP107" s="177"/>
      <c r="GQ107" s="177"/>
      <c r="GR107" s="177"/>
      <c r="GS107" s="177"/>
      <c r="GT107" s="177"/>
      <c r="GU107" s="177"/>
      <c r="GV107" s="177"/>
      <c r="GW107" s="177"/>
      <c r="GX107" s="177"/>
      <c r="GY107" s="177"/>
      <c r="GZ107" s="177"/>
      <c r="HA107" s="177"/>
      <c r="HB107" s="177"/>
      <c r="HC107" s="177"/>
      <c r="HD107" s="177"/>
      <c r="HE107" s="177"/>
      <c r="HF107" s="177"/>
      <c r="HG107" s="177"/>
      <c r="HH107" s="177"/>
      <c r="HI107" s="177"/>
      <c r="HJ107" s="177"/>
      <c r="HK107" s="177"/>
      <c r="HL107" s="177"/>
      <c r="HM107" s="177"/>
      <c r="HN107" s="177"/>
      <c r="HO107" s="177"/>
      <c r="HP107" s="177"/>
      <c r="HQ107" s="177"/>
      <c r="HR107" s="177"/>
      <c r="HS107" s="177"/>
      <c r="HT107" s="177"/>
      <c r="HU107" s="177"/>
      <c r="HV107" s="177"/>
      <c r="HW107" s="177"/>
      <c r="HX107" s="177"/>
      <c r="HY107" s="177"/>
      <c r="HZ107" s="177"/>
      <c r="IA107" s="177"/>
      <c r="IB107" s="177"/>
      <c r="IC107" s="177"/>
      <c r="ID107" s="177"/>
      <c r="IE107" s="177"/>
      <c r="IF107" s="177"/>
      <c r="IG107" s="177"/>
      <c r="IH107" s="177"/>
      <c r="II107" s="177"/>
      <c r="IJ107" s="177"/>
      <c r="IK107" s="177"/>
      <c r="IL107" s="177"/>
      <c r="IM107" s="177"/>
      <c r="IN107" s="177"/>
      <c r="IO107" s="177"/>
      <c r="IP107" s="177"/>
      <c r="IQ107" s="177"/>
      <c r="IR107" s="177"/>
      <c r="IS107" s="177"/>
      <c r="IT107" s="177"/>
      <c r="IU107" s="177"/>
      <c r="IV107" s="177"/>
    </row>
    <row r="108" spans="1:256" x14ac:dyDescent="0.3">
      <c r="A108" s="252" t="s">
        <v>507</v>
      </c>
      <c r="B108" s="254">
        <f>((бс!C17+бс!C18)/'2'!C8)*365</f>
        <v>-79.740580578843918</v>
      </c>
      <c r="C108" s="254">
        <f>((бс!D17+бс!D18)/'2'!D8)*365</f>
        <v>-70.102268058517964</v>
      </c>
      <c r="D108" s="254">
        <f>((бс!E17+бс!E18)/'2'!E8)*365</f>
        <v>-78.728664027251455</v>
      </c>
      <c r="E108" s="254">
        <f>((бс!F17+бс!F18)/'2'!F8)*365</f>
        <v>-67.344835747266586</v>
      </c>
      <c r="F108" s="254">
        <f>((бс!G17+бс!G18)/'2'!G8)*365</f>
        <v>-69.461805942650017</v>
      </c>
      <c r="G108" s="254">
        <f>((бс!H17+бс!H18)/'2'!H8)*365</f>
        <v>-73.158581954069305</v>
      </c>
      <c r="H108" s="254">
        <f>((бс!I17+бс!I18)/'2'!I8)*365</f>
        <v>-67.896391702922813</v>
      </c>
      <c r="I108" s="395"/>
      <c r="J108" s="390"/>
      <c r="K108" s="390"/>
      <c r="L108" s="390"/>
      <c r="M108" s="390"/>
      <c r="N108" s="390"/>
      <c r="O108" s="390"/>
      <c r="P108" s="390"/>
      <c r="Q108" s="390"/>
      <c r="R108" s="390"/>
      <c r="S108" s="390"/>
      <c r="T108" s="390"/>
      <c r="U108" s="390"/>
      <c r="V108" s="390"/>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c r="BA108" s="177"/>
      <c r="BB108" s="177"/>
      <c r="BC108" s="177"/>
      <c r="BD108" s="177"/>
      <c r="BE108" s="177"/>
      <c r="BF108" s="177"/>
      <c r="BG108" s="177"/>
      <c r="BH108" s="177"/>
      <c r="BI108" s="177"/>
      <c r="BJ108" s="177"/>
      <c r="BK108" s="177"/>
      <c r="BL108" s="177"/>
      <c r="BM108" s="177"/>
      <c r="BN108" s="177"/>
      <c r="BO108" s="177"/>
      <c r="BP108" s="177"/>
      <c r="BQ108" s="177"/>
      <c r="BR108" s="177"/>
      <c r="BS108" s="177"/>
      <c r="BT108" s="177"/>
      <c r="BU108" s="177"/>
      <c r="BV108" s="177"/>
      <c r="BW108" s="177"/>
      <c r="BX108" s="177"/>
      <c r="BY108" s="177"/>
      <c r="BZ108" s="177"/>
      <c r="CA108" s="177"/>
      <c r="CB108" s="177"/>
      <c r="CC108" s="177"/>
      <c r="CD108" s="177"/>
      <c r="CE108" s="177"/>
      <c r="CF108" s="177"/>
      <c r="CG108" s="177"/>
      <c r="CH108" s="177"/>
      <c r="CI108" s="177"/>
      <c r="CJ108" s="177"/>
      <c r="CK108" s="177"/>
      <c r="CL108" s="177"/>
      <c r="CM108" s="177"/>
      <c r="CN108" s="177"/>
      <c r="CO108" s="177"/>
      <c r="CP108" s="177"/>
      <c r="CQ108" s="177"/>
      <c r="CR108" s="177"/>
      <c r="CS108" s="177"/>
      <c r="CT108" s="177"/>
      <c r="CU108" s="177"/>
      <c r="CV108" s="177"/>
      <c r="CW108" s="177"/>
      <c r="CX108" s="177"/>
      <c r="CY108" s="177"/>
      <c r="CZ108" s="177"/>
      <c r="DA108" s="177"/>
      <c r="DB108" s="177"/>
      <c r="DC108" s="177"/>
      <c r="DD108" s="177"/>
      <c r="DE108" s="177"/>
      <c r="DF108" s="177"/>
      <c r="DG108" s="177"/>
      <c r="DH108" s="177"/>
      <c r="DI108" s="177"/>
      <c r="DJ108" s="177"/>
      <c r="DK108" s="177"/>
      <c r="DL108" s="177"/>
      <c r="DM108" s="177"/>
      <c r="DN108" s="177"/>
      <c r="DO108" s="177"/>
      <c r="DP108" s="177"/>
      <c r="DQ108" s="177"/>
      <c r="DR108" s="177"/>
      <c r="DS108" s="177"/>
      <c r="DT108" s="177"/>
      <c r="DU108" s="177"/>
      <c r="DV108" s="177"/>
      <c r="DW108" s="177"/>
      <c r="DX108" s="177"/>
      <c r="DY108" s="177"/>
      <c r="DZ108" s="177"/>
      <c r="EA108" s="177"/>
      <c r="EB108" s="177"/>
      <c r="EC108" s="177"/>
      <c r="ED108" s="177"/>
      <c r="EE108" s="177"/>
      <c r="EF108" s="177"/>
      <c r="EG108" s="177"/>
      <c r="EH108" s="177"/>
      <c r="EI108" s="177"/>
      <c r="EJ108" s="177"/>
      <c r="EK108" s="177"/>
      <c r="EL108" s="177"/>
      <c r="EM108" s="177"/>
      <c r="EN108" s="177"/>
      <c r="EO108" s="177"/>
      <c r="EP108" s="177"/>
      <c r="EQ108" s="177"/>
      <c r="ER108" s="177"/>
      <c r="ES108" s="177"/>
      <c r="ET108" s="177"/>
      <c r="EU108" s="177"/>
      <c r="EV108" s="177"/>
      <c r="EW108" s="177"/>
      <c r="EX108" s="177"/>
      <c r="EY108" s="177"/>
      <c r="EZ108" s="177"/>
      <c r="FA108" s="177"/>
      <c r="FB108" s="177"/>
      <c r="FC108" s="177"/>
      <c r="FD108" s="177"/>
      <c r="FE108" s="177"/>
      <c r="FF108" s="177"/>
      <c r="FG108" s="177"/>
      <c r="FH108" s="177"/>
      <c r="FI108" s="177"/>
      <c r="FJ108" s="177"/>
      <c r="FK108" s="177"/>
      <c r="FL108" s="177"/>
      <c r="FM108" s="177"/>
      <c r="FN108" s="177"/>
      <c r="FO108" s="177"/>
      <c r="FP108" s="177"/>
      <c r="FQ108" s="177"/>
      <c r="FR108" s="177"/>
      <c r="FS108" s="177"/>
      <c r="FT108" s="177"/>
      <c r="FU108" s="177"/>
      <c r="FV108" s="177"/>
      <c r="FW108" s="177"/>
      <c r="FX108" s="177"/>
      <c r="FY108" s="177"/>
      <c r="FZ108" s="177"/>
      <c r="GA108" s="177"/>
      <c r="GB108" s="177"/>
      <c r="GC108" s="177"/>
      <c r="GD108" s="177"/>
      <c r="GE108" s="177"/>
      <c r="GF108" s="177"/>
      <c r="GG108" s="177"/>
      <c r="GH108" s="177"/>
      <c r="GI108" s="177"/>
      <c r="GJ108" s="177"/>
      <c r="GK108" s="177"/>
      <c r="GL108" s="177"/>
      <c r="GM108" s="177"/>
      <c r="GN108" s="177"/>
      <c r="GO108" s="177"/>
      <c r="GP108" s="177"/>
      <c r="GQ108" s="177"/>
      <c r="GR108" s="177"/>
      <c r="GS108" s="177"/>
      <c r="GT108" s="177"/>
      <c r="GU108" s="177"/>
      <c r="GV108" s="177"/>
      <c r="GW108" s="177"/>
      <c r="GX108" s="177"/>
      <c r="GY108" s="177"/>
      <c r="GZ108" s="177"/>
      <c r="HA108" s="177"/>
      <c r="HB108" s="177"/>
      <c r="HC108" s="177"/>
      <c r="HD108" s="177"/>
      <c r="HE108" s="177"/>
      <c r="HF108" s="177"/>
      <c r="HG108" s="177"/>
      <c r="HH108" s="177"/>
      <c r="HI108" s="177"/>
      <c r="HJ108" s="177"/>
      <c r="HK108" s="177"/>
      <c r="HL108" s="177"/>
      <c r="HM108" s="177"/>
      <c r="HN108" s="177"/>
      <c r="HO108" s="177"/>
      <c r="HP108" s="177"/>
      <c r="HQ108" s="177"/>
      <c r="HR108" s="177"/>
      <c r="HS108" s="177"/>
      <c r="HT108" s="177"/>
      <c r="HU108" s="177"/>
      <c r="HV108" s="177"/>
      <c r="HW108" s="177"/>
      <c r="HX108" s="177"/>
      <c r="HY108" s="177"/>
      <c r="HZ108" s="177"/>
      <c r="IA108" s="177"/>
      <c r="IB108" s="177"/>
      <c r="IC108" s="177"/>
      <c r="ID108" s="177"/>
      <c r="IE108" s="177"/>
      <c r="IF108" s="177"/>
      <c r="IG108" s="177"/>
      <c r="IH108" s="177"/>
      <c r="II108" s="177"/>
      <c r="IJ108" s="177"/>
      <c r="IK108" s="177"/>
      <c r="IL108" s="177"/>
      <c r="IM108" s="177"/>
      <c r="IN108" s="177"/>
      <c r="IO108" s="177"/>
      <c r="IP108" s="177"/>
      <c r="IQ108" s="177"/>
      <c r="IR108" s="177"/>
      <c r="IS108" s="177"/>
      <c r="IT108" s="177"/>
      <c r="IU108" s="177"/>
      <c r="IV108" s="177"/>
    </row>
    <row r="109" spans="1:256" x14ac:dyDescent="0.3">
      <c r="A109" s="252" t="s">
        <v>508</v>
      </c>
      <c r="B109" s="255">
        <f>'2'!C7/э!B5</f>
        <v>8157.6164280331577</v>
      </c>
      <c r="C109" s="255">
        <f>'2'!D7/э!C5</f>
        <v>10305.434155597723</v>
      </c>
      <c r="D109" s="255">
        <f>'2'!E7/э!D5</f>
        <v>9150.0865421273356</v>
      </c>
      <c r="E109" s="255">
        <f>'2'!F7/э!E5</f>
        <v>9058.6751071289436</v>
      </c>
      <c r="F109" s="255">
        <f>'2'!G7/э!F5</f>
        <v>10177.516227567774</v>
      </c>
      <c r="G109" s="255">
        <f>'2'!H7/э!G5</f>
        <v>6944.0774860094707</v>
      </c>
      <c r="H109" s="255">
        <f>'2'!I7/э!H5</f>
        <v>7858.5880488909006</v>
      </c>
      <c r="I109" s="395"/>
      <c r="J109" s="390"/>
      <c r="K109" s="390"/>
      <c r="L109" s="390"/>
      <c r="M109" s="390"/>
      <c r="N109" s="390"/>
      <c r="O109" s="390"/>
      <c r="P109" s="390"/>
      <c r="Q109" s="390"/>
      <c r="R109" s="390"/>
      <c r="S109" s="390"/>
      <c r="T109" s="390"/>
      <c r="U109" s="390"/>
      <c r="V109" s="390"/>
      <c r="W109" s="177"/>
      <c r="X109" s="177"/>
      <c r="Y109" s="177"/>
      <c r="Z109" s="177"/>
      <c r="AA109" s="177"/>
      <c r="AB109" s="177"/>
      <c r="AC109" s="177"/>
      <c r="AD109" s="177"/>
      <c r="AE109" s="177"/>
      <c r="AF109" s="177"/>
      <c r="AG109" s="177"/>
      <c r="AH109" s="177"/>
      <c r="AI109" s="177"/>
      <c r="AJ109" s="177"/>
      <c r="AK109" s="177"/>
      <c r="AL109" s="177"/>
      <c r="AM109" s="177"/>
      <c r="AN109" s="177"/>
      <c r="AO109" s="177"/>
      <c r="AP109" s="177"/>
      <c r="AQ109" s="177"/>
      <c r="AR109" s="177"/>
      <c r="AS109" s="177"/>
      <c r="AT109" s="177"/>
      <c r="AU109" s="177"/>
      <c r="AV109" s="177"/>
      <c r="AW109" s="177"/>
      <c r="AX109" s="177"/>
      <c r="AY109" s="177"/>
      <c r="AZ109" s="177"/>
      <c r="BA109" s="177"/>
      <c r="BB109" s="177"/>
      <c r="BC109" s="177"/>
      <c r="BD109" s="177"/>
      <c r="BE109" s="177"/>
      <c r="BF109" s="177"/>
      <c r="BG109" s="177"/>
      <c r="BH109" s="177"/>
      <c r="BI109" s="177"/>
      <c r="BJ109" s="177"/>
      <c r="BK109" s="177"/>
      <c r="BL109" s="177"/>
      <c r="BM109" s="177"/>
      <c r="BN109" s="177"/>
      <c r="BO109" s="177"/>
      <c r="BP109" s="177"/>
      <c r="BQ109" s="177"/>
      <c r="BR109" s="177"/>
      <c r="BS109" s="177"/>
      <c r="BT109" s="177"/>
      <c r="BU109" s="177"/>
      <c r="BV109" s="177"/>
      <c r="BW109" s="177"/>
      <c r="BX109" s="177"/>
      <c r="BY109" s="177"/>
      <c r="BZ109" s="177"/>
      <c r="CA109" s="177"/>
      <c r="CB109" s="177"/>
      <c r="CC109" s="177"/>
      <c r="CD109" s="177"/>
      <c r="CE109" s="177"/>
      <c r="CF109" s="177"/>
      <c r="CG109" s="177"/>
      <c r="CH109" s="177"/>
      <c r="CI109" s="177"/>
      <c r="CJ109" s="177"/>
      <c r="CK109" s="177"/>
      <c r="CL109" s="177"/>
      <c r="CM109" s="177"/>
      <c r="CN109" s="177"/>
      <c r="CO109" s="177"/>
      <c r="CP109" s="177"/>
      <c r="CQ109" s="177"/>
      <c r="CR109" s="177"/>
      <c r="CS109" s="177"/>
      <c r="CT109" s="177"/>
      <c r="CU109" s="177"/>
      <c r="CV109" s="177"/>
      <c r="CW109" s="177"/>
      <c r="CX109" s="177"/>
      <c r="CY109" s="177"/>
      <c r="CZ109" s="177"/>
      <c r="DA109" s="177"/>
      <c r="DB109" s="177"/>
      <c r="DC109" s="177"/>
      <c r="DD109" s="177"/>
      <c r="DE109" s="177"/>
      <c r="DF109" s="177"/>
      <c r="DG109" s="177"/>
      <c r="DH109" s="177"/>
      <c r="DI109" s="177"/>
      <c r="DJ109" s="177"/>
      <c r="DK109" s="177"/>
      <c r="DL109" s="177"/>
      <c r="DM109" s="177"/>
      <c r="DN109" s="177"/>
      <c r="DO109" s="177"/>
      <c r="DP109" s="177"/>
      <c r="DQ109" s="177"/>
      <c r="DR109" s="177"/>
      <c r="DS109" s="177"/>
      <c r="DT109" s="177"/>
      <c r="DU109" s="177"/>
      <c r="DV109" s="177"/>
      <c r="DW109" s="177"/>
      <c r="DX109" s="177"/>
      <c r="DY109" s="177"/>
      <c r="DZ109" s="177"/>
      <c r="EA109" s="177"/>
      <c r="EB109" s="177"/>
      <c r="EC109" s="177"/>
      <c r="ED109" s="177"/>
      <c r="EE109" s="177"/>
      <c r="EF109" s="177"/>
      <c r="EG109" s="177"/>
      <c r="EH109" s="177"/>
      <c r="EI109" s="177"/>
      <c r="EJ109" s="177"/>
      <c r="EK109" s="177"/>
      <c r="EL109" s="177"/>
      <c r="EM109" s="177"/>
      <c r="EN109" s="177"/>
      <c r="EO109" s="177"/>
      <c r="EP109" s="177"/>
      <c r="EQ109" s="177"/>
      <c r="ER109" s="177"/>
      <c r="ES109" s="177"/>
      <c r="ET109" s="177"/>
      <c r="EU109" s="177"/>
      <c r="EV109" s="177"/>
      <c r="EW109" s="177"/>
      <c r="EX109" s="177"/>
      <c r="EY109" s="177"/>
      <c r="EZ109" s="177"/>
      <c r="FA109" s="177"/>
      <c r="FB109" s="177"/>
      <c r="FC109" s="177"/>
      <c r="FD109" s="177"/>
      <c r="FE109" s="177"/>
      <c r="FF109" s="177"/>
      <c r="FG109" s="177"/>
      <c r="FH109" s="177"/>
      <c r="FI109" s="177"/>
      <c r="FJ109" s="177"/>
      <c r="FK109" s="177"/>
      <c r="FL109" s="177"/>
      <c r="FM109" s="177"/>
      <c r="FN109" s="177"/>
      <c r="FO109" s="177"/>
      <c r="FP109" s="177"/>
      <c r="FQ109" s="177"/>
      <c r="FR109" s="177"/>
      <c r="FS109" s="177"/>
      <c r="FT109" s="177"/>
      <c r="FU109" s="177"/>
      <c r="FV109" s="177"/>
      <c r="FW109" s="177"/>
      <c r="FX109" s="177"/>
      <c r="FY109" s="177"/>
      <c r="FZ109" s="177"/>
      <c r="GA109" s="177"/>
      <c r="GB109" s="177"/>
      <c r="GC109" s="177"/>
      <c r="GD109" s="177"/>
      <c r="GE109" s="177"/>
      <c r="GF109" s="177"/>
      <c r="GG109" s="177"/>
      <c r="GH109" s="177"/>
      <c r="GI109" s="177"/>
      <c r="GJ109" s="177"/>
      <c r="GK109" s="177"/>
      <c r="GL109" s="177"/>
      <c r="GM109" s="177"/>
      <c r="GN109" s="177"/>
      <c r="GO109" s="177"/>
      <c r="GP109" s="177"/>
      <c r="GQ109" s="177"/>
      <c r="GR109" s="177"/>
      <c r="GS109" s="177"/>
      <c r="GT109" s="177"/>
      <c r="GU109" s="177"/>
      <c r="GV109" s="177"/>
      <c r="GW109" s="177"/>
      <c r="GX109" s="177"/>
      <c r="GY109" s="177"/>
      <c r="GZ109" s="177"/>
      <c r="HA109" s="177"/>
      <c r="HB109" s="177"/>
      <c r="HC109" s="177"/>
      <c r="HD109" s="177"/>
      <c r="HE109" s="177"/>
      <c r="HF109" s="177"/>
      <c r="HG109" s="177"/>
      <c r="HH109" s="177"/>
      <c r="HI109" s="177"/>
      <c r="HJ109" s="177"/>
      <c r="HK109" s="177"/>
      <c r="HL109" s="177"/>
      <c r="HM109" s="177"/>
      <c r="HN109" s="177"/>
      <c r="HO109" s="177"/>
      <c r="HP109" s="177"/>
      <c r="HQ109" s="177"/>
      <c r="HR109" s="177"/>
      <c r="HS109" s="177"/>
      <c r="HT109" s="177"/>
      <c r="HU109" s="177"/>
      <c r="HV109" s="177"/>
      <c r="HW109" s="177"/>
      <c r="HX109" s="177"/>
      <c r="HY109" s="177"/>
      <c r="HZ109" s="177"/>
      <c r="IA109" s="177"/>
      <c r="IB109" s="177"/>
      <c r="IC109" s="177"/>
      <c r="ID109" s="177"/>
      <c r="IE109" s="177"/>
      <c r="IF109" s="177"/>
      <c r="IG109" s="177"/>
      <c r="IH109" s="177"/>
      <c r="II109" s="177"/>
      <c r="IJ109" s="177"/>
      <c r="IK109" s="177"/>
      <c r="IL109" s="177"/>
      <c r="IM109" s="177"/>
      <c r="IN109" s="177"/>
      <c r="IO109" s="177"/>
      <c r="IP109" s="177"/>
      <c r="IQ109" s="177"/>
      <c r="IR109" s="177"/>
      <c r="IS109" s="177"/>
      <c r="IT109" s="177"/>
      <c r="IU109" s="177"/>
      <c r="IV109" s="177"/>
    </row>
    <row r="110" spans="1:256" x14ac:dyDescent="0.3">
      <c r="A110" s="252" t="s">
        <v>509</v>
      </c>
      <c r="B110" s="255">
        <f>2375956/э!B5</f>
        <v>895.23587038432549</v>
      </c>
      <c r="C110" s="255">
        <f>2159934/э!C5</f>
        <v>819.70929791271351</v>
      </c>
      <c r="D110" s="255">
        <f>1899152/э!D5</f>
        <v>724.0381242851696</v>
      </c>
      <c r="E110" s="255">
        <f>2252907/э!E5</f>
        <v>877.64199454616289</v>
      </c>
      <c r="F110" s="255">
        <f>1717780/э!F5</f>
        <v>655.89156166475755</v>
      </c>
      <c r="G110" s="255">
        <f>1272527/э!G5</f>
        <v>547.79466207490316</v>
      </c>
      <c r="H110" s="255">
        <f>1135067/э!H5</f>
        <v>513.83748302399272</v>
      </c>
      <c r="I110" s="177"/>
      <c r="J110" s="390"/>
      <c r="K110" s="390"/>
      <c r="L110" s="390"/>
      <c r="M110" s="390"/>
      <c r="N110" s="390"/>
      <c r="O110" s="390"/>
      <c r="P110" s="390"/>
      <c r="Q110" s="390"/>
      <c r="R110" s="390"/>
      <c r="S110" s="390"/>
      <c r="T110" s="390"/>
      <c r="U110" s="390"/>
      <c r="V110" s="390"/>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c r="AU110" s="177"/>
      <c r="AV110" s="177"/>
      <c r="AW110" s="177"/>
      <c r="AX110" s="177"/>
      <c r="AY110" s="177"/>
      <c r="AZ110" s="177"/>
      <c r="BA110" s="177"/>
      <c r="BB110" s="177"/>
      <c r="BC110" s="177"/>
      <c r="BD110" s="177"/>
      <c r="BE110" s="177"/>
      <c r="BF110" s="177"/>
      <c r="BG110" s="177"/>
      <c r="BH110" s="177"/>
      <c r="BI110" s="177"/>
      <c r="BJ110" s="177"/>
      <c r="BK110" s="177"/>
      <c r="BL110" s="177"/>
      <c r="BM110" s="177"/>
      <c r="BN110" s="177"/>
      <c r="BO110" s="177"/>
      <c r="BP110" s="177"/>
      <c r="BQ110" s="177"/>
      <c r="BR110" s="177"/>
      <c r="BS110" s="177"/>
      <c r="BT110" s="177"/>
      <c r="BU110" s="177"/>
      <c r="BV110" s="177"/>
      <c r="BW110" s="177"/>
      <c r="BX110" s="177"/>
      <c r="BY110" s="177"/>
      <c r="BZ110" s="177"/>
      <c r="CA110" s="177"/>
      <c r="CB110" s="177"/>
      <c r="CC110" s="177"/>
      <c r="CD110" s="177"/>
      <c r="CE110" s="177"/>
      <c r="CF110" s="177"/>
      <c r="CG110" s="177"/>
      <c r="CH110" s="177"/>
      <c r="CI110" s="177"/>
      <c r="CJ110" s="177"/>
      <c r="CK110" s="177"/>
      <c r="CL110" s="177"/>
      <c r="CM110" s="177"/>
      <c r="CN110" s="177"/>
      <c r="CO110" s="177"/>
      <c r="CP110" s="177"/>
      <c r="CQ110" s="177"/>
      <c r="CR110" s="177"/>
      <c r="CS110" s="177"/>
      <c r="CT110" s="177"/>
      <c r="CU110" s="177"/>
      <c r="CV110" s="177"/>
      <c r="CW110" s="177"/>
      <c r="CX110" s="177"/>
      <c r="CY110" s="177"/>
      <c r="CZ110" s="177"/>
      <c r="DA110" s="177"/>
      <c r="DB110" s="177"/>
      <c r="DC110" s="177"/>
      <c r="DD110" s="177"/>
      <c r="DE110" s="177"/>
      <c r="DF110" s="177"/>
      <c r="DG110" s="177"/>
      <c r="DH110" s="177"/>
      <c r="DI110" s="177"/>
      <c r="DJ110" s="177"/>
      <c r="DK110" s="177"/>
      <c r="DL110" s="177"/>
      <c r="DM110" s="177"/>
      <c r="DN110" s="177"/>
      <c r="DO110" s="177"/>
      <c r="DP110" s="177"/>
      <c r="DQ110" s="177"/>
      <c r="DR110" s="177"/>
      <c r="DS110" s="177"/>
      <c r="DT110" s="177"/>
      <c r="DU110" s="177"/>
      <c r="DV110" s="177"/>
      <c r="DW110" s="177"/>
      <c r="DX110" s="177"/>
      <c r="DY110" s="177"/>
      <c r="DZ110" s="177"/>
      <c r="EA110" s="177"/>
      <c r="EB110" s="177"/>
      <c r="EC110" s="177"/>
      <c r="ED110" s="177"/>
      <c r="EE110" s="177"/>
      <c r="EF110" s="177"/>
      <c r="EG110" s="177"/>
      <c r="EH110" s="177"/>
      <c r="EI110" s="177"/>
      <c r="EJ110" s="177"/>
      <c r="EK110" s="177"/>
      <c r="EL110" s="177"/>
      <c r="EM110" s="177"/>
      <c r="EN110" s="177"/>
      <c r="EO110" s="177"/>
      <c r="EP110" s="177"/>
      <c r="EQ110" s="177"/>
      <c r="ER110" s="177"/>
      <c r="ES110" s="177"/>
      <c r="ET110" s="177"/>
      <c r="EU110" s="177"/>
      <c r="EV110" s="177"/>
      <c r="EW110" s="177"/>
      <c r="EX110" s="177"/>
      <c r="EY110" s="177"/>
      <c r="EZ110" s="177"/>
      <c r="FA110" s="177"/>
      <c r="FB110" s="177"/>
      <c r="FC110" s="177"/>
      <c r="FD110" s="177"/>
      <c r="FE110" s="177"/>
      <c r="FF110" s="177"/>
      <c r="FG110" s="177"/>
      <c r="FH110" s="177"/>
      <c r="FI110" s="177"/>
      <c r="FJ110" s="177"/>
      <c r="FK110" s="177"/>
      <c r="FL110" s="177"/>
      <c r="FM110" s="177"/>
      <c r="FN110" s="177"/>
      <c r="FO110" s="177"/>
      <c r="FP110" s="177"/>
      <c r="FQ110" s="177"/>
      <c r="FR110" s="177"/>
      <c r="FS110" s="177"/>
      <c r="FT110" s="177"/>
      <c r="FU110" s="177"/>
      <c r="FV110" s="177"/>
      <c r="FW110" s="177"/>
      <c r="FX110" s="177"/>
      <c r="FY110" s="177"/>
      <c r="FZ110" s="177"/>
      <c r="GA110" s="177"/>
      <c r="GB110" s="177"/>
      <c r="GC110" s="177"/>
      <c r="GD110" s="177"/>
      <c r="GE110" s="177"/>
      <c r="GF110" s="177"/>
      <c r="GG110" s="177"/>
      <c r="GH110" s="177"/>
      <c r="GI110" s="177"/>
      <c r="GJ110" s="177"/>
      <c r="GK110" s="177"/>
      <c r="GL110" s="177"/>
      <c r="GM110" s="177"/>
      <c r="GN110" s="177"/>
      <c r="GO110" s="177"/>
      <c r="GP110" s="177"/>
      <c r="GQ110" s="177"/>
      <c r="GR110" s="177"/>
      <c r="GS110" s="177"/>
      <c r="GT110" s="177"/>
      <c r="GU110" s="177"/>
      <c r="GV110" s="177"/>
      <c r="GW110" s="177"/>
      <c r="GX110" s="177"/>
      <c r="GY110" s="177"/>
      <c r="GZ110" s="177"/>
      <c r="HA110" s="177"/>
      <c r="HB110" s="177"/>
      <c r="HC110" s="177"/>
      <c r="HD110" s="177"/>
      <c r="HE110" s="177"/>
      <c r="HF110" s="177"/>
      <c r="HG110" s="177"/>
      <c r="HH110" s="177"/>
      <c r="HI110" s="177"/>
      <c r="HJ110" s="177"/>
      <c r="HK110" s="177"/>
      <c r="HL110" s="177"/>
      <c r="HM110" s="177"/>
      <c r="HN110" s="177"/>
      <c r="HO110" s="177"/>
      <c r="HP110" s="177"/>
      <c r="HQ110" s="177"/>
      <c r="HR110" s="177"/>
      <c r="HS110" s="177"/>
      <c r="HT110" s="177"/>
      <c r="HU110" s="177"/>
      <c r="HV110" s="177"/>
      <c r="HW110" s="177"/>
      <c r="HX110" s="177"/>
      <c r="HY110" s="177"/>
      <c r="HZ110" s="177"/>
      <c r="IA110" s="177"/>
      <c r="IB110" s="177"/>
      <c r="IC110" s="177"/>
      <c r="ID110" s="177"/>
      <c r="IE110" s="177"/>
      <c r="IF110" s="177"/>
      <c r="IG110" s="177"/>
      <c r="IH110" s="177"/>
      <c r="II110" s="177"/>
      <c r="IJ110" s="177"/>
      <c r="IK110" s="177"/>
      <c r="IL110" s="177"/>
      <c r="IM110" s="177"/>
      <c r="IN110" s="177"/>
      <c r="IO110" s="177"/>
      <c r="IP110" s="177"/>
      <c r="IQ110" s="177"/>
      <c r="IR110" s="177"/>
      <c r="IS110" s="177"/>
      <c r="IT110" s="177"/>
      <c r="IU110" s="177"/>
      <c r="IV110" s="177"/>
    </row>
    <row r="111" spans="1:256" x14ac:dyDescent="0.3">
      <c r="A111" s="177"/>
      <c r="B111" s="177"/>
      <c r="C111" s="177"/>
      <c r="D111" s="177"/>
      <c r="E111" s="177"/>
      <c r="F111" s="177"/>
      <c r="G111" s="177"/>
      <c r="H111" s="177"/>
      <c r="I111" s="177"/>
      <c r="J111" s="390"/>
      <c r="K111" s="390"/>
      <c r="L111" s="390"/>
      <c r="M111" s="390"/>
      <c r="N111" s="390"/>
      <c r="O111" s="390"/>
      <c r="P111" s="390"/>
      <c r="Q111" s="390"/>
      <c r="R111" s="390"/>
      <c r="S111" s="390"/>
      <c r="T111" s="390"/>
      <c r="U111" s="390"/>
      <c r="V111" s="390"/>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c r="BA111" s="177"/>
      <c r="BB111" s="177"/>
      <c r="BC111" s="177"/>
      <c r="BD111" s="177"/>
      <c r="BE111" s="177"/>
      <c r="BF111" s="177"/>
      <c r="BG111" s="177"/>
      <c r="BH111" s="177"/>
      <c r="BI111" s="177"/>
      <c r="BJ111" s="177"/>
      <c r="BK111" s="177"/>
      <c r="BL111" s="177"/>
      <c r="BM111" s="177"/>
      <c r="BN111" s="177"/>
      <c r="BO111" s="177"/>
      <c r="BP111" s="177"/>
      <c r="BQ111" s="177"/>
      <c r="BR111" s="177"/>
      <c r="BS111" s="177"/>
      <c r="BT111" s="177"/>
      <c r="BU111" s="177"/>
      <c r="BV111" s="177"/>
      <c r="BW111" s="177"/>
      <c r="BX111" s="177"/>
      <c r="BY111" s="177"/>
      <c r="BZ111" s="177"/>
      <c r="CA111" s="177"/>
      <c r="CB111" s="177"/>
      <c r="CC111" s="177"/>
      <c r="CD111" s="177"/>
      <c r="CE111" s="177"/>
      <c r="CF111" s="177"/>
      <c r="CG111" s="177"/>
      <c r="CH111" s="177"/>
      <c r="CI111" s="177"/>
      <c r="CJ111" s="177"/>
      <c r="CK111" s="177"/>
      <c r="CL111" s="177"/>
      <c r="CM111" s="177"/>
      <c r="CN111" s="177"/>
      <c r="CO111" s="177"/>
      <c r="CP111" s="177"/>
      <c r="CQ111" s="177"/>
      <c r="CR111" s="177"/>
      <c r="CS111" s="177"/>
      <c r="CT111" s="177"/>
      <c r="CU111" s="177"/>
      <c r="CV111" s="177"/>
      <c r="CW111" s="177"/>
      <c r="CX111" s="177"/>
      <c r="CY111" s="177"/>
      <c r="CZ111" s="177"/>
      <c r="DA111" s="177"/>
      <c r="DB111" s="177"/>
      <c r="DC111" s="177"/>
      <c r="DD111" s="177"/>
      <c r="DE111" s="177"/>
      <c r="DF111" s="177"/>
      <c r="DG111" s="177"/>
      <c r="DH111" s="177"/>
      <c r="DI111" s="177"/>
      <c r="DJ111" s="177"/>
      <c r="DK111" s="177"/>
      <c r="DL111" s="177"/>
      <c r="DM111" s="177"/>
      <c r="DN111" s="177"/>
      <c r="DO111" s="177"/>
      <c r="DP111" s="177"/>
      <c r="DQ111" s="177"/>
      <c r="DR111" s="177"/>
      <c r="DS111" s="177"/>
      <c r="DT111" s="177"/>
      <c r="DU111" s="177"/>
      <c r="DV111" s="177"/>
      <c r="DW111" s="177"/>
      <c r="DX111" s="177"/>
      <c r="DY111" s="177"/>
      <c r="DZ111" s="177"/>
      <c r="EA111" s="177"/>
      <c r="EB111" s="177"/>
      <c r="EC111" s="177"/>
      <c r="ED111" s="177"/>
      <c r="EE111" s="177"/>
      <c r="EF111" s="177"/>
      <c r="EG111" s="177"/>
      <c r="EH111" s="177"/>
      <c r="EI111" s="177"/>
      <c r="EJ111" s="177"/>
      <c r="EK111" s="177"/>
      <c r="EL111" s="177"/>
      <c r="EM111" s="177"/>
      <c r="EN111" s="177"/>
      <c r="EO111" s="177"/>
      <c r="EP111" s="177"/>
      <c r="EQ111" s="177"/>
      <c r="ER111" s="177"/>
      <c r="ES111" s="177"/>
      <c r="ET111" s="177"/>
      <c r="EU111" s="177"/>
      <c r="EV111" s="177"/>
      <c r="EW111" s="177"/>
      <c r="EX111" s="177"/>
      <c r="EY111" s="177"/>
      <c r="EZ111" s="177"/>
      <c r="FA111" s="177"/>
      <c r="FB111" s="177"/>
      <c r="FC111" s="177"/>
      <c r="FD111" s="177"/>
      <c r="FE111" s="177"/>
      <c r="FF111" s="177"/>
      <c r="FG111" s="177"/>
      <c r="FH111" s="177"/>
      <c r="FI111" s="177"/>
      <c r="FJ111" s="177"/>
      <c r="FK111" s="177"/>
      <c r="FL111" s="177"/>
      <c r="FM111" s="177"/>
      <c r="FN111" s="177"/>
      <c r="FO111" s="177"/>
      <c r="FP111" s="177"/>
      <c r="FQ111" s="177"/>
      <c r="FR111" s="177"/>
      <c r="FS111" s="177"/>
      <c r="FT111" s="177"/>
      <c r="FU111" s="177"/>
      <c r="FV111" s="177"/>
      <c r="FW111" s="177"/>
      <c r="FX111" s="177"/>
      <c r="FY111" s="177"/>
      <c r="FZ111" s="177"/>
      <c r="GA111" s="177"/>
      <c r="GB111" s="177"/>
      <c r="GC111" s="177"/>
      <c r="GD111" s="177"/>
      <c r="GE111" s="177"/>
      <c r="GF111" s="177"/>
      <c r="GG111" s="177"/>
      <c r="GH111" s="177"/>
      <c r="GI111" s="177"/>
      <c r="GJ111" s="177"/>
      <c r="GK111" s="177"/>
      <c r="GL111" s="177"/>
      <c r="GM111" s="177"/>
      <c r="GN111" s="177"/>
      <c r="GO111" s="177"/>
      <c r="GP111" s="177"/>
      <c r="GQ111" s="177"/>
      <c r="GR111" s="177"/>
      <c r="GS111" s="177"/>
      <c r="GT111" s="177"/>
      <c r="GU111" s="177"/>
      <c r="GV111" s="177"/>
      <c r="GW111" s="177"/>
      <c r="GX111" s="177"/>
      <c r="GY111" s="177"/>
      <c r="GZ111" s="177"/>
      <c r="HA111" s="177"/>
      <c r="HB111" s="177"/>
      <c r="HC111" s="177"/>
      <c r="HD111" s="177"/>
      <c r="HE111" s="177"/>
      <c r="HF111" s="177"/>
      <c r="HG111" s="177"/>
      <c r="HH111" s="177"/>
      <c r="HI111" s="177"/>
      <c r="HJ111" s="177"/>
      <c r="HK111" s="177"/>
      <c r="HL111" s="177"/>
      <c r="HM111" s="177"/>
      <c r="HN111" s="177"/>
      <c r="HO111" s="177"/>
      <c r="HP111" s="177"/>
      <c r="HQ111" s="177"/>
      <c r="HR111" s="177"/>
      <c r="HS111" s="177"/>
      <c r="HT111" s="177"/>
      <c r="HU111" s="177"/>
      <c r="HV111" s="177"/>
      <c r="HW111" s="177"/>
      <c r="HX111" s="177"/>
      <c r="HY111" s="177"/>
      <c r="HZ111" s="177"/>
      <c r="IA111" s="177"/>
      <c r="IB111" s="177"/>
      <c r="IC111" s="177"/>
      <c r="ID111" s="177"/>
      <c r="IE111" s="177"/>
      <c r="IF111" s="177"/>
      <c r="IG111" s="177"/>
      <c r="IH111" s="177"/>
      <c r="II111" s="177"/>
      <c r="IJ111" s="177"/>
      <c r="IK111" s="177"/>
      <c r="IL111" s="177"/>
      <c r="IM111" s="177"/>
      <c r="IN111" s="177"/>
      <c r="IO111" s="177"/>
      <c r="IP111" s="177"/>
      <c r="IQ111" s="177"/>
      <c r="IR111" s="177"/>
      <c r="IS111" s="177"/>
      <c r="IT111" s="177"/>
      <c r="IU111" s="177"/>
      <c r="IV111" s="177"/>
    </row>
    <row r="112" spans="1:256" x14ac:dyDescent="0.3">
      <c r="A112" s="186" t="s">
        <v>510</v>
      </c>
      <c r="B112" s="177"/>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7"/>
      <c r="AR112" s="177"/>
      <c r="AS112" s="177"/>
      <c r="AT112" s="177"/>
      <c r="AU112" s="177"/>
      <c r="AV112" s="177"/>
      <c r="AW112" s="177"/>
      <c r="AX112" s="177"/>
      <c r="AY112" s="177"/>
      <c r="AZ112" s="177"/>
      <c r="BA112" s="177"/>
      <c r="BB112" s="177"/>
      <c r="BC112" s="177"/>
      <c r="BD112" s="177"/>
      <c r="BE112" s="177"/>
      <c r="BF112" s="177"/>
      <c r="BG112" s="177"/>
      <c r="BH112" s="177"/>
      <c r="BI112" s="177"/>
      <c r="BJ112" s="177"/>
      <c r="BK112" s="177"/>
      <c r="BL112" s="177"/>
      <c r="BM112" s="177"/>
      <c r="BN112" s="177"/>
      <c r="BO112" s="177"/>
      <c r="BP112" s="177"/>
      <c r="BQ112" s="177"/>
      <c r="BR112" s="177"/>
      <c r="BS112" s="177"/>
      <c r="BT112" s="177"/>
      <c r="BU112" s="177"/>
      <c r="BV112" s="177"/>
      <c r="BW112" s="177"/>
      <c r="BX112" s="177"/>
      <c r="BY112" s="177"/>
      <c r="BZ112" s="177"/>
      <c r="CA112" s="177"/>
      <c r="CB112" s="177"/>
      <c r="CC112" s="177"/>
      <c r="CD112" s="177"/>
      <c r="CE112" s="177"/>
      <c r="CF112" s="177"/>
      <c r="CG112" s="177"/>
      <c r="CH112" s="177"/>
      <c r="CI112" s="177"/>
      <c r="CJ112" s="177"/>
      <c r="CK112" s="177"/>
      <c r="CL112" s="177"/>
      <c r="CM112" s="177"/>
      <c r="CN112" s="177"/>
      <c r="CO112" s="177"/>
      <c r="CP112" s="177"/>
      <c r="CQ112" s="177"/>
      <c r="CR112" s="177"/>
      <c r="CS112" s="177"/>
      <c r="CT112" s="177"/>
      <c r="CU112" s="177"/>
      <c r="CV112" s="177"/>
      <c r="CW112" s="177"/>
      <c r="CX112" s="177"/>
      <c r="CY112" s="177"/>
      <c r="CZ112" s="177"/>
      <c r="DA112" s="177"/>
      <c r="DB112" s="177"/>
      <c r="DC112" s="177"/>
      <c r="DD112" s="177"/>
      <c r="DE112" s="177"/>
      <c r="DF112" s="177"/>
      <c r="DG112" s="177"/>
      <c r="DH112" s="177"/>
      <c r="DI112" s="177"/>
      <c r="DJ112" s="177"/>
      <c r="DK112" s="177"/>
      <c r="DL112" s="177"/>
      <c r="DM112" s="177"/>
      <c r="DN112" s="177"/>
      <c r="DO112" s="177"/>
      <c r="DP112" s="177"/>
      <c r="DQ112" s="177"/>
      <c r="DR112" s="177"/>
      <c r="DS112" s="177"/>
      <c r="DT112" s="177"/>
      <c r="DU112" s="177"/>
      <c r="DV112" s="177"/>
      <c r="DW112" s="177"/>
      <c r="DX112" s="177"/>
      <c r="DY112" s="177"/>
      <c r="DZ112" s="177"/>
      <c r="EA112" s="177"/>
      <c r="EB112" s="177"/>
      <c r="EC112" s="177"/>
      <c r="ED112" s="177"/>
      <c r="EE112" s="177"/>
      <c r="EF112" s="177"/>
      <c r="EG112" s="177"/>
      <c r="EH112" s="177"/>
      <c r="EI112" s="177"/>
      <c r="EJ112" s="177"/>
      <c r="EK112" s="177"/>
      <c r="EL112" s="177"/>
      <c r="EM112" s="177"/>
      <c r="EN112" s="177"/>
      <c r="EO112" s="177"/>
      <c r="EP112" s="177"/>
      <c r="EQ112" s="177"/>
      <c r="ER112" s="177"/>
      <c r="ES112" s="177"/>
      <c r="ET112" s="177"/>
      <c r="EU112" s="177"/>
      <c r="EV112" s="177"/>
      <c r="EW112" s="177"/>
      <c r="EX112" s="177"/>
      <c r="EY112" s="177"/>
      <c r="EZ112" s="177"/>
      <c r="FA112" s="177"/>
      <c r="FB112" s="177"/>
      <c r="FC112" s="177"/>
      <c r="FD112" s="177"/>
      <c r="FE112" s="177"/>
      <c r="FF112" s="177"/>
      <c r="FG112" s="177"/>
      <c r="FH112" s="177"/>
      <c r="FI112" s="177"/>
      <c r="FJ112" s="177"/>
      <c r="FK112" s="177"/>
      <c r="FL112" s="177"/>
      <c r="FM112" s="177"/>
      <c r="FN112" s="177"/>
      <c r="FO112" s="177"/>
      <c r="FP112" s="177"/>
      <c r="FQ112" s="177"/>
      <c r="FR112" s="177"/>
      <c r="FS112" s="177"/>
      <c r="FT112" s="177"/>
      <c r="FU112" s="177"/>
      <c r="FV112" s="177"/>
      <c r="FW112" s="177"/>
      <c r="FX112" s="177"/>
      <c r="FY112" s="177"/>
      <c r="FZ112" s="177"/>
      <c r="GA112" s="177"/>
      <c r="GB112" s="177"/>
      <c r="GC112" s="177"/>
      <c r="GD112" s="177"/>
      <c r="GE112" s="177"/>
      <c r="GF112" s="177"/>
      <c r="GG112" s="177"/>
      <c r="GH112" s="177"/>
      <c r="GI112" s="177"/>
      <c r="GJ112" s="177"/>
      <c r="GK112" s="177"/>
      <c r="GL112" s="177"/>
      <c r="GM112" s="177"/>
      <c r="GN112" s="177"/>
      <c r="GO112" s="177"/>
      <c r="GP112" s="177"/>
      <c r="GQ112" s="177"/>
      <c r="GR112" s="177"/>
      <c r="GS112" s="177"/>
      <c r="GT112" s="177"/>
      <c r="GU112" s="177"/>
      <c r="GV112" s="177"/>
      <c r="GW112" s="177"/>
      <c r="GX112" s="177"/>
      <c r="GY112" s="177"/>
      <c r="GZ112" s="177"/>
      <c r="HA112" s="177"/>
      <c r="HB112" s="177"/>
      <c r="HC112" s="177"/>
      <c r="HD112" s="177"/>
      <c r="HE112" s="177"/>
      <c r="HF112" s="177"/>
      <c r="HG112" s="177"/>
      <c r="HH112" s="177"/>
      <c r="HI112" s="177"/>
      <c r="HJ112" s="177"/>
      <c r="HK112" s="177"/>
      <c r="HL112" s="177"/>
      <c r="HM112" s="177"/>
      <c r="HN112" s="177"/>
      <c r="HO112" s="177"/>
      <c r="HP112" s="177"/>
      <c r="HQ112" s="177"/>
      <c r="HR112" s="177"/>
      <c r="HS112" s="177"/>
      <c r="HT112" s="177"/>
      <c r="HU112" s="177"/>
      <c r="HV112" s="177"/>
      <c r="HW112" s="177"/>
      <c r="HX112" s="177"/>
      <c r="HY112" s="177"/>
      <c r="HZ112" s="177"/>
      <c r="IA112" s="177"/>
      <c r="IB112" s="177"/>
      <c r="IC112" s="177"/>
      <c r="ID112" s="177"/>
      <c r="IE112" s="177"/>
      <c r="IF112" s="177"/>
      <c r="IG112" s="177"/>
      <c r="IH112" s="177"/>
      <c r="II112" s="177"/>
      <c r="IJ112" s="177"/>
      <c r="IK112" s="177"/>
      <c r="IL112" s="177"/>
      <c r="IM112" s="177"/>
      <c r="IN112" s="177"/>
      <c r="IO112" s="177"/>
      <c r="IP112" s="177"/>
      <c r="IQ112" s="177"/>
      <c r="IR112" s="177"/>
      <c r="IS112" s="177"/>
      <c r="IT112" s="177"/>
      <c r="IU112" s="177"/>
      <c r="IV112" s="177"/>
    </row>
    <row r="113" spans="1:256" x14ac:dyDescent="0.3">
      <c r="A113" s="164" t="s">
        <v>177</v>
      </c>
      <c r="B113" s="164" t="str">
        <f t="shared" ref="B113:H113" si="109">B104</f>
        <v>2019 год</v>
      </c>
      <c r="C113" s="164" t="str">
        <f t="shared" si="109"/>
        <v>2018 год</v>
      </c>
      <c r="D113" s="164" t="str">
        <f t="shared" si="109"/>
        <v>2017 год</v>
      </c>
      <c r="E113" s="164" t="str">
        <f t="shared" si="109"/>
        <v>2016 год</v>
      </c>
      <c r="F113" s="164" t="str">
        <f t="shared" si="109"/>
        <v>2015 год</v>
      </c>
      <c r="G113" s="164" t="str">
        <f t="shared" si="109"/>
        <v>2014 год</v>
      </c>
      <c r="H113" s="164" t="str">
        <f t="shared" si="109"/>
        <v>2013 год</v>
      </c>
      <c r="I113" s="395" t="s">
        <v>472</v>
      </c>
      <c r="J113" s="390" t="s">
        <v>511</v>
      </c>
      <c r="K113" s="391"/>
      <c r="L113" s="391"/>
      <c r="M113" s="391"/>
      <c r="N113" s="391"/>
      <c r="O113" s="391"/>
      <c r="P113" s="391"/>
      <c r="Q113" s="391"/>
      <c r="R113" s="391"/>
      <c r="S113" s="391"/>
      <c r="T113" s="391"/>
      <c r="U113" s="391"/>
      <c r="V113" s="391"/>
      <c r="W113" s="177"/>
      <c r="X113" s="177"/>
      <c r="Y113" s="177"/>
      <c r="Z113" s="177"/>
      <c r="AA113" s="177"/>
      <c r="AB113" s="177"/>
      <c r="AC113" s="177"/>
      <c r="AD113" s="177"/>
      <c r="AE113" s="177"/>
      <c r="AF113" s="177"/>
      <c r="AG113" s="177"/>
      <c r="AH113" s="177"/>
      <c r="AI113" s="177"/>
      <c r="AJ113" s="177"/>
      <c r="AK113" s="177"/>
      <c r="AL113" s="177"/>
      <c r="AM113" s="177"/>
      <c r="AN113" s="177"/>
      <c r="AO113" s="177"/>
      <c r="AP113" s="177"/>
      <c r="AQ113" s="177"/>
      <c r="AR113" s="177"/>
      <c r="AS113" s="177"/>
      <c r="AT113" s="177"/>
      <c r="AU113" s="177"/>
      <c r="AV113" s="177"/>
      <c r="AW113" s="177"/>
      <c r="AX113" s="177"/>
      <c r="AY113" s="177"/>
      <c r="AZ113" s="177"/>
      <c r="BA113" s="177"/>
      <c r="BB113" s="177"/>
      <c r="BC113" s="177"/>
      <c r="BD113" s="177"/>
      <c r="BE113" s="177"/>
      <c r="BF113" s="177"/>
      <c r="BG113" s="177"/>
      <c r="BH113" s="177"/>
      <c r="BI113" s="177"/>
      <c r="BJ113" s="177"/>
      <c r="BK113" s="177"/>
      <c r="BL113" s="177"/>
      <c r="BM113" s="177"/>
      <c r="BN113" s="177"/>
      <c r="BO113" s="177"/>
      <c r="BP113" s="177"/>
      <c r="BQ113" s="177"/>
      <c r="BR113" s="177"/>
      <c r="BS113" s="177"/>
      <c r="BT113" s="177"/>
      <c r="BU113" s="177"/>
      <c r="BV113" s="177"/>
      <c r="BW113" s="177"/>
      <c r="BX113" s="177"/>
      <c r="BY113" s="177"/>
      <c r="BZ113" s="177"/>
      <c r="CA113" s="177"/>
      <c r="CB113" s="177"/>
      <c r="CC113" s="177"/>
      <c r="CD113" s="177"/>
      <c r="CE113" s="177"/>
      <c r="CF113" s="177"/>
      <c r="CG113" s="177"/>
      <c r="CH113" s="177"/>
      <c r="CI113" s="177"/>
      <c r="CJ113" s="177"/>
      <c r="CK113" s="177"/>
      <c r="CL113" s="177"/>
      <c r="CM113" s="177"/>
      <c r="CN113" s="177"/>
      <c r="CO113" s="177"/>
      <c r="CP113" s="177"/>
      <c r="CQ113" s="177"/>
      <c r="CR113" s="177"/>
      <c r="CS113" s="177"/>
      <c r="CT113" s="177"/>
      <c r="CU113" s="177"/>
      <c r="CV113" s="177"/>
      <c r="CW113" s="177"/>
      <c r="CX113" s="177"/>
      <c r="CY113" s="177"/>
      <c r="CZ113" s="177"/>
      <c r="DA113" s="177"/>
      <c r="DB113" s="177"/>
      <c r="DC113" s="177"/>
      <c r="DD113" s="177"/>
      <c r="DE113" s="177"/>
      <c r="DF113" s="177"/>
      <c r="DG113" s="177"/>
      <c r="DH113" s="177"/>
      <c r="DI113" s="177"/>
      <c r="DJ113" s="177"/>
      <c r="DK113" s="177"/>
      <c r="DL113" s="177"/>
      <c r="DM113" s="177"/>
      <c r="DN113" s="177"/>
      <c r="DO113" s="177"/>
      <c r="DP113" s="177"/>
      <c r="DQ113" s="177"/>
      <c r="DR113" s="177"/>
      <c r="DS113" s="177"/>
      <c r="DT113" s="177"/>
      <c r="DU113" s="177"/>
      <c r="DV113" s="177"/>
      <c r="DW113" s="177"/>
      <c r="DX113" s="177"/>
      <c r="DY113" s="177"/>
      <c r="DZ113" s="177"/>
      <c r="EA113" s="177"/>
      <c r="EB113" s="177"/>
      <c r="EC113" s="177"/>
      <c r="ED113" s="177"/>
      <c r="EE113" s="177"/>
      <c r="EF113" s="177"/>
      <c r="EG113" s="177"/>
      <c r="EH113" s="177"/>
      <c r="EI113" s="177"/>
      <c r="EJ113" s="177"/>
      <c r="EK113" s="177"/>
      <c r="EL113" s="177"/>
      <c r="EM113" s="177"/>
      <c r="EN113" s="177"/>
      <c r="EO113" s="177"/>
      <c r="EP113" s="177"/>
      <c r="EQ113" s="177"/>
      <c r="ER113" s="177"/>
      <c r="ES113" s="177"/>
      <c r="ET113" s="177"/>
      <c r="EU113" s="177"/>
      <c r="EV113" s="177"/>
      <c r="EW113" s="177"/>
      <c r="EX113" s="177"/>
      <c r="EY113" s="177"/>
      <c r="EZ113" s="177"/>
      <c r="FA113" s="177"/>
      <c r="FB113" s="177"/>
      <c r="FC113" s="177"/>
      <c r="FD113" s="177"/>
      <c r="FE113" s="177"/>
      <c r="FF113" s="177"/>
      <c r="FG113" s="177"/>
      <c r="FH113" s="177"/>
      <c r="FI113" s="177"/>
      <c r="FJ113" s="177"/>
      <c r="FK113" s="177"/>
      <c r="FL113" s="177"/>
      <c r="FM113" s="177"/>
      <c r="FN113" s="177"/>
      <c r="FO113" s="177"/>
      <c r="FP113" s="177"/>
      <c r="FQ113" s="177"/>
      <c r="FR113" s="177"/>
      <c r="FS113" s="177"/>
      <c r="FT113" s="177"/>
      <c r="FU113" s="177"/>
      <c r="FV113" s="177"/>
      <c r="FW113" s="177"/>
      <c r="FX113" s="177"/>
      <c r="FY113" s="177"/>
      <c r="FZ113" s="177"/>
      <c r="GA113" s="177"/>
      <c r="GB113" s="177"/>
      <c r="GC113" s="177"/>
      <c r="GD113" s="177"/>
      <c r="GE113" s="177"/>
      <c r="GF113" s="177"/>
      <c r="GG113" s="177"/>
      <c r="GH113" s="177"/>
      <c r="GI113" s="177"/>
      <c r="GJ113" s="177"/>
      <c r="GK113" s="177"/>
      <c r="GL113" s="177"/>
      <c r="GM113" s="177"/>
      <c r="GN113" s="177"/>
      <c r="GO113" s="177"/>
      <c r="GP113" s="177"/>
      <c r="GQ113" s="177"/>
      <c r="GR113" s="177"/>
      <c r="GS113" s="177"/>
      <c r="GT113" s="177"/>
      <c r="GU113" s="177"/>
      <c r="GV113" s="177"/>
      <c r="GW113" s="177"/>
      <c r="GX113" s="177"/>
      <c r="GY113" s="177"/>
      <c r="GZ113" s="177"/>
      <c r="HA113" s="177"/>
      <c r="HB113" s="177"/>
      <c r="HC113" s="177"/>
      <c r="HD113" s="177"/>
      <c r="HE113" s="177"/>
      <c r="HF113" s="177"/>
      <c r="HG113" s="177"/>
      <c r="HH113" s="177"/>
      <c r="HI113" s="177"/>
      <c r="HJ113" s="177"/>
      <c r="HK113" s="177"/>
      <c r="HL113" s="177"/>
      <c r="HM113" s="177"/>
      <c r="HN113" s="177"/>
      <c r="HO113" s="177"/>
      <c r="HP113" s="177"/>
      <c r="HQ113" s="177"/>
      <c r="HR113" s="177"/>
      <c r="HS113" s="177"/>
      <c r="HT113" s="177"/>
      <c r="HU113" s="177"/>
      <c r="HV113" s="177"/>
      <c r="HW113" s="177"/>
      <c r="HX113" s="177"/>
      <c r="HY113" s="177"/>
      <c r="HZ113" s="177"/>
      <c r="IA113" s="177"/>
      <c r="IB113" s="177"/>
      <c r="IC113" s="177"/>
      <c r="ID113" s="177"/>
      <c r="IE113" s="177"/>
      <c r="IF113" s="177"/>
      <c r="IG113" s="177"/>
      <c r="IH113" s="177"/>
      <c r="II113" s="177"/>
      <c r="IJ113" s="177"/>
      <c r="IK113" s="177"/>
      <c r="IL113" s="177"/>
      <c r="IM113" s="177"/>
      <c r="IN113" s="177"/>
      <c r="IO113" s="177"/>
      <c r="IP113" s="177"/>
      <c r="IQ113" s="177"/>
      <c r="IR113" s="177"/>
      <c r="IS113" s="177"/>
      <c r="IT113" s="177"/>
      <c r="IU113" s="177"/>
      <c r="IV113" s="177"/>
    </row>
    <row r="114" spans="1:256" x14ac:dyDescent="0.3">
      <c r="A114" s="190" t="s">
        <v>512</v>
      </c>
      <c r="B114" s="173">
        <f>(C34+C33+C32)/C31</f>
        <v>0.12296976305044016</v>
      </c>
      <c r="C114" s="173">
        <f t="shared" ref="C114:H114" si="110">(D34+D33+D32)/D31</f>
        <v>7.4493955482664354E-2</v>
      </c>
      <c r="D114" s="173">
        <f t="shared" si="110"/>
        <v>0.24122422415161332</v>
      </c>
      <c r="E114" s="173">
        <f t="shared" si="110"/>
        <v>0.42741686560117959</v>
      </c>
      <c r="F114" s="256">
        <f t="shared" si="110"/>
        <v>0.58391187205154271</v>
      </c>
      <c r="G114" s="173">
        <f t="shared" si="110"/>
        <v>0.53357789299252778</v>
      </c>
      <c r="H114" s="173">
        <f t="shared" si="110"/>
        <v>0.31623597803829784</v>
      </c>
      <c r="I114" s="395"/>
      <c r="J114" s="391"/>
      <c r="K114" s="391"/>
      <c r="L114" s="391"/>
      <c r="M114" s="391"/>
      <c r="N114" s="391"/>
      <c r="O114" s="391"/>
      <c r="P114" s="391"/>
      <c r="Q114" s="391"/>
      <c r="R114" s="391"/>
      <c r="S114" s="391"/>
      <c r="T114" s="391"/>
      <c r="U114" s="391"/>
      <c r="V114" s="391"/>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7"/>
      <c r="BR114" s="177"/>
      <c r="BS114" s="177"/>
      <c r="BT114" s="177"/>
      <c r="BU114" s="177"/>
      <c r="BV114" s="177"/>
      <c r="BW114" s="177"/>
      <c r="BX114" s="177"/>
      <c r="BY114" s="177"/>
      <c r="BZ114" s="177"/>
      <c r="CA114" s="177"/>
      <c r="CB114" s="177"/>
      <c r="CC114" s="177"/>
      <c r="CD114" s="177"/>
      <c r="CE114" s="177"/>
      <c r="CF114" s="177"/>
      <c r="CG114" s="177"/>
      <c r="CH114" s="177"/>
      <c r="CI114" s="177"/>
      <c r="CJ114" s="177"/>
      <c r="CK114" s="177"/>
      <c r="CL114" s="177"/>
      <c r="CM114" s="177"/>
      <c r="CN114" s="177"/>
      <c r="CO114" s="177"/>
      <c r="CP114" s="177"/>
      <c r="CQ114" s="177"/>
      <c r="CR114" s="177"/>
      <c r="CS114" s="177"/>
      <c r="CT114" s="177"/>
      <c r="CU114" s="177"/>
      <c r="CV114" s="177"/>
      <c r="CW114" s="177"/>
      <c r="CX114" s="177"/>
      <c r="CY114" s="177"/>
      <c r="CZ114" s="177"/>
      <c r="DA114" s="177"/>
      <c r="DB114" s="177"/>
      <c r="DC114" s="177"/>
      <c r="DD114" s="177"/>
      <c r="DE114" s="177"/>
      <c r="DF114" s="177"/>
      <c r="DG114" s="177"/>
      <c r="DH114" s="177"/>
      <c r="DI114" s="177"/>
      <c r="DJ114" s="177"/>
      <c r="DK114" s="177"/>
      <c r="DL114" s="177"/>
      <c r="DM114" s="177"/>
      <c r="DN114" s="177"/>
      <c r="DO114" s="177"/>
      <c r="DP114" s="177"/>
      <c r="DQ114" s="177"/>
      <c r="DR114" s="177"/>
      <c r="DS114" s="177"/>
      <c r="DT114" s="177"/>
      <c r="DU114" s="177"/>
      <c r="DV114" s="177"/>
      <c r="DW114" s="177"/>
      <c r="DX114" s="177"/>
      <c r="DY114" s="177"/>
      <c r="DZ114" s="177"/>
      <c r="EA114" s="177"/>
      <c r="EB114" s="177"/>
      <c r="EC114" s="177"/>
      <c r="ED114" s="177"/>
      <c r="EE114" s="177"/>
      <c r="EF114" s="177"/>
      <c r="EG114" s="177"/>
      <c r="EH114" s="177"/>
      <c r="EI114" s="177"/>
      <c r="EJ114" s="177"/>
      <c r="EK114" s="177"/>
      <c r="EL114" s="177"/>
      <c r="EM114" s="177"/>
      <c r="EN114" s="177"/>
      <c r="EO114" s="177"/>
      <c r="EP114" s="177"/>
      <c r="EQ114" s="177"/>
      <c r="ER114" s="177"/>
      <c r="ES114" s="177"/>
      <c r="ET114" s="177"/>
      <c r="EU114" s="177"/>
      <c r="EV114" s="177"/>
      <c r="EW114" s="177"/>
      <c r="EX114" s="177"/>
      <c r="EY114" s="177"/>
      <c r="EZ114" s="177"/>
      <c r="FA114" s="177"/>
      <c r="FB114" s="177"/>
      <c r="FC114" s="177"/>
      <c r="FD114" s="177"/>
      <c r="FE114" s="177"/>
      <c r="FF114" s="177"/>
      <c r="FG114" s="177"/>
      <c r="FH114" s="177"/>
      <c r="FI114" s="177"/>
      <c r="FJ114" s="177"/>
      <c r="FK114" s="177"/>
      <c r="FL114" s="177"/>
      <c r="FM114" s="177"/>
      <c r="FN114" s="177"/>
      <c r="FO114" s="177"/>
      <c r="FP114" s="177"/>
      <c r="FQ114" s="177"/>
      <c r="FR114" s="177"/>
      <c r="FS114" s="177"/>
      <c r="FT114" s="177"/>
      <c r="FU114" s="177"/>
      <c r="FV114" s="177"/>
      <c r="FW114" s="177"/>
      <c r="FX114" s="177"/>
      <c r="FY114" s="177"/>
      <c r="FZ114" s="177"/>
      <c r="GA114" s="177"/>
      <c r="GB114" s="177"/>
      <c r="GC114" s="177"/>
      <c r="GD114" s="177"/>
      <c r="GE114" s="177"/>
      <c r="GF114" s="177"/>
      <c r="GG114" s="177"/>
      <c r="GH114" s="177"/>
      <c r="GI114" s="177"/>
      <c r="GJ114" s="177"/>
      <c r="GK114" s="177"/>
      <c r="GL114" s="177"/>
      <c r="GM114" s="177"/>
      <c r="GN114" s="177"/>
      <c r="GO114" s="177"/>
      <c r="GP114" s="177"/>
      <c r="GQ114" s="177"/>
      <c r="GR114" s="177"/>
      <c r="GS114" s="177"/>
      <c r="GT114" s="177"/>
      <c r="GU114" s="177"/>
      <c r="GV114" s="177"/>
      <c r="GW114" s="177"/>
      <c r="GX114" s="177"/>
      <c r="GY114" s="177"/>
      <c r="GZ114" s="177"/>
      <c r="HA114" s="177"/>
      <c r="HB114" s="177"/>
      <c r="HC114" s="177"/>
      <c r="HD114" s="177"/>
      <c r="HE114" s="177"/>
      <c r="HF114" s="177"/>
      <c r="HG114" s="177"/>
      <c r="HH114" s="177"/>
      <c r="HI114" s="177"/>
      <c r="HJ114" s="177"/>
      <c r="HK114" s="177"/>
      <c r="HL114" s="177"/>
      <c r="HM114" s="177"/>
      <c r="HN114" s="177"/>
      <c r="HO114" s="177"/>
      <c r="HP114" s="177"/>
      <c r="HQ114" s="177"/>
      <c r="HR114" s="177"/>
      <c r="HS114" s="177"/>
      <c r="HT114" s="177"/>
      <c r="HU114" s="177"/>
      <c r="HV114" s="177"/>
      <c r="HW114" s="177"/>
      <c r="HX114" s="177"/>
      <c r="HY114" s="177"/>
      <c r="HZ114" s="177"/>
      <c r="IA114" s="177"/>
      <c r="IB114" s="177"/>
      <c r="IC114" s="177"/>
      <c r="ID114" s="177"/>
      <c r="IE114" s="177"/>
      <c r="IF114" s="177"/>
      <c r="IG114" s="177"/>
      <c r="IH114" s="177"/>
      <c r="II114" s="177"/>
      <c r="IJ114" s="177"/>
      <c r="IK114" s="177"/>
      <c r="IL114" s="177"/>
      <c r="IM114" s="177"/>
      <c r="IN114" s="177"/>
      <c r="IO114" s="177"/>
      <c r="IP114" s="177"/>
      <c r="IQ114" s="177"/>
      <c r="IR114" s="177"/>
      <c r="IS114" s="177"/>
      <c r="IT114" s="177"/>
      <c r="IU114" s="177"/>
      <c r="IV114" s="177"/>
    </row>
    <row r="115" spans="1:256" x14ac:dyDescent="0.3">
      <c r="A115" s="190" t="s">
        <v>513</v>
      </c>
      <c r="B115" s="173">
        <f>C31/SUM(C31:C34)</f>
        <v>0.89049592687482115</v>
      </c>
      <c r="C115" s="173">
        <f t="shared" ref="C115:H115" si="111">D31/SUM(D31:D34)</f>
        <v>0.93067066119585429</v>
      </c>
      <c r="D115" s="173">
        <f t="shared" si="111"/>
        <v>0.80565620662415605</v>
      </c>
      <c r="E115" s="173">
        <f t="shared" si="111"/>
        <v>0.70056619344961568</v>
      </c>
      <c r="F115" s="256">
        <f t="shared" si="111"/>
        <v>0.63134825721380705</v>
      </c>
      <c r="G115" s="173">
        <f t="shared" si="111"/>
        <v>0.6520699108727126</v>
      </c>
      <c r="H115" s="173">
        <f t="shared" si="111"/>
        <v>0.75974218657234083</v>
      </c>
      <c r="I115" s="395"/>
      <c r="J115" s="391"/>
      <c r="K115" s="391"/>
      <c r="L115" s="391"/>
      <c r="M115" s="391"/>
      <c r="N115" s="391"/>
      <c r="O115" s="391"/>
      <c r="P115" s="391"/>
      <c r="Q115" s="391"/>
      <c r="R115" s="391"/>
      <c r="S115" s="391"/>
      <c r="T115" s="391"/>
      <c r="U115" s="391"/>
      <c r="V115" s="391"/>
      <c r="W115" s="177"/>
      <c r="X115" s="177"/>
      <c r="Y115" s="177"/>
      <c r="Z115" s="177"/>
      <c r="AA115" s="177"/>
      <c r="AB115" s="177"/>
      <c r="AC115" s="177"/>
      <c r="AD115" s="177"/>
      <c r="AE115" s="177"/>
      <c r="AF115" s="177"/>
      <c r="AG115" s="177"/>
      <c r="AH115" s="177"/>
      <c r="AI115" s="177"/>
      <c r="AJ115" s="177"/>
      <c r="AK115" s="177"/>
      <c r="AL115" s="177"/>
      <c r="AM115" s="177"/>
      <c r="AN115" s="177"/>
      <c r="AO115" s="177"/>
      <c r="AP115" s="177"/>
      <c r="AQ115" s="177"/>
      <c r="AR115" s="177"/>
      <c r="AS115" s="177"/>
      <c r="AT115" s="177"/>
      <c r="AU115" s="177"/>
      <c r="AV115" s="177"/>
      <c r="AW115" s="177"/>
      <c r="AX115" s="177"/>
      <c r="AY115" s="177"/>
      <c r="AZ115" s="177"/>
      <c r="BA115" s="177"/>
      <c r="BB115" s="177"/>
      <c r="BC115" s="177"/>
      <c r="BD115" s="177"/>
      <c r="BE115" s="177"/>
      <c r="BF115" s="177"/>
      <c r="BG115" s="177"/>
      <c r="BH115" s="177"/>
      <c r="BI115" s="177"/>
      <c r="BJ115" s="177"/>
      <c r="BK115" s="177"/>
      <c r="BL115" s="177"/>
      <c r="BM115" s="177"/>
      <c r="BN115" s="177"/>
      <c r="BO115" s="177"/>
      <c r="BP115" s="177"/>
      <c r="BQ115" s="177"/>
      <c r="BR115" s="177"/>
      <c r="BS115" s="177"/>
      <c r="BT115" s="177"/>
      <c r="BU115" s="177"/>
      <c r="BV115" s="177"/>
      <c r="BW115" s="177"/>
      <c r="BX115" s="177"/>
      <c r="BY115" s="177"/>
      <c r="BZ115" s="177"/>
      <c r="CA115" s="177"/>
      <c r="CB115" s="177"/>
      <c r="CC115" s="177"/>
      <c r="CD115" s="177"/>
      <c r="CE115" s="177"/>
      <c r="CF115" s="177"/>
      <c r="CG115" s="177"/>
      <c r="CH115" s="177"/>
      <c r="CI115" s="177"/>
      <c r="CJ115" s="177"/>
      <c r="CK115" s="177"/>
      <c r="CL115" s="177"/>
      <c r="CM115" s="177"/>
      <c r="CN115" s="177"/>
      <c r="CO115" s="177"/>
      <c r="CP115" s="177"/>
      <c r="CQ115" s="177"/>
      <c r="CR115" s="177"/>
      <c r="CS115" s="177"/>
      <c r="CT115" s="177"/>
      <c r="CU115" s="177"/>
      <c r="CV115" s="177"/>
      <c r="CW115" s="177"/>
      <c r="CX115" s="177"/>
      <c r="CY115" s="177"/>
      <c r="CZ115" s="177"/>
      <c r="DA115" s="177"/>
      <c r="DB115" s="177"/>
      <c r="DC115" s="177"/>
      <c r="DD115" s="177"/>
      <c r="DE115" s="177"/>
      <c r="DF115" s="177"/>
      <c r="DG115" s="177"/>
      <c r="DH115" s="177"/>
      <c r="DI115" s="177"/>
      <c r="DJ115" s="177"/>
      <c r="DK115" s="177"/>
      <c r="DL115" s="177"/>
      <c r="DM115" s="177"/>
      <c r="DN115" s="177"/>
      <c r="DO115" s="177"/>
      <c r="DP115" s="177"/>
      <c r="DQ115" s="177"/>
      <c r="DR115" s="177"/>
      <c r="DS115" s="177"/>
      <c r="DT115" s="177"/>
      <c r="DU115" s="177"/>
      <c r="DV115" s="177"/>
      <c r="DW115" s="177"/>
      <c r="DX115" s="177"/>
      <c r="DY115" s="177"/>
      <c r="DZ115" s="177"/>
      <c r="EA115" s="177"/>
      <c r="EB115" s="177"/>
      <c r="EC115" s="177"/>
      <c r="ED115" s="177"/>
      <c r="EE115" s="177"/>
      <c r="EF115" s="177"/>
      <c r="EG115" s="177"/>
      <c r="EH115" s="177"/>
      <c r="EI115" s="177"/>
      <c r="EJ115" s="177"/>
      <c r="EK115" s="177"/>
      <c r="EL115" s="177"/>
      <c r="EM115" s="177"/>
      <c r="EN115" s="177"/>
      <c r="EO115" s="177"/>
      <c r="EP115" s="177"/>
      <c r="EQ115" s="177"/>
      <c r="ER115" s="177"/>
      <c r="ES115" s="177"/>
      <c r="ET115" s="177"/>
      <c r="EU115" s="177"/>
      <c r="EV115" s="177"/>
      <c r="EW115" s="177"/>
      <c r="EX115" s="177"/>
      <c r="EY115" s="177"/>
      <c r="EZ115" s="177"/>
      <c r="FA115" s="177"/>
      <c r="FB115" s="177"/>
      <c r="FC115" s="177"/>
      <c r="FD115" s="177"/>
      <c r="FE115" s="177"/>
      <c r="FF115" s="177"/>
      <c r="FG115" s="177"/>
      <c r="FH115" s="177"/>
      <c r="FI115" s="177"/>
      <c r="FJ115" s="177"/>
      <c r="FK115" s="177"/>
      <c r="FL115" s="177"/>
      <c r="FM115" s="177"/>
      <c r="FN115" s="177"/>
      <c r="FO115" s="177"/>
      <c r="FP115" s="177"/>
      <c r="FQ115" s="177"/>
      <c r="FR115" s="177"/>
      <c r="FS115" s="177"/>
      <c r="FT115" s="177"/>
      <c r="FU115" s="177"/>
      <c r="FV115" s="177"/>
      <c r="FW115" s="177"/>
      <c r="FX115" s="177"/>
      <c r="FY115" s="177"/>
      <c r="FZ115" s="177"/>
      <c r="GA115" s="177"/>
      <c r="GB115" s="177"/>
      <c r="GC115" s="177"/>
      <c r="GD115" s="177"/>
      <c r="GE115" s="177"/>
      <c r="GF115" s="177"/>
      <c r="GG115" s="177"/>
      <c r="GH115" s="177"/>
      <c r="GI115" s="177"/>
      <c r="GJ115" s="177"/>
      <c r="GK115" s="177"/>
      <c r="GL115" s="177"/>
      <c r="GM115" s="177"/>
      <c r="GN115" s="177"/>
      <c r="GO115" s="177"/>
      <c r="GP115" s="177"/>
      <c r="GQ115" s="177"/>
      <c r="GR115" s="177"/>
      <c r="GS115" s="177"/>
      <c r="GT115" s="177"/>
      <c r="GU115" s="177"/>
      <c r="GV115" s="177"/>
      <c r="GW115" s="177"/>
      <c r="GX115" s="177"/>
      <c r="GY115" s="177"/>
      <c r="GZ115" s="177"/>
      <c r="HA115" s="177"/>
      <c r="HB115" s="177"/>
      <c r="HC115" s="177"/>
      <c r="HD115" s="177"/>
      <c r="HE115" s="177"/>
      <c r="HF115" s="177"/>
      <c r="HG115" s="177"/>
      <c r="HH115" s="177"/>
      <c r="HI115" s="177"/>
      <c r="HJ115" s="177"/>
      <c r="HK115" s="177"/>
      <c r="HL115" s="177"/>
      <c r="HM115" s="177"/>
      <c r="HN115" s="177"/>
      <c r="HO115" s="177"/>
      <c r="HP115" s="177"/>
      <c r="HQ115" s="177"/>
      <c r="HR115" s="177"/>
      <c r="HS115" s="177"/>
      <c r="HT115" s="177"/>
      <c r="HU115" s="177"/>
      <c r="HV115" s="177"/>
      <c r="HW115" s="177"/>
      <c r="HX115" s="177"/>
      <c r="HY115" s="177"/>
      <c r="HZ115" s="177"/>
      <c r="IA115" s="177"/>
      <c r="IB115" s="177"/>
      <c r="IC115" s="177"/>
      <c r="ID115" s="177"/>
      <c r="IE115" s="177"/>
      <c r="IF115" s="177"/>
      <c r="IG115" s="177"/>
      <c r="IH115" s="177"/>
      <c r="II115" s="177"/>
      <c r="IJ115" s="177"/>
      <c r="IK115" s="177"/>
      <c r="IL115" s="177"/>
      <c r="IM115" s="177"/>
      <c r="IN115" s="177"/>
      <c r="IO115" s="177"/>
      <c r="IP115" s="177"/>
      <c r="IQ115" s="177"/>
      <c r="IR115" s="177"/>
      <c r="IS115" s="177"/>
      <c r="IT115" s="177"/>
      <c r="IU115" s="177"/>
      <c r="IV115" s="177"/>
    </row>
    <row r="116" spans="1:256" ht="31.2" x14ac:dyDescent="0.3">
      <c r="A116" s="190" t="s">
        <v>514</v>
      </c>
      <c r="B116" s="173">
        <f>(бс!C36/бс!C51)</f>
        <v>0.87491576935711124</v>
      </c>
      <c r="C116" s="173">
        <f>(бс!D36/бс!D51)</f>
        <v>0.91648301154559209</v>
      </c>
      <c r="D116" s="173">
        <f>(бс!E36/бс!E51)</f>
        <v>0.792148283090782</v>
      </c>
      <c r="E116" s="173">
        <f>(бс!F36/бс!F51)</f>
        <v>0.68535731544096279</v>
      </c>
      <c r="F116" s="256">
        <f>(бс!G36/бс!G51)</f>
        <v>0.61376361914495314</v>
      </c>
      <c r="G116" s="173">
        <f>(бс!H36/бс!H51)</f>
        <v>0.63019224371085603</v>
      </c>
      <c r="H116" s="173">
        <f>(бс!I36/бс!I51)</f>
        <v>0.73157487031807644</v>
      </c>
      <c r="I116" s="395"/>
      <c r="J116" s="391"/>
      <c r="K116" s="391"/>
      <c r="L116" s="391"/>
      <c r="M116" s="391"/>
      <c r="N116" s="391"/>
      <c r="O116" s="391"/>
      <c r="P116" s="391"/>
      <c r="Q116" s="391"/>
      <c r="R116" s="391"/>
      <c r="S116" s="391"/>
      <c r="T116" s="391"/>
      <c r="U116" s="391"/>
      <c r="V116" s="391"/>
      <c r="W116" s="177"/>
      <c r="X116" s="177"/>
      <c r="Y116" s="177"/>
      <c r="Z116" s="177"/>
      <c r="AA116" s="177"/>
      <c r="AB116" s="177"/>
      <c r="AC116" s="177"/>
      <c r="AD116" s="177"/>
      <c r="AE116" s="177"/>
      <c r="AF116" s="177"/>
      <c r="AG116" s="177"/>
      <c r="AH116" s="177"/>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177"/>
      <c r="BR116" s="177"/>
      <c r="BS116" s="177"/>
      <c r="BT116" s="177"/>
      <c r="BU116" s="177"/>
      <c r="BV116" s="177"/>
      <c r="BW116" s="177"/>
      <c r="BX116" s="177"/>
      <c r="BY116" s="177"/>
      <c r="BZ116" s="177"/>
      <c r="CA116" s="177"/>
      <c r="CB116" s="177"/>
      <c r="CC116" s="177"/>
      <c r="CD116" s="177"/>
      <c r="CE116" s="177"/>
      <c r="CF116" s="177"/>
      <c r="CG116" s="177"/>
      <c r="CH116" s="177"/>
      <c r="CI116" s="177"/>
      <c r="CJ116" s="177"/>
      <c r="CK116" s="177"/>
      <c r="CL116" s="177"/>
      <c r="CM116" s="177"/>
      <c r="CN116" s="177"/>
      <c r="CO116" s="177"/>
      <c r="CP116" s="177"/>
      <c r="CQ116" s="177"/>
      <c r="CR116" s="177"/>
      <c r="CS116" s="177"/>
      <c r="CT116" s="177"/>
      <c r="CU116" s="177"/>
      <c r="CV116" s="177"/>
      <c r="CW116" s="177"/>
      <c r="CX116" s="177"/>
      <c r="CY116" s="177"/>
      <c r="CZ116" s="177"/>
      <c r="DA116" s="177"/>
      <c r="DB116" s="177"/>
      <c r="DC116" s="177"/>
      <c r="DD116" s="177"/>
      <c r="DE116" s="177"/>
      <c r="DF116" s="177"/>
      <c r="DG116" s="177"/>
      <c r="DH116" s="177"/>
      <c r="DI116" s="177"/>
      <c r="DJ116" s="177"/>
      <c r="DK116" s="177"/>
      <c r="DL116" s="177"/>
      <c r="DM116" s="177"/>
      <c r="DN116" s="177"/>
      <c r="DO116" s="177"/>
      <c r="DP116" s="177"/>
      <c r="DQ116" s="177"/>
      <c r="DR116" s="177"/>
      <c r="DS116" s="177"/>
      <c r="DT116" s="177"/>
      <c r="DU116" s="177"/>
      <c r="DV116" s="177"/>
      <c r="DW116" s="177"/>
      <c r="DX116" s="177"/>
      <c r="DY116" s="177"/>
      <c r="DZ116" s="177"/>
      <c r="EA116" s="177"/>
      <c r="EB116" s="177"/>
      <c r="EC116" s="177"/>
      <c r="ED116" s="177"/>
      <c r="EE116" s="177"/>
      <c r="EF116" s="177"/>
      <c r="EG116" s="177"/>
      <c r="EH116" s="177"/>
      <c r="EI116" s="177"/>
      <c r="EJ116" s="177"/>
      <c r="EK116" s="177"/>
      <c r="EL116" s="177"/>
      <c r="EM116" s="177"/>
      <c r="EN116" s="177"/>
      <c r="EO116" s="177"/>
      <c r="EP116" s="177"/>
      <c r="EQ116" s="177"/>
      <c r="ER116" s="177"/>
      <c r="ES116" s="177"/>
      <c r="ET116" s="177"/>
      <c r="EU116" s="177"/>
      <c r="EV116" s="177"/>
      <c r="EW116" s="177"/>
      <c r="EX116" s="177"/>
      <c r="EY116" s="177"/>
      <c r="EZ116" s="177"/>
      <c r="FA116" s="177"/>
      <c r="FB116" s="177"/>
      <c r="FC116" s="177"/>
      <c r="FD116" s="177"/>
      <c r="FE116" s="177"/>
      <c r="FF116" s="177"/>
      <c r="FG116" s="177"/>
      <c r="FH116" s="177"/>
      <c r="FI116" s="177"/>
      <c r="FJ116" s="177"/>
      <c r="FK116" s="177"/>
      <c r="FL116" s="177"/>
      <c r="FM116" s="177"/>
      <c r="FN116" s="177"/>
      <c r="FO116" s="177"/>
      <c r="FP116" s="177"/>
      <c r="FQ116" s="177"/>
      <c r="FR116" s="177"/>
      <c r="FS116" s="177"/>
      <c r="FT116" s="177"/>
      <c r="FU116" s="177"/>
      <c r="FV116" s="177"/>
      <c r="FW116" s="177"/>
      <c r="FX116" s="177"/>
      <c r="FY116" s="177"/>
      <c r="FZ116" s="177"/>
      <c r="GA116" s="177"/>
      <c r="GB116" s="177"/>
      <c r="GC116" s="177"/>
      <c r="GD116" s="177"/>
      <c r="GE116" s="177"/>
      <c r="GF116" s="177"/>
      <c r="GG116" s="177"/>
      <c r="GH116" s="177"/>
      <c r="GI116" s="177"/>
      <c r="GJ116" s="177"/>
      <c r="GK116" s="177"/>
      <c r="GL116" s="177"/>
      <c r="GM116" s="177"/>
      <c r="GN116" s="177"/>
      <c r="GO116" s="177"/>
      <c r="GP116" s="177"/>
      <c r="GQ116" s="177"/>
      <c r="GR116" s="177"/>
      <c r="GS116" s="177"/>
      <c r="GT116" s="177"/>
      <c r="GU116" s="177"/>
      <c r="GV116" s="177"/>
      <c r="GW116" s="177"/>
      <c r="GX116" s="177"/>
      <c r="GY116" s="177"/>
      <c r="GZ116" s="177"/>
      <c r="HA116" s="177"/>
      <c r="HB116" s="177"/>
      <c r="HC116" s="177"/>
      <c r="HD116" s="177"/>
      <c r="HE116" s="177"/>
      <c r="HF116" s="177"/>
      <c r="HG116" s="177"/>
      <c r="HH116" s="177"/>
      <c r="HI116" s="177"/>
      <c r="HJ116" s="177"/>
      <c r="HK116" s="177"/>
      <c r="HL116" s="177"/>
      <c r="HM116" s="177"/>
      <c r="HN116" s="177"/>
      <c r="HO116" s="177"/>
      <c r="HP116" s="177"/>
      <c r="HQ116" s="177"/>
      <c r="HR116" s="177"/>
      <c r="HS116" s="177"/>
      <c r="HT116" s="177"/>
      <c r="HU116" s="177"/>
      <c r="HV116" s="177"/>
      <c r="HW116" s="177"/>
      <c r="HX116" s="177"/>
      <c r="HY116" s="177"/>
      <c r="HZ116" s="177"/>
      <c r="IA116" s="177"/>
      <c r="IB116" s="177"/>
      <c r="IC116" s="177"/>
      <c r="ID116" s="177"/>
      <c r="IE116" s="177"/>
      <c r="IF116" s="177"/>
      <c r="IG116" s="177"/>
      <c r="IH116" s="177"/>
      <c r="II116" s="177"/>
      <c r="IJ116" s="177"/>
      <c r="IK116" s="177"/>
      <c r="IL116" s="177"/>
      <c r="IM116" s="177"/>
      <c r="IN116" s="177"/>
      <c r="IO116" s="177"/>
      <c r="IP116" s="177"/>
      <c r="IQ116" s="177"/>
      <c r="IR116" s="177"/>
      <c r="IS116" s="177"/>
      <c r="IT116" s="177"/>
      <c r="IU116" s="177"/>
      <c r="IV116" s="177"/>
    </row>
    <row r="117" spans="1:256" x14ac:dyDescent="0.3">
      <c r="A117" s="177"/>
      <c r="B117" s="177"/>
      <c r="C117" s="177"/>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177"/>
      <c r="BR117" s="177"/>
      <c r="BS117" s="177"/>
      <c r="BT117" s="177"/>
      <c r="BU117" s="177"/>
      <c r="BV117" s="177"/>
      <c r="BW117" s="177"/>
      <c r="BX117" s="177"/>
      <c r="BY117" s="177"/>
      <c r="BZ117" s="177"/>
      <c r="CA117" s="177"/>
      <c r="CB117" s="177"/>
      <c r="CC117" s="177"/>
      <c r="CD117" s="177"/>
      <c r="CE117" s="177"/>
      <c r="CF117" s="177"/>
      <c r="CG117" s="177"/>
      <c r="CH117" s="177"/>
      <c r="CI117" s="177"/>
      <c r="CJ117" s="177"/>
      <c r="CK117" s="177"/>
      <c r="CL117" s="177"/>
      <c r="CM117" s="177"/>
      <c r="CN117" s="177"/>
      <c r="CO117" s="177"/>
      <c r="CP117" s="177"/>
      <c r="CQ117" s="177"/>
      <c r="CR117" s="177"/>
      <c r="CS117" s="177"/>
      <c r="CT117" s="177"/>
      <c r="CU117" s="177"/>
      <c r="CV117" s="177"/>
      <c r="CW117" s="177"/>
      <c r="CX117" s="177"/>
      <c r="CY117" s="177"/>
      <c r="CZ117" s="177"/>
      <c r="DA117" s="177"/>
      <c r="DB117" s="177"/>
      <c r="DC117" s="177"/>
      <c r="DD117" s="177"/>
      <c r="DE117" s="177"/>
      <c r="DF117" s="177"/>
      <c r="DG117" s="177"/>
      <c r="DH117" s="177"/>
      <c r="DI117" s="177"/>
      <c r="DJ117" s="177"/>
      <c r="DK117" s="177"/>
      <c r="DL117" s="177"/>
      <c r="DM117" s="177"/>
      <c r="DN117" s="177"/>
      <c r="DO117" s="177"/>
      <c r="DP117" s="177"/>
      <c r="DQ117" s="177"/>
      <c r="DR117" s="177"/>
      <c r="DS117" s="177"/>
      <c r="DT117" s="177"/>
      <c r="DU117" s="177"/>
      <c r="DV117" s="177"/>
      <c r="DW117" s="177"/>
      <c r="DX117" s="177"/>
      <c r="DY117" s="177"/>
      <c r="DZ117" s="177"/>
      <c r="EA117" s="177"/>
      <c r="EB117" s="177"/>
      <c r="EC117" s="177"/>
      <c r="ED117" s="177"/>
      <c r="EE117" s="177"/>
      <c r="EF117" s="177"/>
      <c r="EG117" s="177"/>
      <c r="EH117" s="177"/>
      <c r="EI117" s="177"/>
      <c r="EJ117" s="177"/>
      <c r="EK117" s="177"/>
      <c r="EL117" s="177"/>
      <c r="EM117" s="177"/>
      <c r="EN117" s="177"/>
      <c r="EO117" s="177"/>
      <c r="EP117" s="177"/>
      <c r="EQ117" s="177"/>
      <c r="ER117" s="177"/>
      <c r="ES117" s="177"/>
      <c r="ET117" s="177"/>
      <c r="EU117" s="177"/>
      <c r="EV117" s="177"/>
      <c r="EW117" s="177"/>
      <c r="EX117" s="177"/>
      <c r="EY117" s="177"/>
      <c r="EZ117" s="177"/>
      <c r="FA117" s="177"/>
      <c r="FB117" s="177"/>
      <c r="FC117" s="177"/>
      <c r="FD117" s="177"/>
      <c r="FE117" s="177"/>
      <c r="FF117" s="177"/>
      <c r="FG117" s="177"/>
      <c r="FH117" s="177"/>
      <c r="FI117" s="177"/>
      <c r="FJ117" s="177"/>
      <c r="FK117" s="177"/>
      <c r="FL117" s="177"/>
      <c r="FM117" s="177"/>
      <c r="FN117" s="177"/>
      <c r="FO117" s="177"/>
      <c r="FP117" s="177"/>
      <c r="FQ117" s="177"/>
      <c r="FR117" s="177"/>
      <c r="FS117" s="177"/>
      <c r="FT117" s="177"/>
      <c r="FU117" s="177"/>
      <c r="FV117" s="177"/>
      <c r="FW117" s="177"/>
      <c r="FX117" s="177"/>
      <c r="FY117" s="177"/>
      <c r="FZ117" s="177"/>
      <c r="GA117" s="177"/>
      <c r="GB117" s="177"/>
      <c r="GC117" s="177"/>
      <c r="GD117" s="177"/>
      <c r="GE117" s="177"/>
      <c r="GF117" s="177"/>
      <c r="GG117" s="177"/>
      <c r="GH117" s="177"/>
      <c r="GI117" s="177"/>
      <c r="GJ117" s="177"/>
      <c r="GK117" s="177"/>
      <c r="GL117" s="177"/>
      <c r="GM117" s="177"/>
      <c r="GN117" s="177"/>
      <c r="GO117" s="177"/>
      <c r="GP117" s="177"/>
      <c r="GQ117" s="177"/>
      <c r="GR117" s="177"/>
      <c r="GS117" s="177"/>
      <c r="GT117" s="177"/>
      <c r="GU117" s="177"/>
      <c r="GV117" s="177"/>
      <c r="GW117" s="177"/>
      <c r="GX117" s="177"/>
      <c r="GY117" s="177"/>
      <c r="GZ117" s="177"/>
      <c r="HA117" s="177"/>
      <c r="HB117" s="177"/>
      <c r="HC117" s="177"/>
      <c r="HD117" s="177"/>
      <c r="HE117" s="177"/>
      <c r="HF117" s="177"/>
      <c r="HG117" s="177"/>
      <c r="HH117" s="177"/>
      <c r="HI117" s="177"/>
      <c r="HJ117" s="177"/>
      <c r="HK117" s="177"/>
      <c r="HL117" s="177"/>
      <c r="HM117" s="177"/>
      <c r="HN117" s="177"/>
      <c r="HO117" s="177"/>
      <c r="HP117" s="177"/>
      <c r="HQ117" s="177"/>
      <c r="HR117" s="177"/>
      <c r="HS117" s="177"/>
      <c r="HT117" s="177"/>
      <c r="HU117" s="177"/>
      <c r="HV117" s="177"/>
      <c r="HW117" s="177"/>
      <c r="HX117" s="177"/>
      <c r="HY117" s="177"/>
      <c r="HZ117" s="177"/>
      <c r="IA117" s="177"/>
      <c r="IB117" s="177"/>
      <c r="IC117" s="177"/>
      <c r="ID117" s="177"/>
      <c r="IE117" s="177"/>
      <c r="IF117" s="177"/>
      <c r="IG117" s="177"/>
      <c r="IH117" s="177"/>
      <c r="II117" s="177"/>
      <c r="IJ117" s="177"/>
      <c r="IK117" s="177"/>
      <c r="IL117" s="177"/>
      <c r="IM117" s="177"/>
      <c r="IN117" s="177"/>
      <c r="IO117" s="177"/>
      <c r="IP117" s="177"/>
      <c r="IQ117" s="177"/>
      <c r="IR117" s="177"/>
      <c r="IS117" s="177"/>
      <c r="IT117" s="177"/>
      <c r="IU117" s="177"/>
      <c r="IV117" s="177"/>
    </row>
    <row r="129" spans="1:256" x14ac:dyDescent="0.3">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row>
  </sheetData>
  <mergeCells count="178">
    <mergeCell ref="A76:A79"/>
    <mergeCell ref="B76:AE79"/>
    <mergeCell ref="I91:I94"/>
    <mergeCell ref="J91:V94"/>
    <mergeCell ref="I98:I101"/>
    <mergeCell ref="J98:V101"/>
    <mergeCell ref="J103:V111"/>
    <mergeCell ref="I105:I109"/>
    <mergeCell ref="I113:I116"/>
    <mergeCell ref="J113:V116"/>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C71:C74"/>
    <mergeCell ref="D71:F71"/>
    <mergeCell ref="H71:H74"/>
    <mergeCell ref="I71:K71"/>
    <mergeCell ref="M71:M74"/>
    <mergeCell ref="N71:P71"/>
    <mergeCell ref="R71:R74"/>
    <mergeCell ref="S71:U71"/>
    <mergeCell ref="W71:W74"/>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C57:C61"/>
    <mergeCell ref="D57:F57"/>
    <mergeCell ref="H57:H61"/>
    <mergeCell ref="I57:K57"/>
    <mergeCell ref="M57:M61"/>
    <mergeCell ref="N57:P57"/>
    <mergeCell ref="R57:R61"/>
    <mergeCell ref="S57:U57"/>
    <mergeCell ref="W57:W61"/>
    <mergeCell ref="S61:U61"/>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X43:Z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C43:C47"/>
    <mergeCell ref="D43:F43"/>
    <mergeCell ref="H43:H47"/>
    <mergeCell ref="I43:K43"/>
    <mergeCell ref="M43:M47"/>
    <mergeCell ref="N43:P43"/>
    <mergeCell ref="R43:R47"/>
    <mergeCell ref="S43:U43"/>
    <mergeCell ref="W43:W47"/>
    <mergeCell ref="S47:U47"/>
    <mergeCell ref="A41:A42"/>
    <mergeCell ref="B41:F41"/>
    <mergeCell ref="G41:K41"/>
    <mergeCell ref="L41:P41"/>
    <mergeCell ref="Q41:U41"/>
    <mergeCell ref="V41:Z41"/>
    <mergeCell ref="AA41:AE41"/>
    <mergeCell ref="D42:F42"/>
    <mergeCell ref="I42:K42"/>
    <mergeCell ref="N42:P42"/>
    <mergeCell ref="S42:U42"/>
    <mergeCell ref="X42:Z42"/>
    <mergeCell ref="AC42:AE42"/>
    <mergeCell ref="A21:A23"/>
    <mergeCell ref="B21:B23"/>
    <mergeCell ref="C21:I22"/>
    <mergeCell ref="J21:P22"/>
    <mergeCell ref="Q21:AH21"/>
    <mergeCell ref="Q22:S22"/>
    <mergeCell ref="T22:V22"/>
    <mergeCell ref="W22:Y22"/>
    <mergeCell ref="Z22:AB22"/>
    <mergeCell ref="AC22:AE22"/>
    <mergeCell ref="AF22:AH22"/>
    <mergeCell ref="A2:A4"/>
    <mergeCell ref="B2:B4"/>
    <mergeCell ref="C2:J3"/>
    <mergeCell ref="K2:R3"/>
    <mergeCell ref="S2:AM2"/>
    <mergeCell ref="S3:U3"/>
    <mergeCell ref="V3:X3"/>
    <mergeCell ref="Y3:AA3"/>
    <mergeCell ref="AB3:AD3"/>
    <mergeCell ref="AE3:AG3"/>
    <mergeCell ref="AH3:AJ3"/>
    <mergeCell ref="AK3:AM3"/>
  </mergeCells>
  <conditionalFormatting sqref="B43:B47">
    <cfRule type="cellIs" dxfId="29" priority="30" operator="greaterThan">
      <formula>$C$43</formula>
    </cfRule>
  </conditionalFormatting>
  <conditionalFormatting sqref="B57:B58">
    <cfRule type="cellIs" dxfId="28" priority="26" operator="lessThan">
      <formula>$C$57</formula>
    </cfRule>
  </conditionalFormatting>
  <conditionalFormatting sqref="B59:B61">
    <cfRule type="cellIs" dxfId="27" priority="25" operator="greaterThan">
      <formula>$C$57</formula>
    </cfRule>
  </conditionalFormatting>
  <conditionalFormatting sqref="B71">
    <cfRule type="cellIs" dxfId="26" priority="2" operator="lessThan">
      <formula>0</formula>
    </cfRule>
  </conditionalFormatting>
  <conditionalFormatting sqref="B72:B74">
    <cfRule type="cellIs" dxfId="25" priority="1" operator="greaterThan">
      <formula>$C$71</formula>
    </cfRule>
  </conditionalFormatting>
  <conditionalFormatting sqref="G43:G47">
    <cfRule type="cellIs" dxfId="24" priority="29" operator="greaterThan">
      <formula>$H$43</formula>
    </cfRule>
  </conditionalFormatting>
  <conditionalFormatting sqref="G57:G58">
    <cfRule type="cellIs" dxfId="23" priority="24" operator="lessThan">
      <formula>$H$57</formula>
    </cfRule>
  </conditionalFormatting>
  <conditionalFormatting sqref="G59:G61">
    <cfRule type="cellIs" dxfId="22" priority="23" operator="greaterThan">
      <formula>$H$57</formula>
    </cfRule>
  </conditionalFormatting>
  <conditionalFormatting sqref="G71">
    <cfRule type="cellIs" dxfId="21" priority="4" operator="lessThan">
      <formula>0</formula>
    </cfRule>
  </conditionalFormatting>
  <conditionalFormatting sqref="G72:G74">
    <cfRule type="cellIs" dxfId="20" priority="3" operator="greaterThan">
      <formula>$H$71</formula>
    </cfRule>
  </conditionalFormatting>
  <conditionalFormatting sqref="L43:L47">
    <cfRule type="cellIs" dxfId="19" priority="28" operator="greaterThan">
      <formula>$M$43</formula>
    </cfRule>
  </conditionalFormatting>
  <conditionalFormatting sqref="L57:L58">
    <cfRule type="cellIs" dxfId="18" priority="22" operator="lessThan">
      <formula>$M$57</formula>
    </cfRule>
  </conditionalFormatting>
  <conditionalFormatting sqref="L59:L61">
    <cfRule type="cellIs" dxfId="17" priority="21" operator="greaterThan">
      <formula>$M$57</formula>
    </cfRule>
  </conditionalFormatting>
  <conditionalFormatting sqref="L71">
    <cfRule type="cellIs" dxfId="16" priority="6" operator="lessThan">
      <formula>0</formula>
    </cfRule>
  </conditionalFormatting>
  <conditionalFormatting sqref="L72:L74">
    <cfRule type="cellIs" dxfId="15" priority="5" operator="greaterThan">
      <formula>$M$71</formula>
    </cfRule>
  </conditionalFormatting>
  <conditionalFormatting sqref="Q43:Q47">
    <cfRule type="cellIs" dxfId="14" priority="33" operator="greaterThan">
      <formula>$R$43</formula>
    </cfRule>
  </conditionalFormatting>
  <conditionalFormatting sqref="Q57:Q58">
    <cfRule type="cellIs" dxfId="13" priority="20" operator="lessThan">
      <formula>$R$57</formula>
    </cfRule>
  </conditionalFormatting>
  <conditionalFormatting sqref="Q59:Q61">
    <cfRule type="cellIs" dxfId="12" priority="19" operator="greaterThan">
      <formula>$R$57</formula>
    </cfRule>
  </conditionalFormatting>
  <conditionalFormatting sqref="Q71">
    <cfRule type="cellIs" dxfId="11" priority="8" operator="lessThan">
      <formula>0</formula>
    </cfRule>
  </conditionalFormatting>
  <conditionalFormatting sqref="Q72:Q74">
    <cfRule type="cellIs" dxfId="10" priority="7" operator="greaterThan">
      <formula>$R$71</formula>
    </cfRule>
  </conditionalFormatting>
  <conditionalFormatting sqref="V43:V47">
    <cfRule type="cellIs" dxfId="9" priority="32" operator="greaterThan">
      <formula>$W$43</formula>
    </cfRule>
  </conditionalFormatting>
  <conditionalFormatting sqref="V57:V58">
    <cfRule type="cellIs" dxfId="8" priority="18" operator="lessThan">
      <formula>$W$57</formula>
    </cfRule>
  </conditionalFormatting>
  <conditionalFormatting sqref="V59:V61">
    <cfRule type="cellIs" dxfId="7" priority="17" operator="greaterThan">
      <formula>$W$57</formula>
    </cfRule>
  </conditionalFormatting>
  <conditionalFormatting sqref="V71">
    <cfRule type="cellIs" dxfId="6" priority="10" operator="lessThan">
      <formula>0</formula>
    </cfRule>
  </conditionalFormatting>
  <conditionalFormatting sqref="V72:V74">
    <cfRule type="cellIs" dxfId="5" priority="9" operator="greaterThan">
      <formula>$W$71</formula>
    </cfRule>
  </conditionalFormatting>
  <conditionalFormatting sqref="AA43:AA47">
    <cfRule type="cellIs" dxfId="4" priority="31" operator="greaterThan">
      <formula>$AB$43</formula>
    </cfRule>
  </conditionalFormatting>
  <conditionalFormatting sqref="AA57:AA58">
    <cfRule type="cellIs" dxfId="3" priority="16" operator="lessThan">
      <formula>$AB$57</formula>
    </cfRule>
  </conditionalFormatting>
  <conditionalFormatting sqref="AA59:AA61">
    <cfRule type="cellIs" dxfId="2" priority="15" operator="greaterThan">
      <formula>$AB$57</formula>
    </cfRule>
  </conditionalFormatting>
  <conditionalFormatting sqref="AA71">
    <cfRule type="cellIs" dxfId="1" priority="12" operator="lessThan">
      <formula>0</formula>
    </cfRule>
  </conditionalFormatting>
  <conditionalFormatting sqref="AA72:AA74">
    <cfRule type="cellIs" dxfId="0" priority="11" operator="greaterThan">
      <formula>$AB$71</formula>
    </cfRule>
  </conditionalFormatting>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1</vt:lpstr>
      <vt:lpstr>2</vt:lpstr>
      <vt:lpstr>3</vt:lpstr>
      <vt:lpstr>4</vt:lpstr>
      <vt:lpstr>5</vt:lpstr>
      <vt:lpstr>бс</vt:lpstr>
      <vt:lpstr>бм</vt:lpstr>
      <vt:lpstr>э</vt:lpstr>
      <vt:lpstr>аб</vt:lpstr>
      <vt:lpstr>офр</vt:lpstr>
      <vt:lpstr>фу</vt:lpstr>
      <vt:lpstr>дкз</vt:lpstr>
      <vt:lpstr>сф</vt:lpstr>
      <vt:lpstr>дп</vt:lpstr>
    </vt:vector>
  </TitlesOfParts>
  <Company>Unknown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ada</cp:lastModifiedBy>
  <cp:revision>4</cp:revision>
  <dcterms:created xsi:type="dcterms:W3CDTF">1999-04-30T04:04:34Z</dcterms:created>
  <dcterms:modified xsi:type="dcterms:W3CDTF">2026-03-31T05:06:55Z</dcterms:modified>
</cp:coreProperties>
</file>