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externalLinks/externalLink2.xml" ContentType="application/vnd.openxmlformats-officedocument.spreadsheetml.externalLink+xml"/>
  <Override PartName="/xl/sharedStrings.xml" ContentType="application/vnd.openxmlformats-officedocument.spreadsheetml.sharedStrings+xml"/>
  <Override PartName="/xl/theme/theme1.xml" ContentType="application/vnd.openxmlformats-officedocument.theme+xml"/>
  <Override PartName="/xl/worksheets/sheet14.xml" ContentType="application/vnd.openxmlformats-officedocument.spreadsheetml.worksheet+xml"/>
  <Override PartName="/xl/worksheets/sheet13.xml" ContentType="application/vnd.openxmlformats-officedocument.spreadsheetml.worksheet+xml"/>
  <Override PartName="/xl/drawings/drawing4.xml" ContentType="application/vnd.openxmlformats-officedocument.drawing+xml"/>
  <Override PartName="/xl/worksheets/sheet12.xml" ContentType="application/vnd.openxmlformats-officedocument.spreadsheetml.worksheet+xml"/>
  <Override PartName="/xl/worksheets/sheet11.xml" ContentType="application/vnd.openxmlformats-officedocument.spreadsheetml.worksheet+xml"/>
  <Override PartName="/xl/drawings/drawing2.xml" ContentType="application/vnd.openxmlformats-officedocument.drawing+xml"/>
  <Override PartName="/xl/worksheets/sheet10.xml" ContentType="application/vnd.openxmlformats-officedocument.spreadsheetml.worksheet+xml"/>
  <Override PartName="/docProps/core.xml" ContentType="application/vnd.openxmlformats-package.core-properties+xml"/>
  <Override PartName="/xl/charts/colors7.xml" ContentType="application/vnd.ms-office.chartcolorstyle+xml"/>
  <Override PartName="/xl/worksheets/sheet4.xml" ContentType="application/vnd.openxmlformats-officedocument.spreadsheetml.worksheet+xml"/>
  <Override PartName="/xl/charts/chart7.xml" ContentType="application/vnd.openxmlformats-officedocument.drawingml.chart+xml"/>
  <Override PartName="/xl/charts/style3.xml" ContentType="application/vnd.ms-office.chartstyle+xml"/>
  <Override PartName="/xl/charts/style15.xml" ContentType="application/vnd.ms-office.chartstyle+xml"/>
  <Override PartName="/xl/charts/style7.xml" ContentType="application/vnd.ms-office.chartstyle+xml"/>
  <Override PartName="/xl/charts/colors6.xml" ContentType="application/vnd.ms-office.chartcolorstyle+xml"/>
  <Override PartName="/xl/worksheets/sheet3.xml" ContentType="application/vnd.openxmlformats-officedocument.spreadsheetml.worksheet+xml"/>
  <Override PartName="/xl/charts/chart13.xml" ContentType="application/vnd.openxmlformats-officedocument.drawingml.chart+xml"/>
  <Override PartName="/xl/styles.xml" ContentType="application/vnd.openxmlformats-officedocument.spreadsheetml.styles+xml"/>
  <Override PartName="/xl/charts/style5.xml" ContentType="application/vnd.ms-office.chartstyle+xml"/>
  <Override PartName="/xl/charts/chart12.xml" ContentType="application/vnd.openxmlformats-officedocument.drawingml.chart+xml"/>
  <Override PartName="/xl/charts/style8.xml" ContentType="application/vnd.ms-office.chartstyle+xml"/>
  <Override PartName="/xl/charts/chart5.xml" ContentType="application/vnd.openxmlformats-officedocument.drawingml.chart+xml"/>
  <Override PartName="/xl/charts/chart8.xml" ContentType="application/vnd.openxmlformats-officedocument.drawingml.chart+xml"/>
  <Override PartName="/xl/charts/colors2.xml" ContentType="application/vnd.ms-office.chartcolorstyle+xml"/>
  <Override PartName="/xl/charts/colors1.xml" ContentType="application/vnd.ms-office.chartcolorstyle+xml"/>
  <Override PartName="/xl/charts/colors4.xml" ContentType="application/vnd.ms-office.chartcolorstyle+xml"/>
  <Override PartName="/xl/charts/style1.xml" ContentType="application/vnd.ms-office.chartstyle+xml"/>
  <Override PartName="/xl/charts/chart10.xml" ContentType="application/vnd.openxmlformats-officedocument.drawingml.chart+xml"/>
  <Override PartName="/xl/charts/style11.xml" ContentType="application/vnd.ms-office.chartstyle+xml"/>
  <Override PartName="/xl/charts/chart1.xml" ContentType="application/vnd.openxmlformats-officedocument.drawingml.chart+xml"/>
  <Override PartName="/xl/drawings/drawing1.xml" ContentType="application/vnd.openxmlformats-officedocument.drawing+xml"/>
  <Override PartName="/xl/charts/style6.xml" ContentType="application/vnd.ms-office.chartstyle+xml"/>
  <Override PartName="/xl/charts/chart3.xml" ContentType="application/vnd.openxmlformats-officedocument.drawingml.chart+xml"/>
  <Override PartName="/xl/externalLinks/externalLink1.xml" ContentType="application/vnd.openxmlformats-officedocument.spreadsheetml.externalLink+xml"/>
  <Override PartName="/xl/charts/colors12.xml" ContentType="application/vnd.ms-office.chartcolorstyle+xml"/>
  <Override PartName="/xl/drawings/drawing5.xml" ContentType="application/vnd.openxmlformats-officedocument.drawing+xml"/>
  <Override PartName="/xl/charts/colors8.xml" ContentType="application/vnd.ms-office.chartcolorstyle+xml"/>
  <Override PartName="/xl/charts/chart2.xml" ContentType="application/vnd.openxmlformats-officedocument.drawingml.chart+xml"/>
  <Override PartName="/xl/charts/chart9.xml" ContentType="application/vnd.openxmlformats-officedocument.drawingml.chart+xml"/>
  <Override PartName="/xl/worksheets/sheet9.xml" ContentType="application/vnd.openxmlformats-officedocument.spreadsheetml.worksheet+xml"/>
  <Override PartName="/xl/charts/colors3.xml" ContentType="application/vnd.ms-office.chartcolorstyle+xml"/>
  <Override PartName="/xl/charts/colors9.xml" ContentType="application/vnd.ms-office.chartcolorstyle+xml"/>
  <Override PartName="/xl/charts/chart11.xml" ContentType="application/vnd.openxmlformats-officedocument.drawingml.chart+xml"/>
  <Override PartName="/xl/charts/style14.xml" ContentType="application/vnd.ms-office.chartstyle+xml"/>
  <Override PartName="/xl/charts/style4.xml" ContentType="application/vnd.ms-office.chartstyle+xml"/>
  <Override PartName="/xl/charts/style10.xml" ContentType="application/vnd.ms-office.chartstyle+xml"/>
  <Override PartName="/xl/worksheets/sheet8.xml" ContentType="application/vnd.openxmlformats-officedocument.spreadsheetml.worksheet+xml"/>
  <Override PartName="/xl/charts/chart6.xml" ContentType="application/vnd.openxmlformats-officedocument.drawingml.chart+xml"/>
  <Override PartName="/xl/charts/colors10.xml" ContentType="application/vnd.ms-office.chartcolorstyle+xml"/>
  <Override PartName="/xl/workbook.xml" ContentType="application/vnd.openxmlformats-officedocument.spreadsheetml.sheet.main+xml"/>
  <Override PartName="/xl/charts/colors5.xml" ContentType="application/vnd.ms-office.chartcolorstyle+xml"/>
  <Override PartName="/xl/charts/chart15.xml" ContentType="application/vnd.openxmlformats-officedocument.drawingml.chart+xml"/>
  <Override PartName="/xl/worksheets/sheet2.xml" ContentType="application/vnd.openxmlformats-officedocument.spreadsheetml.worksheet+xml"/>
  <Override PartName="/xl/charts/colors11.xml" ContentType="application/vnd.ms-office.chartcolorstyle+xml"/>
  <Override PartName="/xl/charts/style12.xml" ContentType="application/vnd.ms-office.chartstyle+xml"/>
  <Override PartName="/xl/charts/style13.xml" ContentType="application/vnd.ms-office.chartstyle+xml"/>
  <Override PartName="/xl/charts/chart14.xml" ContentType="application/vnd.openxmlformats-officedocument.drawingml.chart+xml"/>
  <Override PartName="/xl/charts/style2.xml" ContentType="application/vnd.ms-office.chartstyle+xml"/>
  <Override PartName="/docProps/app.xml" ContentType="application/vnd.openxmlformats-officedocument.extended-properties+xml"/>
  <Override PartName="/xl/charts/colors13.xml" ContentType="application/vnd.ms-office.chartcolorstyle+xml"/>
  <Override PartName="/xl/charts/colors14.xml" ContentType="application/vnd.ms-office.chartcolorstyle+xml"/>
  <Override PartName="/xl/drawings/drawing3.xml" ContentType="application/vnd.openxmlformats-officedocument.drawing+xml"/>
  <Override PartName="/xl/charts/style9.xml" ContentType="application/vnd.ms-office.chartstyle+xml"/>
  <Override PartName="/xl/charts/chart4.xml" ContentType="application/vnd.openxmlformats-officedocument.drawingml.chart+xml"/>
  <Override PartName="/xl/charts/colors15.xml" ContentType="application/vnd.ms-office.chartcolorstyle+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0"/>
  <workbookProtection/>
  <bookViews>
    <workbookView xWindow="360" yWindow="15" windowWidth="20955" windowHeight="9720" activeTab="10" showHorizontalScroll="1" showVerticalScroll="1"/>
  </bookViews>
  <sheets>
    <sheet name="1" sheetId="1" state="visible" r:id="rId3"/>
    <sheet name="2" sheetId="2" state="visible" r:id="rId4"/>
    <sheet name="3" sheetId="3" state="visible" r:id="rId5"/>
    <sheet name="4" sheetId="4" state="visible" r:id="rId6"/>
    <sheet name="5" sheetId="5" state="visible" r:id="rId7"/>
    <sheet name="бс" sheetId="6" state="visible" r:id="rId8"/>
    <sheet name="бм" sheetId="7" state="visible" r:id="rId9"/>
    <sheet name="э" sheetId="8" state="visible" r:id="rId10"/>
    <sheet name="аб" sheetId="9" state="visible" r:id="rId11"/>
    <sheet name="офр" sheetId="10" state="visible" r:id="rId12"/>
    <sheet name="фу" sheetId="11" state="visible" r:id="rId13"/>
    <sheet name="дкз" sheetId="12" state="visible" r:id="rId14"/>
    <sheet name="сф" sheetId="13" state="visible" r:id="rId15"/>
    <sheet name="дп" sheetId="14" state="visible" r:id="rId16"/>
  </sheets>
  <externalReferences>
    <externalReference r:id="rId1"/>
    <externalReference r:id="rId2"/>
  </externalReferences>
  <definedNames>
    <definedName name="a" localSheetId="6" hidden="0">#ref!</definedName>
    <definedName name="b" localSheetId="6" hidden="0">#ref!</definedName>
    <definedName name="d" localSheetId="6" hidden="0">#ref!</definedName>
    <definedName name="e" localSheetId="6" hidden="0">#ref!</definedName>
    <definedName name="f" localSheetId="6" hidden="0">#ref!</definedName>
    <definedName name="g" localSheetId="6" hidden="0">#ref!</definedName>
    <definedName name="h" localSheetId="6" hidden="0">#ref!</definedName>
    <definedName name="i" localSheetId="6" hidden="0">#ref!</definedName>
    <definedName name="j" localSheetId="6" hidden="0">#ref!</definedName>
    <definedName name="k" localSheetId="6" hidden="0">#ref!</definedName>
    <definedName name="K121_" localSheetId="6" hidden="0">#ref!</definedName>
    <definedName name="l" localSheetId="6" hidden="0">#ref!</definedName>
    <definedName name="а" localSheetId="6" hidden="0">#ref!</definedName>
    <definedName name="б" localSheetId="6" hidden="0">#ref!</definedName>
    <definedName name="в" localSheetId="6" hidden="0">#ref!</definedName>
    <definedName name="Выручка" localSheetId="6" hidden="0">#ref!</definedName>
    <definedName name="г" localSheetId="6" hidden="0">#ref!</definedName>
    <definedName name="д" localSheetId="6" hidden="0">#ref!</definedName>
    <definedName name="Денежный_поток" localSheetId="6" hidden="0">#ref!</definedName>
    <definedName name="е" localSheetId="6" hidden="0">#ref!</definedName>
    <definedName name="ж" localSheetId="6" hidden="0">#ref!</definedName>
    <definedName name="з" localSheetId="6" hidden="0">#ref!</definedName>
    <definedName name="и" localSheetId="6" hidden="0">#ref!</definedName>
    <definedName name="к" localSheetId="6" hidden="0">#ref!</definedName>
    <definedName name="м" localSheetId="6" hidden="0">#ref!</definedName>
    <definedName name="Оборотный_капитал" localSheetId="6" hidden="0">#ref!</definedName>
    <definedName name="П" localSheetId="6" hidden="0">#ref!</definedName>
    <definedName name="Поступления" localSheetId="6" hidden="0">#ref!</definedName>
    <definedName name="Прибыль" localSheetId="6" hidden="0">#ref!</definedName>
    <definedName name="р" localSheetId="6" hidden="0">#ref!</definedName>
    <definedName name="с" localSheetId="6" hidden="0">#ref!</definedName>
    <definedName name="т" localSheetId="6" hidden="0">#ref!</definedName>
    <definedName name="УОР" localSheetId="6" hidden="0">#ref!</definedName>
    <definedName name="УСР" localSheetId="6" hidden="0">#ref!</definedName>
    <definedName name="УФР" localSheetId="6" hidden="0">#ref!</definedName>
    <definedName name="a" localSheetId="7" hidden="0">[2]па!#ref!</definedName>
    <definedName name="b" localSheetId="7" hidden="0">[2]па!#ref!</definedName>
    <definedName name="d" localSheetId="7" hidden="0">[2]па!#ref!</definedName>
    <definedName name="e" localSheetId="7" hidden="0">[2]па!#ref!</definedName>
    <definedName name="f" localSheetId="7" hidden="0">[2]па!#ref!</definedName>
    <definedName name="g" localSheetId="7" hidden="0">[2]па!#ref!</definedName>
    <definedName name="h" localSheetId="7" hidden="0">[2]па!#ref!</definedName>
    <definedName name="i" localSheetId="7" hidden="0">[2]па!#ref!</definedName>
    <definedName name="j" localSheetId="7" hidden="0">[2]па!#ref!</definedName>
    <definedName name="k" localSheetId="7" hidden="0">[2]па!#ref!</definedName>
    <definedName name="l" localSheetId="7" hidden="0">[2]па!#ref!</definedName>
    <definedName name="а" localSheetId="7" hidden="0">[2]па!#ref!</definedName>
    <definedName name="б" localSheetId="7" hidden="0">[2]па!#ref!</definedName>
    <definedName name="в" localSheetId="7" hidden="0">[2]па!#ref!</definedName>
    <definedName name="г" localSheetId="7" hidden="0">[2]па!#ref!</definedName>
    <definedName name="д" localSheetId="7" hidden="0">[2]па!#ref!</definedName>
    <definedName name="е" localSheetId="7" hidden="0">[2]па!#ref!</definedName>
    <definedName name="ж" localSheetId="7" hidden="0">[2]па!#ref!</definedName>
    <definedName name="з" localSheetId="7" hidden="0">[2]па!#ref!</definedName>
    <definedName name="и" localSheetId="7" hidden="0">[2]па!#ref!</definedName>
    <definedName name="к" localSheetId="7" hidden="0">[2]па!#ref!</definedName>
    <definedName name="м" localSheetId="7" hidden="0">[2]па!#ref!</definedName>
    <definedName name="р" localSheetId="7" hidden="0">[2]па!#ref!</definedName>
    <definedName name="с" localSheetId="7" hidden="0">[2]па!#ref!</definedName>
    <definedName name="т" localSheetId="7" hidden="0">[2]па!#ref!</definedName>
    <definedName name="a" localSheetId="10" hidden="0">[1]па!#ref!</definedName>
    <definedName name="b" localSheetId="10" hidden="0">[1]па!#ref!</definedName>
    <definedName name="d" localSheetId="10" hidden="0">[1]па!#ref!</definedName>
    <definedName name="e" localSheetId="10" hidden="0">[1]па!#ref!</definedName>
    <definedName name="f" localSheetId="10" hidden="0">[1]па!#ref!</definedName>
    <definedName name="g" localSheetId="10" hidden="0">[1]па!#ref!</definedName>
    <definedName name="h" localSheetId="10" hidden="0">[1]па!#ref!</definedName>
    <definedName name="i" localSheetId="10" hidden="0">[1]па!#ref!</definedName>
    <definedName name="j" localSheetId="10" hidden="0">[1]па!#ref!</definedName>
    <definedName name="k" localSheetId="10" hidden="0">[1]па!#ref!</definedName>
    <definedName name="l" localSheetId="10" hidden="0">[1]па!#ref!</definedName>
    <definedName name="а" localSheetId="10" hidden="0">[1]па!#ref!</definedName>
    <definedName name="б" localSheetId="10" hidden="0">[1]па!#ref!</definedName>
    <definedName name="в" localSheetId="10" hidden="0">[1]па!#ref!</definedName>
    <definedName name="г" localSheetId="10" hidden="0">[1]па!#ref!</definedName>
    <definedName name="д" localSheetId="10" hidden="0">[1]па!#ref!</definedName>
    <definedName name="е" localSheetId="10" hidden="0">[1]па!#ref!</definedName>
    <definedName name="ж" localSheetId="10" hidden="0">[1]па!#ref!</definedName>
    <definedName name="з" localSheetId="10" hidden="0">[1]па!#ref!</definedName>
    <definedName name="и" localSheetId="10" hidden="0">[1]па!#ref!</definedName>
    <definedName name="к" localSheetId="10" hidden="0">[1]па!#ref!</definedName>
    <definedName name="м" localSheetId="10" hidden="0">[1]па!#ref!</definedName>
    <definedName name="р" localSheetId="10" hidden="0">[1]па!#ref!</definedName>
    <definedName name="с" localSheetId="10" hidden="0">[1]па!#ref!</definedName>
    <definedName name="т" localSheetId="10" hidden="0">[1]па!#ref!</definedName>
    <definedName name="a" localSheetId="11" hidden="0">[1]па!#ref!</definedName>
    <definedName name="b" localSheetId="11" hidden="0">[1]па!#ref!</definedName>
    <definedName name="d" localSheetId="11" hidden="0">[1]па!#ref!</definedName>
    <definedName name="e" localSheetId="11" hidden="0">[1]па!#ref!</definedName>
    <definedName name="f" localSheetId="11" hidden="0">[1]па!#ref!</definedName>
    <definedName name="g" localSheetId="11" hidden="0">[1]па!#ref!</definedName>
    <definedName name="h" localSheetId="11" hidden="0">[1]па!#ref!</definedName>
    <definedName name="i" localSheetId="11" hidden="0">[1]па!#ref!</definedName>
    <definedName name="j" localSheetId="11" hidden="0">[1]па!#ref!</definedName>
    <definedName name="k" localSheetId="11" hidden="0">[1]па!#ref!</definedName>
    <definedName name="l" localSheetId="11" hidden="0">[1]па!#ref!</definedName>
    <definedName name="а" localSheetId="11" hidden="0">[1]па!#ref!</definedName>
    <definedName name="б" localSheetId="11" hidden="0">[1]па!#ref!</definedName>
    <definedName name="в" localSheetId="11" hidden="0">[1]па!#ref!</definedName>
    <definedName name="г" localSheetId="11" hidden="0">[1]па!#ref!</definedName>
    <definedName name="д" localSheetId="11" hidden="0">[1]па!#ref!</definedName>
    <definedName name="е" localSheetId="11" hidden="0">[1]па!#ref!</definedName>
    <definedName name="ж" localSheetId="11" hidden="0">[1]па!#ref!</definedName>
    <definedName name="з" localSheetId="11" hidden="0">[1]па!#ref!</definedName>
    <definedName name="и" localSheetId="11" hidden="0">[1]па!#ref!</definedName>
    <definedName name="к" localSheetId="11" hidden="0">[1]па!#ref!</definedName>
    <definedName name="м" localSheetId="11" hidden="0">[1]па!#ref!</definedName>
    <definedName name="р" localSheetId="11" hidden="0">[1]па!#ref!</definedName>
    <definedName name="с" localSheetId="11" hidden="0">[1]па!#ref!</definedName>
    <definedName name="т" localSheetId="11" hidden="0">[1]па!#ref!</definedName>
    <definedName name="a" hidden="0">#ref!</definedName>
    <definedName name="b" hidden="0">#ref!</definedName>
    <definedName name="d" hidden="0">#ref!</definedName>
    <definedName name="e" hidden="0">#ref!</definedName>
    <definedName name="f" hidden="0">#ref!</definedName>
    <definedName name="g" hidden="0">#ref!</definedName>
    <definedName name="h" hidden="0">#ref!</definedName>
    <definedName name="i" hidden="0">#ref!</definedName>
    <definedName name="j" hidden="0">#ref!</definedName>
    <definedName name="k" hidden="0">#ref!</definedName>
    <definedName name="K121_" hidden="0">#ref!</definedName>
    <definedName name="l" hidden="0">#ref!</definedName>
    <definedName name="а" hidden="0">#ref!</definedName>
    <definedName name="б" hidden="0">#ref!</definedName>
    <definedName name="в" hidden="0">#ref!</definedName>
    <definedName name="Выручка" hidden="0">#ref!</definedName>
    <definedName name="г" hidden="0">#ref!</definedName>
    <definedName name="гр3_111" hidden="0">'[1]ф1 инвалюта'!$C$8</definedName>
    <definedName name="гр3_220" hidden="0">'[1]ф1 инвалюта'!$C$35</definedName>
    <definedName name="гр3_290" hidden="0">'[1]ф1 инвалюта'!$C$59</definedName>
    <definedName name="гр3_300" hidden="0">'[1]ф1 инвалюта'!$C$60</definedName>
    <definedName name="гр3_590" hidden="0">'[1]ф1 инвалюта'!$G$24</definedName>
    <definedName name="гр3_640" hidden="0">'[1]ф1 инвалюта'!$G$39</definedName>
    <definedName name="гр3_650" hidden="0">'[1]ф1 инвалюта'!$G$40</definedName>
    <definedName name="гр3_660" hidden="0">'[1]ф1 инвалюта'!$G$41</definedName>
    <definedName name="гр3_690" hidden="0">'[1]ф1 инвалюта'!$G$42</definedName>
    <definedName name="гр4_111" hidden="0">'[1]ф1 инвалюта'!$D$8</definedName>
    <definedName name="гр4_220" hidden="0">'[1]ф1 инвалюта'!$D$35</definedName>
    <definedName name="гр4_290" hidden="0">'[1]ф1 инвалюта'!$D$59</definedName>
    <definedName name="гр4_300" hidden="0">'[1]ф1 инвалюта'!$D$60</definedName>
    <definedName name="гр4_590" hidden="0">'[1]ф1 инвалюта'!$H$24</definedName>
    <definedName name="гр4_640" hidden="0">'[1]ф1 инвалюта'!$H$39</definedName>
    <definedName name="гр4_650" hidden="0">'[1]ф1 инвалюта'!$H$40</definedName>
    <definedName name="гр4_660" hidden="0">'[1]ф1 инвалюта'!$H$41</definedName>
    <definedName name="гр4_690" hidden="0">'[1]ф1 инвалюта'!$H$42</definedName>
    <definedName name="д" hidden="0">#ref!</definedName>
    <definedName name="Денежный_поток" hidden="0">#ref!</definedName>
    <definedName name="е" hidden="0">#ref!</definedName>
    <definedName name="ж" hidden="0">#ref!</definedName>
    <definedName name="з" hidden="0">#ref!</definedName>
    <definedName name="и" hidden="0">#ref!</definedName>
    <definedName name="к" hidden="0">#ref!</definedName>
    <definedName name="м" hidden="0">#ref!</definedName>
    <definedName name="Оборотный_капитал" hidden="0">#ref!</definedName>
    <definedName name="П" hidden="0">#ref!</definedName>
    <definedName name="Поступления" hidden="0">#ref!</definedName>
    <definedName name="Прибыль" hidden="0">#ref!</definedName>
    <definedName name="р" hidden="0">#ref!</definedName>
    <definedName name="с" hidden="0">#ref!</definedName>
    <definedName name="т" hidden="0">#ref!</definedName>
    <definedName name="УОР" hidden="0">#ref!</definedName>
    <definedName name="УСР" hidden="0">#ref!</definedName>
    <definedName name="УФР" hidden="0">#ref!</definedName>
  </definedNames>
  <calcPr refMode="A1" iterate="0" iterateCount="100" iterateDelta="0.0001"/>
  <extLst>
    <ext xmlns:x15="http://schemas.microsoft.com/office/spreadsheetml/2010/11/main" uri="{D0CA8CA8-9F24-4464-BF8E-62219DCF47F9}"/>
  </extLst>
</workbook>
</file>

<file path=xl/sharedStrings.xml><?xml version="1.0" encoding="utf-8"?>
<sst xmlns="http://schemas.openxmlformats.org/spreadsheetml/2006/main" count="743" uniqueCount="743">
  <si>
    <t xml:space="preserve">ИСХОДНЫЕ ДАННЫЕ</t>
  </si>
  <si>
    <t xml:space="preserve">ПАО "ДОРОГОБУЖ" </t>
  </si>
  <si>
    <t xml:space="preserve">Бухгалтерский баланс за</t>
  </si>
  <si>
    <t xml:space="preserve">2013-2019 годы </t>
  </si>
  <si>
    <t xml:space="preserve">Валюта расчета</t>
  </si>
  <si>
    <t xml:space="preserve">тыс. руб.</t>
  </si>
  <si>
    <t>АКТИВ</t>
  </si>
  <si>
    <t xml:space="preserve">Код строки</t>
  </si>
  <si>
    <t xml:space="preserve">на 31 декабря 2019 года</t>
  </si>
  <si>
    <t xml:space="preserve">на 31 декабря 2018 года</t>
  </si>
  <si>
    <t xml:space="preserve">на 31 декабря 2017 года</t>
  </si>
  <si>
    <t xml:space="preserve">на 31 декабря 2016 года</t>
  </si>
  <si>
    <t xml:space="preserve">на 31 декабря 2015 года</t>
  </si>
  <si>
    <t xml:space="preserve">на 31 декабря 2014 года</t>
  </si>
  <si>
    <t xml:space="preserve">на 31 декабря 2013 года</t>
  </si>
  <si>
    <t xml:space="preserve">на 31 декабря 2012 года</t>
  </si>
  <si>
    <t xml:space="preserve">I. ВНЕОБОРОТНЫЕ АКТИВЫ</t>
  </si>
  <si>
    <t xml:space="preserve">Нематериальные активы</t>
  </si>
  <si>
    <t xml:space="preserve">Результаты исследований и разработок</t>
  </si>
  <si>
    <t xml:space="preserve">Основные средства</t>
  </si>
  <si>
    <t xml:space="preserve">Доходные вложения в материальные ценности</t>
  </si>
  <si>
    <t xml:space="preserve">Финансовые вложения</t>
  </si>
  <si>
    <t xml:space="preserve">Отложенные налоговые активы</t>
  </si>
  <si>
    <t xml:space="preserve">Прочие внеоборотные активы</t>
  </si>
  <si>
    <t xml:space="preserve">ИТОГО по разделу I</t>
  </si>
  <si>
    <t xml:space="preserve">II. ОБОРОТНЫЕ АКТИВЫ</t>
  </si>
  <si>
    <t>Запасы</t>
  </si>
  <si>
    <t xml:space="preserve">Налог на добавленную стоимость по приобретенным ценностям</t>
  </si>
  <si>
    <t xml:space="preserve">Дебиторская задолженность</t>
  </si>
  <si>
    <t xml:space="preserve">долгосрочная дебиторская задолженность</t>
  </si>
  <si>
    <t xml:space="preserve">краткосрочная дебиторская задолженность</t>
  </si>
  <si>
    <t xml:space="preserve">Финансовые вложения (за исключением денежных эквивалентов)</t>
  </si>
  <si>
    <t xml:space="preserve">Денежные средства и денежные эквиваленты</t>
  </si>
  <si>
    <t xml:space="preserve">Прочие оборотные активы</t>
  </si>
  <si>
    <t xml:space="preserve">ИТОГО по разделу II</t>
  </si>
  <si>
    <t xml:space="preserve">БАЛАНС (актив)</t>
  </si>
  <si>
    <t>ПАССИВ</t>
  </si>
  <si>
    <t xml:space="preserve">III. КАПИТАЛ И РЕЗЕРВЫ</t>
  </si>
  <si>
    <t xml:space="preserve">Уставный капитал (складочный капитал, уставный фонд, вклады товарищей)</t>
  </si>
  <si>
    <t xml:space="preserve">Собственные акции, выкупленные у акционеров</t>
  </si>
  <si>
    <t xml:space="preserve">Переоценка внеоборотных активов</t>
  </si>
  <si>
    <t xml:space="preserve">Добавочный капитал (без переоценки)</t>
  </si>
  <si>
    <t xml:space="preserve">Резервный капитал</t>
  </si>
  <si>
    <t xml:space="preserve">Нераспределенная прибыль (непокрытый убыток)</t>
  </si>
  <si>
    <t xml:space="preserve">ИТОГО по разделу III</t>
  </si>
  <si>
    <t xml:space="preserve">IV. ДОЛГОСРОЧНЫЕ ОБЯЗАТЕЛЬСТВА</t>
  </si>
  <si>
    <t xml:space="preserve">Заемные средства</t>
  </si>
  <si>
    <t xml:space="preserve">Отложенные налоговые обязательства</t>
  </si>
  <si>
    <t xml:space="preserve">Оценочные обязательства</t>
  </si>
  <si>
    <t xml:space="preserve">Прочие обязательства</t>
  </si>
  <si>
    <t xml:space="preserve">ИТОГО по разделу IV</t>
  </si>
  <si>
    <t xml:space="preserve">V. КРАТКОСРОЧНЫЕ ОБЯЗАТЕЛЬСТВА</t>
  </si>
  <si>
    <t xml:space="preserve">Кредиторская задолженность</t>
  </si>
  <si>
    <t xml:space="preserve">Доходы будущих периодов</t>
  </si>
  <si>
    <t xml:space="preserve">ИТОГО по разделу V</t>
  </si>
  <si>
    <t xml:space="preserve">БАЛАНС (пассив)</t>
  </si>
  <si>
    <t xml:space="preserve">Отчет о финансовых результатах</t>
  </si>
  <si>
    <t xml:space="preserve">Наименование показателя</t>
  </si>
  <si>
    <t>строка</t>
  </si>
  <si>
    <t xml:space="preserve">за январь-декабрь 2019 года</t>
  </si>
  <si>
    <t xml:space="preserve">за январь-декабрь 2018 года</t>
  </si>
  <si>
    <t xml:space="preserve">за январь-декабрь 2017 года</t>
  </si>
  <si>
    <t xml:space="preserve">за январь-декабрь 2016 года</t>
  </si>
  <si>
    <t xml:space="preserve">за январь-декабрь 2015 года</t>
  </si>
  <si>
    <t xml:space="preserve">за январь-декабрь 2014 года</t>
  </si>
  <si>
    <t xml:space="preserve">за январь-декабрь 2013 года</t>
  </si>
  <si>
    <t xml:space="preserve">   Доходы и расходы по обычным видам деятельности</t>
  </si>
  <si>
    <t xml:space="preserve">Выручка </t>
  </si>
  <si>
    <t xml:space="preserve">Себестоимость продаж</t>
  </si>
  <si>
    <t xml:space="preserve">Валовая прибыль</t>
  </si>
  <si>
    <t xml:space="preserve">Коммерческие расходы</t>
  </si>
  <si>
    <t xml:space="preserve">Управленческие расходы</t>
  </si>
  <si>
    <t xml:space="preserve">Прибыль (убыток) от продаж</t>
  </si>
  <si>
    <t xml:space="preserve">    Прочие доходы и расходы</t>
  </si>
  <si>
    <t xml:space="preserve">Доходы от участия в других организациях</t>
  </si>
  <si>
    <t xml:space="preserve">Проценты к получению</t>
  </si>
  <si>
    <t xml:space="preserve">Проценты к уплате</t>
  </si>
  <si>
    <t xml:space="preserve">Прочие доходы</t>
  </si>
  <si>
    <t xml:space="preserve">Прочие  расходы</t>
  </si>
  <si>
    <t xml:space="preserve">     Прибыль (убыток) до налогообложения</t>
  </si>
  <si>
    <t xml:space="preserve">Текущий налог на прибыль</t>
  </si>
  <si>
    <t xml:space="preserve">   в т.ч. постоянные налоговые обязательства (активы)</t>
  </si>
  <si>
    <t xml:space="preserve">Изменение отложенных налоговых обязательств</t>
  </si>
  <si>
    <t xml:space="preserve">Изменение отложенных налоговых активов</t>
  </si>
  <si>
    <t>Прочее</t>
  </si>
  <si>
    <t xml:space="preserve">    Чистая прибыль (убыток)</t>
  </si>
  <si>
    <t>показатели</t>
  </si>
  <si>
    <t>СПРАВОЧНО</t>
  </si>
  <si>
    <t xml:space="preserve">Результат от переоценки внеоборотных активов, не включаемый в чистую прибыль (убыток) периода</t>
  </si>
  <si>
    <t xml:space="preserve">Результат от прочих операций, не включаемый в чистую прибыль (убыток) периода</t>
  </si>
  <si>
    <t xml:space="preserve">Совокупный финансовый результат периода</t>
  </si>
  <si>
    <t xml:space="preserve">Базовая прибыль (убыток) на акцию, руб.</t>
  </si>
  <si>
    <t xml:space="preserve">Разводненная прибыль (убыток) на акцию</t>
  </si>
  <si>
    <t xml:space="preserve">Отчет об изменениях капитала</t>
  </si>
  <si>
    <t xml:space="preserve">I. Движение капитала</t>
  </si>
  <si>
    <t>код</t>
  </si>
  <si>
    <t xml:space="preserve">Уставный капитал</t>
  </si>
  <si>
    <t xml:space="preserve">Добавочный капитал</t>
  </si>
  <si>
    <t>Итого</t>
  </si>
  <si>
    <t xml:space="preserve">Величина капитала на 31.12.2012 г.</t>
  </si>
  <si>
    <t xml:space="preserve">за 2013 год</t>
  </si>
  <si>
    <t xml:space="preserve">Увеличение капитала, всего</t>
  </si>
  <si>
    <t>Х</t>
  </si>
  <si>
    <t xml:space="preserve">в том числе чистая прибыль</t>
  </si>
  <si>
    <t xml:space="preserve">переоценка имущества</t>
  </si>
  <si>
    <t xml:space="preserve">доходы, относящиеся непосредственно на увеличение капитала</t>
  </si>
  <si>
    <t xml:space="preserve">дополнительный выпуск акций</t>
  </si>
  <si>
    <t xml:space="preserve">увеличение номинальной стоимости акций</t>
  </si>
  <si>
    <t>-</t>
  </si>
  <si>
    <t xml:space="preserve">реорганизация юридического лица</t>
  </si>
  <si>
    <t xml:space="preserve">Уменьшение капитала, всего</t>
  </si>
  <si>
    <t xml:space="preserve">в том числе убыток</t>
  </si>
  <si>
    <t xml:space="preserve">расходы, относящиеся непосредственно на уменьшение капитала</t>
  </si>
  <si>
    <t xml:space="preserve">уменьшение номинальной стоимости акций</t>
  </si>
  <si>
    <t xml:space="preserve">уменьшение количества акций</t>
  </si>
  <si>
    <t>дивиденды</t>
  </si>
  <si>
    <t xml:space="preserve">Изменение добавочного капитала</t>
  </si>
  <si>
    <t xml:space="preserve">Изменение резервного капитала</t>
  </si>
  <si>
    <t xml:space="preserve">Величина капитала на 31.12.2013 г.</t>
  </si>
  <si>
    <t xml:space="preserve">за 2014 год</t>
  </si>
  <si>
    <t xml:space="preserve">Величина капитала на 31.12.2014 г.</t>
  </si>
  <si>
    <t xml:space="preserve">за 2015 год</t>
  </si>
  <si>
    <t xml:space="preserve">Величина капитала на 31.12.2015 г.</t>
  </si>
  <si>
    <t xml:space="preserve">за 2016 год</t>
  </si>
  <si>
    <t xml:space="preserve">Величина капитала на 31.12.2016 г.</t>
  </si>
  <si>
    <t xml:space="preserve">за 2017 год</t>
  </si>
  <si>
    <t xml:space="preserve">Величина капитала на 31.12.2017 г.</t>
  </si>
  <si>
    <t xml:space="preserve">за 2018 год</t>
  </si>
  <si>
    <t xml:space="preserve">Величина капитала на 31.12.2018 г.</t>
  </si>
  <si>
    <t xml:space="preserve">за 2019 год</t>
  </si>
  <si>
    <t xml:space="preserve">Величина капитала на 31.12.2019 г.</t>
  </si>
  <si>
    <t xml:space="preserve">Чистые активы</t>
  </si>
  <si>
    <t xml:space="preserve">Отчет о движении денежных средств </t>
  </si>
  <si>
    <t xml:space="preserve">Движение денежных средств по текущей деятельности</t>
  </si>
  <si>
    <t xml:space="preserve">Поступило денежных средств, всего</t>
  </si>
  <si>
    <t xml:space="preserve">в том числе от продажи продукции, товаров, работ, услуг</t>
  </si>
  <si>
    <t xml:space="preserve">арендных платежей, лицензионных платежей, роялти, комиссионных и иных аналогичных платежей</t>
  </si>
  <si>
    <t xml:space="preserve">прочие поступления</t>
  </si>
  <si>
    <t xml:space="preserve">Направлено денежных средств, всего</t>
  </si>
  <si>
    <t xml:space="preserve">на оплату товаров, работ, услуг</t>
  </si>
  <si>
    <t xml:space="preserve">на оплату труда</t>
  </si>
  <si>
    <t xml:space="preserve">на выплату процентов по долговым обязательства</t>
  </si>
  <si>
    <t xml:space="preserve">на расчеты по налогу на прибыль</t>
  </si>
  <si>
    <t xml:space="preserve">на прочие выплаты, перечисления</t>
  </si>
  <si>
    <t xml:space="preserve">Результат движения денежных средств от текущей деятельности</t>
  </si>
  <si>
    <t xml:space="preserve">Движение денежных средств по инвестиционной деятельности</t>
  </si>
  <si>
    <t xml:space="preserve">Поступления, всего</t>
  </si>
  <si>
    <t xml:space="preserve">в том числе от продажи внеоборотных активов (кроме финансовых вложений)</t>
  </si>
  <si>
    <t xml:space="preserve">от продажи акций (долей участия) в других организациях</t>
  </si>
  <si>
    <t xml:space="preserve">от возврата предоставленных займов, от погашения долговых ценных бумаг (прав требования денежных средств к другим лицам)</t>
  </si>
  <si>
    <t xml:space="preserve">дивидендов, процентов по долговым финансовым вложениям и аналогичных поступлений от долевого участия в других организациях </t>
  </si>
  <si>
    <t xml:space="preserve"> </t>
  </si>
  <si>
    <t xml:space="preserve">Платежи, всего</t>
  </si>
  <si>
    <t xml:space="preserve">в том числе:</t>
  </si>
  <si>
    <t xml:space="preserve">в связи с приобретением, созданием, модернизацией, реконструкцией и подготовкой к использованию внеоборотных активов</t>
  </si>
  <si>
    <t xml:space="preserve">в связи с приобретением долей участия в других организациях</t>
  </si>
  <si>
    <t xml:space="preserve">в связи с приобретением долговых ценных бумаг (прав требования денежных средств к другим лицам), предоставление займов другим лицам</t>
  </si>
  <si>
    <t xml:space="preserve">процентов по долговым обязательствам, включаемым в стоимость инвестиционного актива</t>
  </si>
  <si>
    <t xml:space="preserve">прочие платежи</t>
  </si>
  <si>
    <t xml:space="preserve">Результат движения денежных средств от инвестиционной деятельности</t>
  </si>
  <si>
    <t xml:space="preserve">Движение денежных средств по финансовой деятельности</t>
  </si>
  <si>
    <t xml:space="preserve">в том числе получение займов, кредитов</t>
  </si>
  <si>
    <t xml:space="preserve">денежных вкладов собственников (участников)</t>
  </si>
  <si>
    <t xml:space="preserve">от выпуска акций (увеличения долей участия)</t>
  </si>
  <si>
    <t xml:space="preserve">от выпуска облигаций, векселей, других долговых ценных бумаг и др.</t>
  </si>
  <si>
    <t xml:space="preserve">бюджетные ассигнования и иное целевое финансирование</t>
  </si>
  <si>
    <t xml:space="preserve">в том числе собственникам (участникам) в связи с выкупом у них акций (долей участия) организации или их выходом из состава участников</t>
  </si>
  <si>
    <t xml:space="preserve">на выплату дивидендов или иных платежей по распределению прибыли в пользу собственников (участников)</t>
  </si>
  <si>
    <t xml:space="preserve">в связи с погашением (выкупом) векселей и других ценных бумаг, возврат кредитов и займов</t>
  </si>
  <si>
    <t xml:space="preserve">Результат движения денежных средств от финансовой деятельности</t>
  </si>
  <si>
    <t xml:space="preserve">Сальдо денежных потоков за отчетный период</t>
  </si>
  <si>
    <t xml:space="preserve">Остаток денежных средств и их эквивалентов на начало отчетного периода</t>
  </si>
  <si>
    <t xml:space="preserve">Остаток денежных средств и их эквивалентов на конец отчетного периода</t>
  </si>
  <si>
    <t xml:space="preserve">Величина влияния изменений курса иностранной валюты по отношению к рублю</t>
  </si>
  <si>
    <t>меню</t>
  </si>
  <si>
    <t xml:space="preserve">ПОЯСНИТЕЛЬНАЯ ЗАПИСКА К БУХГАЛТЕРСКОЙ ОТЧЕТНОСТИ</t>
  </si>
  <si>
    <t xml:space="preserve">Наличие и движение нематериальных активов за 2013 год</t>
  </si>
  <si>
    <t>Показатель</t>
  </si>
  <si>
    <t xml:space="preserve">на начало года</t>
  </si>
  <si>
    <t>поступило</t>
  </si>
  <si>
    <t>выбыло</t>
  </si>
  <si>
    <t xml:space="preserve">начислено амортизации</t>
  </si>
  <si>
    <t xml:space="preserve">убыток от обесценения</t>
  </si>
  <si>
    <t xml:space="preserve">на конец года</t>
  </si>
  <si>
    <t>наименование</t>
  </si>
  <si>
    <t xml:space="preserve">первоначальная стоимость</t>
  </si>
  <si>
    <t xml:space="preserve">накопленная амортизация и убытки от обесценения</t>
  </si>
  <si>
    <t xml:space="preserve">Нематериальные активы, всего</t>
  </si>
  <si>
    <t xml:space="preserve">   в том числе:                                                          товарные знаки</t>
  </si>
  <si>
    <t>НОУ-ХАУ</t>
  </si>
  <si>
    <t>патенты</t>
  </si>
  <si>
    <t>программы</t>
  </si>
  <si>
    <t xml:space="preserve">Незаконченные и неоформленные НИОКР и незаконченные операции по приобретению нематериальных активов</t>
  </si>
  <si>
    <t xml:space="preserve">Наличие и движение нематериальных активов за 2014 год</t>
  </si>
  <si>
    <t xml:space="preserve">Наличие и движение основных средств за 2013 год</t>
  </si>
  <si>
    <t>переоценка</t>
  </si>
  <si>
    <t xml:space="preserve">Основные средства, всего</t>
  </si>
  <si>
    <t>Здания</t>
  </si>
  <si>
    <t xml:space="preserve">Сооружения и передаточные устройства</t>
  </si>
  <si>
    <t xml:space="preserve">Машины и оборудование</t>
  </si>
  <si>
    <t xml:space="preserve">Транспортные средства</t>
  </si>
  <si>
    <t xml:space="preserve">Производственный и хозяйственный инвентарь</t>
  </si>
  <si>
    <t xml:space="preserve">Рабочий скот</t>
  </si>
  <si>
    <t xml:space="preserve">Продуктивный скот</t>
  </si>
  <si>
    <t xml:space="preserve">Многолетние насаждения</t>
  </si>
  <si>
    <t xml:space="preserve">Другие виды основных средств</t>
  </si>
  <si>
    <t xml:space="preserve">Земельные участки и объекты природопользования</t>
  </si>
  <si>
    <t xml:space="preserve">Капитальные вложения на коренное улучшение земель</t>
  </si>
  <si>
    <t xml:space="preserve">Незавершенное строительство и незаконченные операции по приобретению, модернизации основных средств</t>
  </si>
  <si>
    <t xml:space="preserve">Наличие и движение основных средств за 2014 год</t>
  </si>
  <si>
    <t xml:space="preserve">Информация об ином использовании основных средств</t>
  </si>
  <si>
    <t xml:space="preserve">на 31 декабря 2011 года</t>
  </si>
  <si>
    <t xml:space="preserve">на 31 декабря 2010 года</t>
  </si>
  <si>
    <t xml:space="preserve">Переданные в аренду основные средства, числящиеся на балансе</t>
  </si>
  <si>
    <t xml:space="preserve">Полученные в аренду основные средства, числящиеся на балансе</t>
  </si>
  <si>
    <t xml:space="preserve">Основные средства, переведенные на консервацию</t>
  </si>
  <si>
    <t xml:space="preserve">Иное использование основных средств (залог и др.)</t>
  </si>
  <si>
    <t xml:space="preserve">Наличие и движение финансовых вложений за 2011 год</t>
  </si>
  <si>
    <t xml:space="preserve">положительные курсовые разницы</t>
  </si>
  <si>
    <t xml:space="preserve">изменения за период</t>
  </si>
  <si>
    <t xml:space="preserve">накопленная корректировка</t>
  </si>
  <si>
    <t xml:space="preserve">отрицательные курсовые разницы</t>
  </si>
  <si>
    <t xml:space="preserve">начисление процентов, включая доведение первоначальной стоимости до номинальной</t>
  </si>
  <si>
    <t xml:space="preserve">текущей рыночной стоимости (убытков от обесценения)</t>
  </si>
  <si>
    <t xml:space="preserve">Долгосрочные, всего</t>
  </si>
  <si>
    <t xml:space="preserve">Вклады в уставные (складочные) капиталы других организаций</t>
  </si>
  <si>
    <t xml:space="preserve">вложения в дочерние общества</t>
  </si>
  <si>
    <t xml:space="preserve">вложения в зависимые общества</t>
  </si>
  <si>
    <t xml:space="preserve">вложения в другие общества</t>
  </si>
  <si>
    <t xml:space="preserve">Предоставленные займы</t>
  </si>
  <si>
    <t xml:space="preserve">Долговые ценные бумаги</t>
  </si>
  <si>
    <t>Прочие</t>
  </si>
  <si>
    <t xml:space="preserve">Краткосрочные, всего</t>
  </si>
  <si>
    <t>Депозиты</t>
  </si>
  <si>
    <t xml:space="preserve">Финансовых вложений, всего</t>
  </si>
  <si>
    <t xml:space="preserve">Наличие и движение финансовых вложений за 2012 год</t>
  </si>
  <si>
    <t xml:space="preserve">Наличие и движение запасов за 2011 год</t>
  </si>
  <si>
    <t xml:space="preserve">поступления и затраты</t>
  </si>
  <si>
    <t xml:space="preserve">убытки от снижения стоимости</t>
  </si>
  <si>
    <t xml:space="preserve">оборот запасов между их видами</t>
  </si>
  <si>
    <t>себестоимость</t>
  </si>
  <si>
    <t xml:space="preserve">величина резерва под снижение стоимости</t>
  </si>
  <si>
    <t xml:space="preserve">резерв под снижение стоимости</t>
  </si>
  <si>
    <t xml:space="preserve">Запасы, всего</t>
  </si>
  <si>
    <t xml:space="preserve">сырье, материалы, другие аналогичные ценности</t>
  </si>
  <si>
    <t xml:space="preserve">затраты в незавершенном производстве</t>
  </si>
  <si>
    <t xml:space="preserve">готовая продукция</t>
  </si>
  <si>
    <t xml:space="preserve">товары отгруженные</t>
  </si>
  <si>
    <t xml:space="preserve">расходы будущих периодов</t>
  </si>
  <si>
    <t>прочие</t>
  </si>
  <si>
    <t xml:space="preserve">Наличие и движение запасов за 2012 год</t>
  </si>
  <si>
    <t xml:space="preserve">Наличие и движение дебиторской задолженности в 2011 году</t>
  </si>
  <si>
    <t>поступление</t>
  </si>
  <si>
    <t>выбытие</t>
  </si>
  <si>
    <t xml:space="preserve">перевод из долгосрочной в краткосрочную</t>
  </si>
  <si>
    <t xml:space="preserve">учтенная по условиям договора</t>
  </si>
  <si>
    <t xml:space="preserve">величина резерва по сомнительным долгам</t>
  </si>
  <si>
    <t xml:space="preserve">в результате хозяйственных операций</t>
  </si>
  <si>
    <t xml:space="preserve">причитающиеся, проценты, штрафы, другие начисления</t>
  </si>
  <si>
    <t>погашение</t>
  </si>
  <si>
    <t xml:space="preserve">списание на финансовый результат</t>
  </si>
  <si>
    <t xml:space="preserve">восстановление резерва</t>
  </si>
  <si>
    <t xml:space="preserve">Долгосрочная дебиторская задолженность, всего</t>
  </si>
  <si>
    <t xml:space="preserve">   покупатели и заказчики</t>
  </si>
  <si>
    <t xml:space="preserve">   авансы выданные</t>
  </si>
  <si>
    <t xml:space="preserve">   прочая</t>
  </si>
  <si>
    <t xml:space="preserve">Краткосрочная дебиторская задолженность, всего</t>
  </si>
  <si>
    <t xml:space="preserve">Наличие и движение дебиторской задолженности в 2012 году</t>
  </si>
  <si>
    <t xml:space="preserve">Просроченная дебиторская задолженность</t>
  </si>
  <si>
    <t>Код</t>
  </si>
  <si>
    <t xml:space="preserve">балансовая стоимость</t>
  </si>
  <si>
    <t xml:space="preserve">Дебиторская задолженность, всего</t>
  </si>
  <si>
    <t xml:space="preserve">Наличие и движение кредиторской задолженности в 2011 году</t>
  </si>
  <si>
    <t xml:space="preserve">остаток на начало года</t>
  </si>
  <si>
    <t xml:space="preserve">остаток на конец года</t>
  </si>
  <si>
    <t xml:space="preserve">Долгосрочная кредиторская задолженность, всего</t>
  </si>
  <si>
    <t xml:space="preserve">   поставщики и подрядчики</t>
  </si>
  <si>
    <t xml:space="preserve">   авансы полученные</t>
  </si>
  <si>
    <t xml:space="preserve">   задолженность перед персоналом организации</t>
  </si>
  <si>
    <t xml:space="preserve">   задолженность перед государственными внебюджетными фондами</t>
  </si>
  <si>
    <t xml:space="preserve">   задолженность по налогам и сборам</t>
  </si>
  <si>
    <t xml:space="preserve">   прочие кредиторы</t>
  </si>
  <si>
    <t xml:space="preserve">Краткосрочная кредиторская задолженность, всего</t>
  </si>
  <si>
    <t xml:space="preserve">Наличие и движение кредиторской задолженности в 2012 году</t>
  </si>
  <si>
    <t xml:space="preserve">Затраты на производство (по элементам затрат)</t>
  </si>
  <si>
    <t xml:space="preserve">Материальные затраты</t>
  </si>
  <si>
    <t xml:space="preserve">Затраты на оплату труда</t>
  </si>
  <si>
    <t xml:space="preserve">Отчисления на социальные нужды</t>
  </si>
  <si>
    <t>Амортизация</t>
  </si>
  <si>
    <t xml:space="preserve">Прочие затраты</t>
  </si>
  <si>
    <t xml:space="preserve">Итого по элементам затрат:</t>
  </si>
  <si>
    <t xml:space="preserve">Изменение остатков (прирост [+], уменьшение [-]):</t>
  </si>
  <si>
    <t xml:space="preserve">   незавершённого производства:</t>
  </si>
  <si>
    <t xml:space="preserve">    готовой продукции</t>
  </si>
  <si>
    <t xml:space="preserve">Итого расходы по обычным видам деятельности</t>
  </si>
  <si>
    <t xml:space="preserve">Обеспечения обязательств</t>
  </si>
  <si>
    <t xml:space="preserve">Полученные, всего</t>
  </si>
  <si>
    <t xml:space="preserve">   в том числе</t>
  </si>
  <si>
    <t xml:space="preserve">банковские гарантии</t>
  </si>
  <si>
    <t xml:space="preserve">залог по договору</t>
  </si>
  <si>
    <t>поручительство</t>
  </si>
  <si>
    <t xml:space="preserve">Выданные, всего</t>
  </si>
  <si>
    <t xml:space="preserve">гарантийное обеспечение</t>
  </si>
  <si>
    <t xml:space="preserve">ДОПОЛНИТЕЛЬНАЯ ИНФОРМАЦИЯ ПО ОРГАНИЗАЦИИ</t>
  </si>
  <si>
    <t xml:space="preserve">Среднесписочная численность работающих</t>
  </si>
  <si>
    <t xml:space="preserve">Номинальная стоимость обыкновенной акции, тыс. руб.</t>
  </si>
  <si>
    <t xml:space="preserve">Количество размещённых обыкновенных акций</t>
  </si>
  <si>
    <t xml:space="preserve">   в том числе на балансе общества</t>
  </si>
  <si>
    <t xml:space="preserve">Количество размещённых привилегированных акций</t>
  </si>
  <si>
    <t xml:space="preserve">МАКРОЭКОНОМИЧЕСКИЕ ПОКАЗАТЕЛИ</t>
  </si>
  <si>
    <t xml:space="preserve">Темп инфляции, %</t>
  </si>
  <si>
    <t xml:space="preserve">Требуемая ставка доходности собственного капитала, %</t>
  </si>
  <si>
    <t xml:space="preserve">ОТРАСЛЕВЫЕ, РЕГИОНАЛЬНЫЕ И РЫНОЧНЫЕ ПОКАЗАТЕЛИ</t>
  </si>
  <si>
    <t xml:space="preserve">Средний номинальный темп прироста ВВП</t>
  </si>
  <si>
    <t xml:space="preserve">Средний номинальный темп прироста объема производства в отрасли</t>
  </si>
  <si>
    <t xml:space="preserve">Коэффициент бета вида деятельности</t>
  </si>
  <si>
    <t xml:space="preserve">Средний процент по кредитам, %</t>
  </si>
  <si>
    <t xml:space="preserve">Безрисковая доходность, %</t>
  </si>
  <si>
    <t xml:space="preserve">Рыночная премия за риск, %</t>
  </si>
  <si>
    <t xml:space="preserve">Бухгалтерский баланс в среднегодовых показателях за</t>
  </si>
  <si>
    <t xml:space="preserve">2019 год</t>
  </si>
  <si>
    <t xml:space="preserve">2018 год</t>
  </si>
  <si>
    <t xml:space="preserve">2017 год</t>
  </si>
  <si>
    <t xml:space="preserve">2016 год</t>
  </si>
  <si>
    <t xml:space="preserve">2015 год</t>
  </si>
  <si>
    <t xml:space="preserve">2014 год</t>
  </si>
  <si>
    <t xml:space="preserve">2013 год</t>
  </si>
  <si>
    <t>СЧА</t>
  </si>
  <si>
    <t xml:space="preserve">Бизнес-модель ПАО "ДОРОГОБУЖ"</t>
  </si>
  <si>
    <t>ПРОДУКЦИЯ</t>
  </si>
  <si>
    <t>ПОТРЕБИТЕЛИ</t>
  </si>
  <si>
    <t>Аммиак</t>
  </si>
  <si>
    <t xml:space="preserve">Сельскохозяйственные предприятия</t>
  </si>
  <si>
    <t xml:space="preserve">Аммиачная селитра (азотные удобрения)</t>
  </si>
  <si>
    <t>Агрохолдинги</t>
  </si>
  <si>
    <t xml:space="preserve">Сложные удобрения (NPK, азофоска)</t>
  </si>
  <si>
    <t xml:space="preserve">Фермерские хозяйства</t>
  </si>
  <si>
    <t xml:space="preserve">Промышленные продукты неорганической химии</t>
  </si>
  <si>
    <t xml:space="preserve">Химические предприятия</t>
  </si>
  <si>
    <t xml:space="preserve">Смешанные минеральные удобрения</t>
  </si>
  <si>
    <t xml:space="preserve">Международные трейдеры и дистрибьюторы удобрений</t>
  </si>
  <si>
    <t xml:space="preserve">КЛЮЧЕВЫЕ БИЗНЕС-ПРОЦЕССЫ</t>
  </si>
  <si>
    <t xml:space="preserve">КЛЮЧЕВЫЕ РЕСУРСЫ</t>
  </si>
  <si>
    <t xml:space="preserve">Закупка сырья (природный газ, апатитовый концентрат, калийное сырье)</t>
  </si>
  <si>
    <t xml:space="preserve">Производственные мощности (химический завод, технологические линии)</t>
  </si>
  <si>
    <t xml:space="preserve">Производство аммиака</t>
  </si>
  <si>
    <t xml:space="preserve">Сырье (газ, фосфатное и калийное сырье)</t>
  </si>
  <si>
    <t xml:space="preserve">Производство азотных и сложных удобрений</t>
  </si>
  <si>
    <t xml:space="preserve">Логистическая инфраструктура (ж/д транспорт, склады)</t>
  </si>
  <si>
    <t xml:space="preserve">Гранулирование и подготовка готовой продукции</t>
  </si>
  <si>
    <t xml:space="preserve">Квалифицированный персонал</t>
  </si>
  <si>
    <t xml:space="preserve">Сбыт продукции на внутреннем и внешнем рынках</t>
  </si>
  <si>
    <t xml:space="preserve">Технологии и оборудование химического производства</t>
  </si>
  <si>
    <t xml:space="preserve">Логистика и экспорт продукции</t>
  </si>
  <si>
    <t xml:space="preserve">Сбытовая сеть группы «Акрон»</t>
  </si>
  <si>
    <t xml:space="preserve">ФОРМУЛА ПРИБЫЛИ</t>
  </si>
  <si>
    <t>ВЫРУЧКА</t>
  </si>
  <si>
    <t>РАСХОДЫ</t>
  </si>
  <si>
    <t xml:space="preserve">Продажа азотных удобрений</t>
  </si>
  <si>
    <t xml:space="preserve">Закупка сырья и материалов</t>
  </si>
  <si>
    <t xml:space="preserve">Продажа сложных удобрений (NPK)</t>
  </si>
  <si>
    <t xml:space="preserve">Энергоресурсы (природный газ, электроэнергия)</t>
  </si>
  <si>
    <t xml:space="preserve">Продажа аммиака</t>
  </si>
  <si>
    <t xml:space="preserve">Производственные расходы и амортизация</t>
  </si>
  <si>
    <t xml:space="preserve">Реализация промышленной химической продукции</t>
  </si>
  <si>
    <t xml:space="preserve">Транспортировка и логистика</t>
  </si>
  <si>
    <t xml:space="preserve">Экспорт минеральных удобрений</t>
  </si>
  <si>
    <t xml:space="preserve">Коммерческие и управленческие расходы</t>
  </si>
  <si>
    <t xml:space="preserve">Финансовые расходы (проценты по кредитам)</t>
  </si>
  <si>
    <t xml:space="preserve">Бизнес-модель ПАО «Дорогобуж» основана на производстве и реализации минеральных удобрений и другой химической продукции, которые востребованы как на российском рынке агропромышленного комплекса, так и на международных рынках. Ключевыми источниками дохода компании являются продажи азотных и сложных минеральных удобрений (аммиачная селитра, NPK-удобрения), аммиака и продукции неорганической химии, а также экспортные поставки. Основные расходы предприятия связаны с закупкой сырья (прежде всего природного газа и минеральных компонентов), потреблением энергоресурсов, производственными затратами и логистикой. Наличие развитых производственных мощностей, квалифицированного персонала, устойчивых поставок сырья и интеграции в группу «Акрон» обеспечивает компании стабильность деятельности и поддерживает её конкурентоспособность на рынке минеральных удобрений.</t>
  </si>
  <si>
    <t xml:space="preserve">ЭКСПРЕСС-АНАЛИЗ И КЛЮЧЕВЫЕ ПОКАЗАТЕЛИ ДЕЯТЕЛЬНОСТИ</t>
  </si>
  <si>
    <t xml:space="preserve">Экономический потенциал</t>
  </si>
  <si>
    <t xml:space="preserve">Валюта баланса, тыс. руб.</t>
  </si>
  <si>
    <t xml:space="preserve">Численность работающих, чел.</t>
  </si>
  <si>
    <t xml:space="preserve">Чистая прибыль, тыс. руб.</t>
  </si>
  <si>
    <t xml:space="preserve">Текущий налог на прибыль, тыс. руб.</t>
  </si>
  <si>
    <t xml:space="preserve">Платежи по налогам и сборам, тыс. руб.</t>
  </si>
  <si>
    <t xml:space="preserve">Долгосрочные финансовые вложения, тыс. руб.</t>
  </si>
  <si>
    <t xml:space="preserve">Вывод (малое, среднее, крупное предприятие)*</t>
  </si>
  <si>
    <t xml:space="preserve">1) Крупное предприятие на региональном уровне. 
2) Численность персонала на протяжении всего анализируемого периода была примерно стабильна, за исключением 2013 - 2014 гг. 
3) С 2013-2017 гг отмечается ярко выраженный положительный тренд роста валюты баланса. С 2017 - 2019 гг. тренд меняет свое направление. </t>
  </si>
  <si>
    <t xml:space="preserve">*вывод автоматически не формируется</t>
  </si>
  <si>
    <t xml:space="preserve">Финансовое положение</t>
  </si>
  <si>
    <t xml:space="preserve">Уставный капитал, тыс. руб.</t>
  </si>
  <si>
    <t xml:space="preserve">   в процентах к валюте баланса</t>
  </si>
  <si>
    <t xml:space="preserve">Собственный капитал, тыс. руб.</t>
  </si>
  <si>
    <t xml:space="preserve">   в процентах к валюте баланса, %</t>
  </si>
  <si>
    <t xml:space="preserve">Стоимость чистых активов, тыс. руб.</t>
  </si>
  <si>
    <t xml:space="preserve">   отношение СЧА к уставному капиталу</t>
  </si>
  <si>
    <t xml:space="preserve">Долгосрочные обязательства, тыс. руб.</t>
  </si>
  <si>
    <t xml:space="preserve">Краткосрочные заемные средства, тыс. руб.</t>
  </si>
  <si>
    <t xml:space="preserve">Арендованные по лизингу основные средства, тыс. руб.</t>
  </si>
  <si>
    <t xml:space="preserve">Кредиторская задолженность, тыс. руб.</t>
  </si>
  <si>
    <t xml:space="preserve">Собственные оборотные средства, тыс. руб.</t>
  </si>
  <si>
    <t xml:space="preserve">Вывод (финансово устойчивое или финансово неустойчивое предприятие)*</t>
  </si>
  <si>
    <t xml:space="preserve">1) Величина уставного капитала не меняется, эмиссия не проводилась.
2) На протяжении всего анализируемого периода компания финансового устойчива, поскольку доля собсвенного капитала в валюте баланса превышает 50%. Наименьшая степень финансовой устойчивости отмечается в 2014 - 2015 гг.
3) Платные обязательства компания привлекает эпизодически, что связано, вероятно, с необходимостью финансирования тех или иных инвестиционных проектов. Наибольший объем платных обязательств отмечается в 2014-2015 гг.
4) Бесплатными источниками финансирования компания пользуется не активно.
5) Собственные оборотные средства компании положительны, что свидетельтсвует о низких рисках финансирования основного вида деятельности компании.</t>
  </si>
  <si>
    <t xml:space="preserve">Эффективность деятельности</t>
  </si>
  <si>
    <t xml:space="preserve">Рентабельность собственного капитала, %</t>
  </si>
  <si>
    <t xml:space="preserve">это чистая прибыль/величину собственного капитала *100</t>
  </si>
  <si>
    <t xml:space="preserve">средняя ставка по депозитам, %</t>
  </si>
  <si>
    <t xml:space="preserve">Рентабельность активов, %</t>
  </si>
  <si>
    <t xml:space="preserve">средняя ставка по кредитам, %</t>
  </si>
  <si>
    <t xml:space="preserve">Коэффициент оборачиваемости активов, раз в год</t>
  </si>
  <si>
    <t xml:space="preserve">Производительность труда, тыс. руб./чел.</t>
  </si>
  <si>
    <t xml:space="preserve">Вывод (высоко эффективное, недостаточно эффективное, убыточное предприятие)*</t>
  </si>
  <si>
    <t xml:space="preserve">1) Компания является инвестиционно привлекательной, так как, за исключением 2014 года, рентабельность собственного капитала превышает среднерыночную ставку по депозитам. 
2. Компания рационально использует платные обязательства, т.к., за исключением 2014 г., рентабельность активов превышает среднерыночную ставку по кредитам
3. Коэффициент оборачиваемости низкий, что свидетельствует о низкой эффективности использования ресурсов компании</t>
  </si>
  <si>
    <t xml:space="preserve">Динамика основных показателей</t>
  </si>
  <si>
    <t xml:space="preserve">2019/2018 год</t>
  </si>
  <si>
    <t xml:space="preserve">2018/2017 год</t>
  </si>
  <si>
    <t xml:space="preserve">2017/2016 год</t>
  </si>
  <si>
    <t xml:space="preserve">2016/2015 год</t>
  </si>
  <si>
    <t xml:space="preserve">2015/2014 год</t>
  </si>
  <si>
    <t xml:space="preserve">2014/2013 год</t>
  </si>
  <si>
    <t xml:space="preserve">Темп прироста валюты баланса, %</t>
  </si>
  <si>
    <t xml:space="preserve">Темп прироста выручки, %</t>
  </si>
  <si>
    <t xml:space="preserve">Темп прироста чистой прибыли, %</t>
  </si>
  <si>
    <t xml:space="preserve">   справочно: темп инфляции</t>
  </si>
  <si>
    <t xml:space="preserve">Вывод (рост, снижение)*</t>
  </si>
  <si>
    <t xml:space="preserve">Инвестиционная привлекательность</t>
  </si>
  <si>
    <t xml:space="preserve">Вывод (звезда, собака, лошадь, корова)</t>
  </si>
  <si>
    <t xml:space="preserve">ВЕРТИКАЛЬНЫЙ, ГОРИЗОНТАЛЬНЫЙ И ФАКТОРНЫЙ АНАЛИЗ АГРЕГИРОВАННОГО БАЛАНСА (значения на определенную дату)</t>
  </si>
  <si>
    <t>обозначения</t>
  </si>
  <si>
    <t xml:space="preserve">сумма, тыс. руб.</t>
  </si>
  <si>
    <t xml:space="preserve">удельный вес, %</t>
  </si>
  <si>
    <t>изменения</t>
  </si>
  <si>
    <t>31.12.2019</t>
  </si>
  <si>
    <t>31.12.2018</t>
  </si>
  <si>
    <t>31.12.2017</t>
  </si>
  <si>
    <t>31.12.2016</t>
  </si>
  <si>
    <t>31.12.2015</t>
  </si>
  <si>
    <t>31.12.2014</t>
  </si>
  <si>
    <t>31.12.2013</t>
  </si>
  <si>
    <t>31.12.2012</t>
  </si>
  <si>
    <t xml:space="preserve">в тыс. руб.</t>
  </si>
  <si>
    <t xml:space="preserve">темп прироста, %</t>
  </si>
  <si>
    <t xml:space="preserve">в структуре, %</t>
  </si>
  <si>
    <t xml:space="preserve">Труднореализуемые активы</t>
  </si>
  <si>
    <t>А4</t>
  </si>
  <si>
    <t xml:space="preserve">Медленно реализуемые активы</t>
  </si>
  <si>
    <t>А3</t>
  </si>
  <si>
    <t xml:space="preserve">Быстрореализуемые активы</t>
  </si>
  <si>
    <t>А2</t>
  </si>
  <si>
    <t xml:space="preserve">Наиболее ликвидные активы</t>
  </si>
  <si>
    <t>А1</t>
  </si>
  <si>
    <t>БАЛАНС</t>
  </si>
  <si>
    <t xml:space="preserve">Бессрочные пассивы</t>
  </si>
  <si>
    <t>П4</t>
  </si>
  <si>
    <t xml:space="preserve">Долгосрочные пассивы</t>
  </si>
  <si>
    <t>П3</t>
  </si>
  <si>
    <t xml:space="preserve">Краткосрочные пассивы</t>
  </si>
  <si>
    <t>П2</t>
  </si>
  <si>
    <t xml:space="preserve">Наиболее срочные обязательства</t>
  </si>
  <si>
    <t>П1</t>
  </si>
  <si>
    <t>проверка</t>
  </si>
  <si>
    <t xml:space="preserve">ошибка (должно быть 0 или прочерк)</t>
  </si>
  <si>
    <t xml:space="preserve">ВЕРТИКАЛЬНЫЙ, ГОРИЗОНТАЛЬНЫЙ И ФАКТОРНЫЙ АНАЛИЗ АГРЕГИРОВАННОГО БАЛАНСА (среднегодовые значения)</t>
  </si>
  <si>
    <t xml:space="preserve">2019/2018 </t>
  </si>
  <si>
    <t>2018/2017</t>
  </si>
  <si>
    <t>2017/2016</t>
  </si>
  <si>
    <t>2016/2015</t>
  </si>
  <si>
    <t>2015/2014</t>
  </si>
  <si>
    <t>2014/2013</t>
  </si>
  <si>
    <t xml:space="preserve">Информация для выводов по агрегированному балансу</t>
  </si>
  <si>
    <t xml:space="preserve">актив баланса</t>
  </si>
  <si>
    <t xml:space="preserve">виды деятельности</t>
  </si>
  <si>
    <t xml:space="preserve">темп прироста балансовых статей</t>
  </si>
  <si>
    <t xml:space="preserve">темп прироста выручки</t>
  </si>
  <si>
    <t>вывод</t>
  </si>
  <si>
    <t xml:space="preserve">валюта баланса</t>
  </si>
  <si>
    <t xml:space="preserve">инвестиционная деятельность</t>
  </si>
  <si>
    <t xml:space="preserve">операционная деятельность</t>
  </si>
  <si>
    <t xml:space="preserve">сбытовая деятельность</t>
  </si>
  <si>
    <t xml:space="preserve">деятельность в зоне денежных потоков</t>
  </si>
  <si>
    <t>Выводы:</t>
  </si>
  <si>
    <t xml:space="preserve">1. Финансово-хозяйственная деятельность компании носит нестабильный характер.
2. Наилучшая динамика зафиксирована в 2015 г. по сравнению с 2014 г. Однако этот всплеск, вероятно, обусловлен технической причиной — вводом мощностей, которые ранее находились на капитальном ремонте.
3. На протяжении почти всего рассматриваемого периода (исключение составляет промежуток 2013–2015 гг.) темпы прироста инвестиций компании систематически превышали темпы прироста ее выручки.</t>
  </si>
  <si>
    <t xml:space="preserve">пассив баланса</t>
  </si>
  <si>
    <t xml:space="preserve">источники финансирования</t>
  </si>
  <si>
    <t xml:space="preserve">темп прироста валюты баланса</t>
  </si>
  <si>
    <t xml:space="preserve">собственный капитал</t>
  </si>
  <si>
    <t xml:space="preserve">устойчивые источники финансирования </t>
  </si>
  <si>
    <t xml:space="preserve">обязательства </t>
  </si>
  <si>
    <t xml:space="preserve">заемный капитал</t>
  </si>
  <si>
    <t xml:space="preserve">кредиторская задолженность</t>
  </si>
  <si>
    <t xml:space="preserve">1. СК: Рос в 2014–2015, но доля была мала → компания зависела от заемного капитала. Далее зависимость снижалась, устойчивость росла. Но: в 2019 доля СК резко упала.
2. Источники: Преобладали платные обязательства (бесплатных почти не было). Тенденция к снижению платных источников нарушена в 2019 году ростом кредиторской задолженности.</t>
  </si>
  <si>
    <t xml:space="preserve">повышение риска невыплаты обязательств</t>
  </si>
  <si>
    <t xml:space="preserve">снижение риска невыплаты обязательств</t>
  </si>
  <si>
    <t xml:space="preserve">В проблемные периоды (2014, 2016, 2019 гг.) компания сталкивалась с трудностями в покрытии обязательств. Для расчета с долгами она активно использовала собственный капитал (СК), что было возможно благодаря его достаточному объему. Это объясняет, почему доля СК в балансе со временем снижалась.</t>
  </si>
  <si>
    <t xml:space="preserve">ОСНОВНЫЕ ИНДИКАТОРЫ БИЗНЕС-ПРОЦЕССОВ: СБЫТ, ИНВЕСТИЦИИ, ПРОИЗВОДСТВО, ФИНАНСОВОЕ ОБЕСПЕЧЕНИЕ</t>
  </si>
  <si>
    <t xml:space="preserve">Ключевые абсолютные показатели</t>
  </si>
  <si>
    <t>показатель</t>
  </si>
  <si>
    <t xml:space="preserve">Выручка, тыс. руб.</t>
  </si>
  <si>
    <t>СБЫТ</t>
  </si>
  <si>
    <t xml:space="preserve">Аномалия роста: Пик 2015 г. (+65% выручки) выбивается из общей волатильной картины, но за ним следуют спады, что подтверждает его разовый характер.
Провал эффективности: В 2019 г. при падении выручки на 20% маржа рухнула вдвое сильнее (-44%) — это указывает на критический рост издержек или ценовой демпинг.
Кассовый разрыв: Хроническое превышение кредиторки над дебиторкой усугубилось в 2019 г., создав риск кассовых разрывов. При этом компания замещает кредиты кредиторкой (отказ от платных займов).
Искажение картины прибыли: Операционная маржа нестабильна, а пиковые значения чистой прибыли в отдельные годы достигнуты за счет неоперационных статей</t>
  </si>
  <si>
    <t xml:space="preserve">Рентабельность продаж (маржа), %</t>
  </si>
  <si>
    <t xml:space="preserve">Доля прибыли от продаж в прибыли до налогообложения, %</t>
  </si>
  <si>
    <t xml:space="preserve">Чистая кредитная позиция (дебиторская задолженность - кредиторская задолженность), тыс. руб.</t>
  </si>
  <si>
    <t>ИНВЕСТИЦИИ</t>
  </si>
  <si>
    <t xml:space="preserve">Доля внеоборотных активов в валюте баланса, % </t>
  </si>
  <si>
    <t xml:space="preserve">2013–2016 гг. (Снижение доли ВОА): Доля внеоборотных активов упала с 55% до 18% на фоне спадов темпов роста. При этом коэффициент ввода держался на уровне 0,17–0,26, а годность ОС постепенно снижалась к 2016 г. (0,47).
2017 г. (Пик обновления): Резкий рывок инвестиций (+44% рост ВОА) на фоне минимальной доли в балансе. Компания активно вводила новые ОС.
2018–2019 гг. (Замедление и аномалия): Инвестиции сходят на нет (+1,3% рост ВОА, коэффициент ввода падает до 0,06). При этом в 2019 г. происходит аномальный скачок коэффициента годности до 0,95 — либо проведена модернизация, либо переоценка.</t>
  </si>
  <si>
    <t xml:space="preserve">Темп прироста внеоборотных активов, %</t>
  </si>
  <si>
    <t xml:space="preserve">Коэффициент ввода основных средств</t>
  </si>
  <si>
    <t xml:space="preserve">Коэффициент годности основных средств, %</t>
  </si>
  <si>
    <t>ПРОИЗВОДСТВО</t>
  </si>
  <si>
    <t xml:space="preserve">Фонды: Оборачиваемость ВОА упала вдвое — деньги вложены, но выручка не растет.
Оборотка: 528 дней — катастрофически медленно, запасы раздуты до 80 дней.
Персонал: Зарплата +74% за 7 лет, производительность упала после 2018 г.
Итог: Эффективность производства снижается. Нужно ускорять обороты и поднимать отдачу от капитала и труда.</t>
  </si>
  <si>
    <t xml:space="preserve">Коэффициент оборачиваемости внеоборотных активов</t>
  </si>
  <si>
    <t xml:space="preserve">Выводы: </t>
  </si>
  <si>
    <t xml:space="preserve">Рентабельность чистых активов, %</t>
  </si>
  <si>
    <t xml:space="preserve">Период оборота оборотных активов, дни</t>
  </si>
  <si>
    <t xml:space="preserve">Период оборота запасов и НДС, дни</t>
  </si>
  <si>
    <t xml:space="preserve">Производительность труда, тыс. руб./ чел.</t>
  </si>
  <si>
    <t xml:space="preserve">Средняя годовая заработная плата, тыс. руб./ чел.</t>
  </si>
  <si>
    <t xml:space="preserve">ФИНАНСОВОЕ ОБЕСПЕЧЕНИЕ</t>
  </si>
  <si>
    <t xml:space="preserve">    Снижение долговой нагрузки: Компания последовательно сокращала зависимость от заемных средств: финансовый рычаг уменьшился более чем в 4 раза (с 0,58 в 2015 г. до 0,12 в 2019 г.).
    Рост финансовой независимости: Коэффициент автономии достиг уровня 0,93, и даже небольшое снижение до 0,89 в 2019 г. оставляет его в зоне абсолютной устойчивости (норма &gt;0,5).
    Самофинансирование: Рост доли нераспределенной прибыли в активах (с 0,61 до 0,87–0,92) подтверждает, что компания развивается органически, реинвестируя заработанное.
Итог: Компания демонстрирует высокую кредитоспособность и низкие риски. Сигнал 2019 г. — не тренд, а флуктуация, но требует наблюдения.</t>
  </si>
  <si>
    <t xml:space="preserve">Плечо финансового рычага</t>
  </si>
  <si>
    <t xml:space="preserve">Коэффициент автономии</t>
  </si>
  <si>
    <t xml:space="preserve">Отношение капитализированной прибыли к стоимости активов</t>
  </si>
  <si>
    <t xml:space="preserve">ВЕРТИКАЛЬНЫЙ И ГОРИЗОНТАЛЬНЫЙ АНАЛИЗ АГРЕГИРОВАННОГО ОТЧЕТА О ФИНАНСОВЫХ РЕЗУЛЬТАТАХ</t>
  </si>
  <si>
    <t xml:space="preserve">изменение за год</t>
  </si>
  <si>
    <t>выручка</t>
  </si>
  <si>
    <t xml:space="preserve">расходы по обычным видам деятельности</t>
  </si>
  <si>
    <t xml:space="preserve">прибыль от продаж</t>
  </si>
  <si>
    <t xml:space="preserve">прочий результат</t>
  </si>
  <si>
    <t xml:space="preserve">прочий результат (не включая проценты к уплате)</t>
  </si>
  <si>
    <t xml:space="preserve">проценты к уплате</t>
  </si>
  <si>
    <t xml:space="preserve">прибыль до налогообложения</t>
  </si>
  <si>
    <t xml:space="preserve">налог на прибыль и отложенные налоги</t>
  </si>
  <si>
    <t xml:space="preserve">чистая прибыль</t>
  </si>
  <si>
    <t xml:space="preserve">нераспределенная прибыль</t>
  </si>
  <si>
    <t xml:space="preserve">1) Основную долю выручки занимают расходы по основному виду деятельности (это хорошо!)
2) Доля прибыли от продаж достаточно стабильна на протяжении всего анализируемого периода, за исключением 2015 и 2019 гг.:
2.1) Резкий рост прибыли от продаж связан, во-первых, с ростом реализации, во-вторых, с резким различием в скорости нарастания выручки и расходов по обычным видам деятельности. Опережающий рост выручки, во многом, определяется резким ослаблением рубля; снижение доли прибыли от продаж в выручке в 2019 гг, свящано с тем, что скорость пдения выручки превышала скорость падения расходов по обычным видам деятельности
3) Доля фин. результата в анализируемом периоде не стабильна.
4) Динамика доли процентов к уплате свидетельствует о том, что в период с 2013 по 2016 гг. платные обязательства компании нарастали, а с 2017 компания начала активно погашать свои обязательства
5) Прибыль компании качественная, поскольку доля прибыли от продаж в выручке значительно превышает долю прочего фин. результата. Именно прибыль от прожад преобладает в прибыли до налогообложения.</t>
  </si>
  <si>
    <t xml:space="preserve">Вертикальный анализ отчета о финансовых результатах</t>
  </si>
  <si>
    <t>.</t>
  </si>
  <si>
    <t xml:space="preserve">1. Компания остаётся прибыльной, но после 2015 года наблюдается устойчивое снижение финансовых результатов.
2. Операционная эффективность ухудшается: падают валовая прибыль и прибыль от продаж.
3. Себестоимость и управленческие расходы растут быстрее выручки, сжимая маржу.
4. Значительная часть прибыли формируется за счёт прочих доходов, что снижает её устойчивость.
5. Бизнес цикличен и зависит от внешних факторов (цены на удобрения, валютный курс, стоимость сырья).
1) В структуре расхода по обычным видам деятельности, основную долю занимает производственная себестоимость, что характерно для успешно развивающихся производственных компаний.
2) Доля процентов к получению превышает долю процентов к уплате, что свидетельствует о том, что компания не только покрывает свои затраты на привлечение заемных обязательств, но ещё и зарабатывает на этом.</t>
  </si>
  <si>
    <t xml:space="preserve">Информация для выводов по агрегированному отчету о прибылях и убытках</t>
  </si>
  <si>
    <t xml:space="preserve">1. Рентабельность снижается: доля валовой прибыли упала с ~58% (2015) до ~38% (2019), аналогично по прибыли от продаж.
2. Чистая прибыль также теряет долю в выручке после 2017 года, что подтверждает ухудшение общей эффективности.
3. Существенную роль играет прочий финансовый результат, который крайне волатилен и искажает прибыль.
4. Выручка нестабильна: резкий рост в 2015 году сменился спадом и отрицательной динамикой в 2019.
5. В целом наблюдается ухудшение качества прибыли и усиление зависимости от нестабильных факторов.</t>
  </si>
  <si>
    <t xml:space="preserve">удельный вес валовой прибыли в выручке, %</t>
  </si>
  <si>
    <t xml:space="preserve">удельный вес прибыли от продаж в выручке, %</t>
  </si>
  <si>
    <t xml:space="preserve">удельный вес чистой прибыли в выручке, %</t>
  </si>
  <si>
    <t xml:space="preserve">удельный вес прочего финансового результата в прибыли до налогообложения, %</t>
  </si>
  <si>
    <t xml:space="preserve">темп прироста выручки, %</t>
  </si>
  <si>
    <t xml:space="preserve">Основные показатели прибыли</t>
  </si>
  <si>
    <t xml:space="preserve">Прибыль от продаж</t>
  </si>
  <si>
    <t xml:space="preserve">Чистая прибыль</t>
  </si>
  <si>
    <t xml:space="preserve">Прибыль до вычета процентов, налогов и амортизации (EBITDA)</t>
  </si>
  <si>
    <t xml:space="preserve">Прибыль до вычета процентов, налогов (EBIT)</t>
  </si>
  <si>
    <t xml:space="preserve">Прибыль до налогообложения (EBT)</t>
  </si>
  <si>
    <t xml:space="preserve">Прибыль налогооблагаемая</t>
  </si>
  <si>
    <t xml:space="preserve">справочно: эффективная ставка налога на прибыль</t>
  </si>
  <si>
    <t xml:space="preserve">АНАЛИЗ ФИНАНСОВОЙ УСТОЙЧИВОСТИ</t>
  </si>
  <si>
    <t xml:space="preserve">Анализ абсолютных показателей финансовой устойчивости</t>
  </si>
  <si>
    <t xml:space="preserve">Анализ типов финансовой устойчивости</t>
  </si>
  <si>
    <t xml:space="preserve">Собственные оборотные средства (СОС)</t>
  </si>
  <si>
    <t xml:space="preserve">Норматив собственного оборотного капитала (10 % от оборотных активов)</t>
  </si>
  <si>
    <t>Дефицит/излишек</t>
  </si>
  <si>
    <t xml:space="preserve">Собственный оборотный капитал</t>
  </si>
  <si>
    <t xml:space="preserve">Запасы и НДС</t>
  </si>
  <si>
    <t xml:space="preserve">Дефицит/излишек источников финансирования запасов</t>
  </si>
  <si>
    <t xml:space="preserve">Обеспеченность запасов собственным оборотным капиталом, %</t>
  </si>
  <si>
    <t xml:space="preserve">Собственный оборотный капитал и долгосрочные обязательства</t>
  </si>
  <si>
    <t xml:space="preserve">Обеспеченность запасов собственным оборотным капиталом и долгосрочными обязательствами, %</t>
  </si>
  <si>
    <t xml:space="preserve">Собственный оборотный капитал, долгосрочные обязательства и краткосрочные заемные средства</t>
  </si>
  <si>
    <t xml:space="preserve">Обеспеченность запасов собственным оборотным капиталом, долгосрочными пассивами и краткосрочными кредитами и займами, %</t>
  </si>
  <si>
    <t xml:space="preserve">Анализ ликвидности баланса (функциональный подход)</t>
  </si>
  <si>
    <t xml:space="preserve">АНАЛИТИЧЕСКИЙ БАЛАНС</t>
  </si>
  <si>
    <t>Обозначения</t>
  </si>
  <si>
    <t xml:space="preserve">1) Функциональный подход соответсвует обычаям делового оборота в бизнесе РФ и те дефициты, образуемые в виде разницы между величиной запасов и НДС и кредиторской задолженностью, объясняемые наращиванием Кред. Задолж., при достаточно стабильном уровне запасов и НДС. </t>
  </si>
  <si>
    <t xml:space="preserve">Внеоборотные активы</t>
  </si>
  <si>
    <t xml:space="preserve">2) Появляющиеся дефициты без проблем покрываются имеющимися излишками наиболее ликвидных активов.</t>
  </si>
  <si>
    <t xml:space="preserve">Запасы, НДС по приобретенным ценностям ценностям и прочие оборотные активы</t>
  </si>
  <si>
    <t xml:space="preserve">Дебиторская задолженность, краткосрочные финансовые вложения и денежные средства</t>
  </si>
  <si>
    <t>А2+А1</t>
  </si>
  <si>
    <t xml:space="preserve">Собственный капитал и долгосрочные обязательства</t>
  </si>
  <si>
    <t>П4+П3</t>
  </si>
  <si>
    <t xml:space="preserve">Краткосрочные заемные средства</t>
  </si>
  <si>
    <t xml:space="preserve">Кредиторская задолженность и приравненные к ней обязательства</t>
  </si>
  <si>
    <t xml:space="preserve">Платежные дефициты (-) и излишки (+)</t>
  </si>
  <si>
    <t>Расчет</t>
  </si>
  <si>
    <t xml:space="preserve">Собственный капитал и долгосрочные обязательства - внеоборотные активы</t>
  </si>
  <si>
    <t>П4+П3-А4</t>
  </si>
  <si>
    <t xml:space="preserve">Запасы, НДС по приобретенным ценностям ценностям, прочие оборотные активы - кредиторская задолженность и приравненные к ней обязательства</t>
  </si>
  <si>
    <t>А3-П1</t>
  </si>
  <si>
    <t xml:space="preserve">Дебиторская задолженность, краткосрочные финансовые вложения и денежные средства - Краткосрочные заемные средства</t>
  </si>
  <si>
    <t>А2+А1-П2</t>
  </si>
  <si>
    <t xml:space="preserve">Анализ ликвидности баланса (имущественный подход)</t>
  </si>
  <si>
    <t xml:space="preserve">Дебиторская задолженность </t>
  </si>
  <si>
    <t xml:space="preserve">Денежные средства и краткосрочные финансовые вложения </t>
  </si>
  <si>
    <t xml:space="preserve">Собственный капитал</t>
  </si>
  <si>
    <t xml:space="preserve">Долгосрочные обязательства</t>
  </si>
  <si>
    <t xml:space="preserve">Платежные дефициты(-) и излишки(+)</t>
  </si>
  <si>
    <t xml:space="preserve">1. Собственные оборотные средства формируются с запасом, что позволяет финансировать оборотные активы без привлечения заемных источников. (сроки привлечения обязательств == сроки обращения активов в денежные средства)
Соотношения имущественного подхода в полном объеме соблююатся только В А4 П4 А1 П1, активов до 2017 г. А3 и А2 не всегда достаточно для расплаты по привлекаемым обязательствам, это связано с активной инвест деятелньностью, как мы видим, долгосрочные обязательства направлялись на фин долгосрочных активов, а краткосрочные на пополнения ОА в части краткосрочных фин вложений
наличие дефицитов не критичны, т.к. излишки по А1 П1 способны свободно закрыть имеющиеся дефициты.
2. В период 2012–2016 гг. долгосрочные обязательства превышали запасы, однако в последующие годы эта зависимость исчезла, и покрытие стало обеспечиваться за счет более ликвидных активов (прежде всего дебиторской задолженности).
3. Начиная с 2017 года наблюдается необходимость опоры на собственный капитал для формирования оборотных средств; при этом в большинстве периодов дебиторская задолженность превышает кредиторскую (за исключением 2014–2016 гг.).
4. Компания обладает возможностью в любой момент погасить краткосрочные обязательства за счет высоколиквидных активов, включая дебиторскую задолженность и денежные средства.
5. Собственный оборотный капитал стабильно превышает потребность в оборотных активах, что свидетельствует о высокой финансовой устойчивости.</t>
  </si>
  <si>
    <t xml:space="preserve">Собственный капитал - Внеоборотные активы</t>
  </si>
  <si>
    <t>П4-А4</t>
  </si>
  <si>
    <t xml:space="preserve">Запасы, НДС по приобретенным ценностям, прочие оборотные активы - Долгосрочные обязательства</t>
  </si>
  <si>
    <t>А3-П3</t>
  </si>
  <si>
    <t xml:space="preserve">Дебиторская задолженность - Краткосрочные заемные средства</t>
  </si>
  <si>
    <t>А2-П2</t>
  </si>
  <si>
    <t xml:space="preserve">Денежные средства, краткосрочные финансовые вложения - Кредиторская задолженность и приравненные к ней обязательства</t>
  </si>
  <si>
    <t>А1-П1</t>
  </si>
  <si>
    <t xml:space="preserve">Анализ относительных показателей финансовой устойчивости</t>
  </si>
  <si>
    <t xml:space="preserve">Коэффициенты ликвидности</t>
  </si>
  <si>
    <t>норматив</t>
  </si>
  <si>
    <t xml:space="preserve">Значения и динамика Коэффов ликвидности димонстрирует способность компании в любой момент покрыть свои обязательства за счет ОА</t>
  </si>
  <si>
    <t xml:space="preserve">Общая ликвидность</t>
  </si>
  <si>
    <t xml:space="preserve">Для покрытия обязательств нет смысла переходить к другим ликвидностям, </t>
  </si>
  <si>
    <t xml:space="preserve">Абсолютная ликвидность</t>
  </si>
  <si>
    <t xml:space="preserve">Демонстрация повышенной ликвидности связано со стремлением компании привлекать кредитные средства на самых выгодных условиях, т.е. под минимальный процент</t>
  </si>
  <si>
    <t xml:space="preserve">Промежуточная ликвидность</t>
  </si>
  <si>
    <t xml:space="preserve">Текущая ликвидность</t>
  </si>
  <si>
    <t xml:space="preserve">Коэффициенты структуры капитала</t>
  </si>
  <si>
    <t xml:space="preserve">Платные источники фин. привлекаются по необходимости - в случае реализации инвест. проектов группы</t>
  </si>
  <si>
    <t xml:space="preserve">Коэффициент финансовой устойчивости</t>
  </si>
  <si>
    <t xml:space="preserve">Коэфф фин активности </t>
  </si>
  <si>
    <t xml:space="preserve">Коэффициент финансовой активности (плечо: заемный капитал к собственному)</t>
  </si>
  <si>
    <t xml:space="preserve">С целью повышения ликвидности компании, и, как следствие, её кредитоспособности, компания делает это осознанно, чтобы иметь возможность привлекать кредитные средства на максимально выгодных условиях</t>
  </si>
  <si>
    <t xml:space="preserve">Обеспеченность оборотных активов собственным оборотным капиталом</t>
  </si>
  <si>
    <t xml:space="preserve">Обеспеченность запасов устойчивыми источниками финансирования</t>
  </si>
  <si>
    <t xml:space="preserve">Маневренность собственного капитала  (собственный оборотный капитал к собственному капиталу)</t>
  </si>
  <si>
    <t xml:space="preserve">Длительность погашения задолженности (степень платежеспособности через выручку)</t>
  </si>
  <si>
    <t xml:space="preserve">Степень платежеспособности общая, месяцы</t>
  </si>
  <si>
    <t xml:space="preserve">Степень платежеспособности по кредитам и займам, месяцы</t>
  </si>
  <si>
    <t xml:space="preserve">Степень платежеспособности по кредиторской задолженности, месяцы</t>
  </si>
  <si>
    <t xml:space="preserve">Коэффициенты покрытия обязательств прибылью</t>
  </si>
  <si>
    <t>формула</t>
  </si>
  <si>
    <t xml:space="preserve">Коэффициент покрытия процентов прибылью</t>
  </si>
  <si>
    <t xml:space="preserve">EBIT/ фактические проценты</t>
  </si>
  <si>
    <t xml:space="preserve">Коэффициент покрытия процентов и основной суммы долга прибылью</t>
  </si>
  <si>
    <t xml:space="preserve">EBIT / заемный капитал с учетом налоговой корректировки, проценты</t>
  </si>
  <si>
    <t xml:space="preserve">Коэффициент покрытия процентов и основной суммы долга прибылью и амортизацией</t>
  </si>
  <si>
    <t xml:space="preserve">EBITDA / заемный капитал с налоговой корректировкой, проценты</t>
  </si>
  <si>
    <t xml:space="preserve">0,5 - 2</t>
  </si>
  <si>
    <t xml:space="preserve">Коэффициент  долга</t>
  </si>
  <si>
    <t xml:space="preserve">заемный капитал / EBITDA</t>
  </si>
  <si>
    <t xml:space="preserve">Коэффициент чистого долга</t>
  </si>
  <si>
    <t xml:space="preserve">заемный капитал за вычетом денежных средств и эквивалентов, финансовых вложений/ EBITDA</t>
  </si>
  <si>
    <t xml:space="preserve">АНАЛИЗ ЗАПАСОВ ДЕБИТОРСКОЙ И КРЕДИТОРСКОЙ ЗАДОЛЖЕННОСТЕЙ </t>
  </si>
  <si>
    <t xml:space="preserve">Анализ запасов </t>
  </si>
  <si>
    <t xml:space="preserve">Всего запасы</t>
  </si>
  <si>
    <t xml:space="preserve">Анализ соотношения запасов и НДС по приобретенным ценностям и кредиторской задолженности поставщикам</t>
  </si>
  <si>
    <t xml:space="preserve">запасы сырья и материалов</t>
  </si>
  <si>
    <t xml:space="preserve">НДС по приобретенным ценностям</t>
  </si>
  <si>
    <t xml:space="preserve">кредиторская задолженность перед поставщиками и подрядчиками</t>
  </si>
  <si>
    <t xml:space="preserve">авансы выданные</t>
  </si>
  <si>
    <t xml:space="preserve">нетто-задолженность перед поставщиками и подрядчиками</t>
  </si>
  <si>
    <t xml:space="preserve">доля запасов сырья, материалов и НДС, профинансированная поставщиками и подрядчиками</t>
  </si>
  <si>
    <t xml:space="preserve">Анализ дебиторской задолженности</t>
  </si>
  <si>
    <t xml:space="preserve">Долгосрочная дебиторская задолженность</t>
  </si>
  <si>
    <t xml:space="preserve">Краткосрочная дебиторская задолженность</t>
  </si>
  <si>
    <t xml:space="preserve">Всего дебиторская задолженность</t>
  </si>
  <si>
    <t xml:space="preserve">покупатели и заказчики</t>
  </si>
  <si>
    <t xml:space="preserve">прочие дебиторы</t>
  </si>
  <si>
    <t xml:space="preserve">Анализ кредиторской задолженности</t>
  </si>
  <si>
    <t xml:space="preserve">Всего кредиторская задолженность</t>
  </si>
  <si>
    <t xml:space="preserve">Оценка качества дебиторской задолженности и установление типа кредитной политики</t>
  </si>
  <si>
    <t xml:space="preserve">Длительность дебиторской задолженности покупателей и заказчиков (дебиторская/ выручка х 365)</t>
  </si>
  <si>
    <t xml:space="preserve">Длительность дебиторской задолженности (дебиторская/ выручка х 365)</t>
  </si>
  <si>
    <t xml:space="preserve">Дебиторская задолженность, тыс. руб.</t>
  </si>
  <si>
    <t xml:space="preserve">   в том числе долгосрочная </t>
  </si>
  <si>
    <t xml:space="preserve">Доля долгосрочной задолженности, %</t>
  </si>
  <si>
    <t xml:space="preserve">Полученные авансы, тыс. руб.</t>
  </si>
  <si>
    <t xml:space="preserve">отношение полученных авансов к величине дебиторской задолженности покупателей и заказчиков, %</t>
  </si>
  <si>
    <t xml:space="preserve">Темп прироста дебиторской задолженности покупателей и заказчиков, %</t>
  </si>
  <si>
    <t xml:space="preserve">Списанная в убыток задолженность неплатежеспособных покупателей и заказчиков, тыс. руб.</t>
  </si>
  <si>
    <t xml:space="preserve">Доля списанной в убыток задолженности неплатежеспособных покупателей в дебиторской задолженности покупателей, %</t>
  </si>
  <si>
    <t xml:space="preserve">Резервы по сомнительным долгам, тыс. руб.</t>
  </si>
  <si>
    <t xml:space="preserve">Отношение резервов к величине дебиторской задолженности покупателей и заказчиков, %</t>
  </si>
  <si>
    <t xml:space="preserve">АНАЛИЗ СТРАТЕГИИ ФИНАНСИРОВАНИЯ (АНАЛИЗ ФИНАНСОВОЙ ДЕЯТЕЛЬНОСТИ)</t>
  </si>
  <si>
    <t xml:space="preserve">Анализ структуры и динамики источников финансирования</t>
  </si>
  <si>
    <t xml:space="preserve">Инвестированный собственный капитал</t>
  </si>
  <si>
    <t xml:space="preserve">Накопленный собственный капитал</t>
  </si>
  <si>
    <t xml:space="preserve">Итого источники финансирования организации</t>
  </si>
  <si>
    <t>Проверка</t>
  </si>
  <si>
    <t xml:space="preserve">Анализ структуры и динамики инвестированного капитала</t>
  </si>
  <si>
    <t xml:space="preserve">Итого инвестированный капитал</t>
  </si>
  <si>
    <t xml:space="preserve">Анализ структуры и динамики собственного капитала</t>
  </si>
  <si>
    <t xml:space="preserve">Уставный капитал (за вычетом собственных акций)</t>
  </si>
  <si>
    <t xml:space="preserve">Итого собственный капитал</t>
  </si>
  <si>
    <t xml:space="preserve">Группировка статей собственного капитала</t>
  </si>
  <si>
    <t xml:space="preserve">Суммарный собственный капитал</t>
  </si>
  <si>
    <t xml:space="preserve">Роль нераспределенной прибыли в формировании имущества организации</t>
  </si>
  <si>
    <t xml:space="preserve">Отношение нераспределенной прибыли к активам, %</t>
  </si>
  <si>
    <t xml:space="preserve">Анализ структуры и динамики обязательств</t>
  </si>
  <si>
    <t xml:space="preserve">Долгосрочные заемные средства</t>
  </si>
  <si>
    <t xml:space="preserve">Долгосрочные зценочные обязательства</t>
  </si>
  <si>
    <t xml:space="preserve">Прочие долгосрочные обязательства</t>
  </si>
  <si>
    <t xml:space="preserve">Краткосрочные оценочные обязательства</t>
  </si>
  <si>
    <t xml:space="preserve">Прочие краткосрочные обязательства</t>
  </si>
  <si>
    <t xml:space="preserve">Итого обязательства</t>
  </si>
  <si>
    <t xml:space="preserve">Поставщики и подрядчики</t>
  </si>
  <si>
    <t xml:space="preserve">Авансы полученные</t>
  </si>
  <si>
    <t xml:space="preserve">Задолженность перед персоналом организации</t>
  </si>
  <si>
    <t xml:space="preserve">Задолженность перед государственными внебюджетными фондами</t>
  </si>
  <si>
    <t xml:space="preserve">Задолженность по налогам и сборам</t>
  </si>
  <si>
    <t xml:space="preserve">Прочие кредиторы</t>
  </si>
  <si>
    <t xml:space="preserve">Источники оборотного капитала</t>
  </si>
  <si>
    <t xml:space="preserve">собственный оборотный капитал</t>
  </si>
  <si>
    <t xml:space="preserve">долгосрочный платный капитал</t>
  </si>
  <si>
    <t xml:space="preserve">краткосрочный платный капитал</t>
  </si>
  <si>
    <t xml:space="preserve">Оборотный капитал</t>
  </si>
  <si>
    <t xml:space="preserve">Источники чистого оборотного капитала</t>
  </si>
  <si>
    <t xml:space="preserve">Чистый оборотный капитал</t>
  </si>
  <si>
    <t xml:space="preserve">Направления вложения инвестированного капитала</t>
  </si>
  <si>
    <t xml:space="preserve">внеоборотный активы</t>
  </si>
  <si>
    <t xml:space="preserve">оборотный капитал</t>
  </si>
  <si>
    <t xml:space="preserve">Инвестированный капитал</t>
  </si>
  <si>
    <t xml:space="preserve">Направления вложения оборотного капитала</t>
  </si>
  <si>
    <t>запасы</t>
  </si>
  <si>
    <t xml:space="preserve">дебиторская задолженность</t>
  </si>
  <si>
    <t xml:space="preserve">высоколиквидные активы</t>
  </si>
  <si>
    <t xml:space="preserve">Направления вложения чистого оборотного капитала</t>
  </si>
  <si>
    <t xml:space="preserve">АНАЛИЗ ДИВИДЕНДНОЙ ПОЛИТИКИ</t>
  </si>
  <si>
    <t xml:space="preserve">(обоснование коэффициента дивидендных выплат)</t>
  </si>
  <si>
    <t xml:space="preserve">Анализ распределения чистой прибыли (по отчету об изменениях капитала)</t>
  </si>
  <si>
    <t xml:space="preserve">Исходные данные</t>
  </si>
  <si>
    <t xml:space="preserve">Стоимость чистых активов</t>
  </si>
  <si>
    <t xml:space="preserve">Количество обыкновенных акций</t>
  </si>
  <si>
    <t xml:space="preserve">Номинальная стоимость акции</t>
  </si>
  <si>
    <t xml:space="preserve">Балансовая стоимость акции</t>
  </si>
  <si>
    <t xml:space="preserve">Чистая прибыль направлена:</t>
  </si>
  <si>
    <t xml:space="preserve">   на увеличение резервного капитала</t>
  </si>
  <si>
    <t xml:space="preserve">   на выплату дивидендов </t>
  </si>
  <si>
    <t xml:space="preserve">   прочее</t>
  </si>
  <si>
    <t xml:space="preserve">   на увеличение нераспределенной прибыли</t>
  </si>
  <si>
    <t xml:space="preserve">Прирост нераспределенной прибыли (проверка)</t>
  </si>
  <si>
    <t xml:space="preserve">Результат движения денежных средств от текущей деятельности            </t>
  </si>
  <si>
    <t xml:space="preserve">Результат движения денежных средств от инвестиционной деятельности            </t>
  </si>
  <si>
    <t xml:space="preserve">Результат движения денежных средств от финансовой деятельности            </t>
  </si>
  <si>
    <t xml:space="preserve">Денежные средства, направленные на выплату дивидендов</t>
  </si>
  <si>
    <t xml:space="preserve">Нераспределенная прибыль в балансе</t>
  </si>
  <si>
    <t>Активы</t>
  </si>
  <si>
    <t xml:space="preserve">Прибыль на акцию</t>
  </si>
  <si>
    <t xml:space="preserve">Дивиденды на акцию</t>
  </si>
  <si>
    <t xml:space="preserve">Отношение дивидендов к активам, %</t>
  </si>
  <si>
    <t xml:space="preserve">Доля нераспределенной прибыли в балансе, %</t>
  </si>
  <si>
    <t xml:space="preserve">Коэффициент дивидендных выплат, %</t>
  </si>
  <si>
    <t xml:space="preserve">Коэффициент капитализации прибыли, %</t>
  </si>
  <si>
    <t xml:space="preserve">Дивидендная доходность, %</t>
  </si>
  <si>
    <t xml:space="preserve">Капитальная доходность, %</t>
  </si>
  <si>
    <t xml:space="preserve">Общая доходность, %</t>
  </si>
  <si>
    <t xml:space="preserve">Дивидендное покрытие (EPS/DPS)</t>
  </si>
  <si>
    <t xml:space="preserve">Дивидендный выход (DPS/EPS</t>
  </si>
  <si>
    <t xml:space="preserve">Обоснование дивидендной политики</t>
  </si>
  <si>
    <t xml:space="preserve">Превышение СЧА над уставным капиталом и резервным фондом,  тыс. руб.</t>
  </si>
  <si>
    <t xml:space="preserve">Наличие высоколиквидных активов в процентах от оборотных активов</t>
  </si>
  <si>
    <t xml:space="preserve">Коэффициент автономии, %</t>
  </si>
  <si>
    <t xml:space="preserve">Обеспеченность оборотных активов собственными оборотными средствами</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</si>
</sst>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6">
    <numFmt numFmtId="164" formatCode="_-* #,##0.00_р_._-;\-* #,##0.00_р_._-;_-* \-??_р_._-;_-@_-"/>
    <numFmt numFmtId="165" formatCode="_-* #,##0_р_._-;\-* #,##0_р_._-;_-* \-??_р_._-;_-@_-"/>
    <numFmt numFmtId="166" formatCode="_(* #,##0_);_(* \(#,##0\);_(* \-??_);_(@_)"/>
    <numFmt numFmtId="167" formatCode="_(* #,##0.00000_);_(* \(#,##0.00000\);_(* \-??_);_(@_)"/>
    <numFmt numFmtId="168" formatCode="_-* #,##0.0000_р_._-;\-* #,##0.0000_р_._-;_-* \-??_р_._-;_-@_-"/>
    <numFmt numFmtId="169" formatCode="_(* #,##0.000_);_(* \(#,##0.000\);_(* \-??_);_(@_)"/>
    <numFmt numFmtId="170" formatCode="_-* #,##0.000_р_._-;\-* #,##0.000_р_._-;_-* \-??_р_._-;_-@_-"/>
    <numFmt numFmtId="171" formatCode="_-* #,##0.00000_р_._-;\-* #,##0.00000_р_._-;_-* \-??_р_._-;_-@_-"/>
    <numFmt numFmtId="172" formatCode="_(* #,##0.00_);_(* \(#,##0.00\);_(* \-??_);_(@_)"/>
    <numFmt numFmtId="173" formatCode="_(* #,##0.0_);_(* \(#,##0.0\);_(* \-??_);_(@_)"/>
    <numFmt numFmtId="174" formatCode="_(* #,##0.00_);_(* \(#,##0.00\);_(* &quot;-&quot;??_);_(@_)"/>
    <numFmt numFmtId="175" formatCode="_(* #,##0.0_);_(* \(#,##0.0\);_(* &quot;-&quot;??_);_(@_)"/>
    <numFmt numFmtId="176" formatCode="_(* #,##0_);_(* \(#,##0\);_(* &quot;-&quot;??_);_(@_)"/>
    <numFmt numFmtId="177" formatCode="_(* #,##0.000_);_(* \(#,##0.000\);_(* &quot;-&quot;??_);_(@_)"/>
    <numFmt numFmtId="178" formatCode="_(* #,##0.0000_);_(* \(#,##0.0000\);_(* \-??_);_(@_)"/>
    <numFmt numFmtId="179" formatCode="dd/mm/yyyy"/>
  </numFmts>
  <fonts count="29">
    <font>
      <sz val="10.000000"/>
      <name val="Arial Cyr"/>
    </font>
    <font>
      <sz val="10.000000"/>
      <name val="Arial"/>
    </font>
    <font>
      <b/>
      <u/>
      <sz val="8.000000"/>
      <name val="Arial"/>
    </font>
    <font>
      <sz val="8.000000"/>
      <name val="Arial"/>
    </font>
    <font>
      <sz val="11.000000"/>
      <color theme="1"/>
      <name val="Calibri"/>
    </font>
    <font>
      <u/>
      <sz val="10.000000"/>
      <color indexed="4"/>
      <name val="Arial Cyr"/>
    </font>
    <font>
      <sz val="12.000000"/>
      <name val="Times New Roman Cyr"/>
    </font>
    <font>
      <b/>
      <sz val="12.000000"/>
      <name val="Times New Roman Cyr"/>
    </font>
    <font>
      <b/>
      <sz val="12.000000"/>
      <name val="Times New Roman"/>
    </font>
    <font>
      <b/>
      <i/>
      <sz val="12.000000"/>
      <name val="Times New Roman Cyr"/>
    </font>
    <font>
      <sz val="12.000000"/>
      <name val="Times New Roman"/>
    </font>
    <font>
      <sz val="12.000000"/>
      <color indexed="2"/>
      <name val="Times New Roman Cyr"/>
    </font>
    <font>
      <sz val="12.000000"/>
      <name val="Arial"/>
    </font>
    <font>
      <b/>
      <u/>
      <sz val="12.000000"/>
      <name val="Times New Roman Cyr"/>
    </font>
    <font>
      <b/>
      <sz val="12.000000"/>
      <color indexed="2"/>
      <name val="Times New Roman Cyr"/>
    </font>
    <font>
      <b/>
      <u/>
      <sz val="12.000000"/>
      <color indexed="65"/>
      <name val="Comic Sans MS"/>
    </font>
    <font>
      <i/>
      <sz val="12.000000"/>
      <name val="Times New Roman Cyr"/>
    </font>
    <font>
      <b/>
      <i/>
      <sz val="12.000000"/>
      <color indexed="2"/>
      <name val="Times New Roman Cyr"/>
    </font>
    <font>
      <b/>
      <sz val="11.000000"/>
      <color theme="1"/>
      <name val="Calibri"/>
    </font>
    <font>
      <sz val="10.000000"/>
      <color theme="0"/>
      <name val="Arial Cyr"/>
    </font>
    <font>
      <b/>
      <sz val="12.000000"/>
      <color theme="8" tint="-0.25"/>
      <name val="Times New Roman Cyr"/>
    </font>
    <font>
      <b/>
      <i/>
      <sz val="10.000000"/>
      <name val="Arial Cyr"/>
    </font>
    <font>
      <b/>
      <i/>
      <sz val="12.000000"/>
      <color indexed="4"/>
      <name val="Times New Roman Cyr"/>
    </font>
    <font>
      <sz val="12.000000"/>
      <name val="Arial Cyr"/>
    </font>
    <font>
      <sz val="10.000000"/>
      <name val="Times New Roman"/>
    </font>
    <font>
      <b/>
      <sz val="10.000000"/>
      <name val="Times New Roman"/>
    </font>
    <font>
      <sz val="11.000000"/>
      <color theme="1"/>
      <name val="Times New Roman"/>
    </font>
    <font>
      <sz val="11.000000"/>
      <name val="Times New Roman"/>
    </font>
    <font>
      <b/>
      <sz val="12.000000"/>
      <color indexed="6"/>
      <name val="Times New Roman Cyr"/>
    </font>
  </fonts>
  <fills count="12">
    <fill>
      <patternFill patternType="none"/>
    </fill>
    <fill>
      <patternFill patternType="gray125"/>
    </fill>
    <fill>
      <patternFill patternType="solid">
        <fgColor indexed="60"/>
        <bgColor indexed="25"/>
      </patternFill>
    </fill>
    <fill>
      <patternFill patternType="solid">
        <fgColor indexed="65"/>
        <bgColor rgb="FFE2F0D9"/>
      </patternFill>
    </fill>
    <fill>
      <patternFill patternType="solid">
        <fgColor indexed="4"/>
        <bgColor indexed="4"/>
      </patternFill>
    </fill>
    <fill>
      <patternFill patternType="solid">
        <fgColor theme="6" tint="0.39989999999999998"/>
        <bgColor rgb="FFD9D9D9"/>
      </patternFill>
    </fill>
    <fill>
      <patternFill patternType="solid">
        <fgColor theme="9" tint="0.79990000000000006"/>
        <bgColor rgb="FFE7E6E6"/>
      </patternFill>
    </fill>
    <fill>
      <patternFill patternType="solid">
        <fgColor indexed="5"/>
        <bgColor indexed="5"/>
      </patternFill>
    </fill>
    <fill>
      <patternFill patternType="solid">
        <fgColor theme="2"/>
        <bgColor rgb="FFE2F0D9"/>
      </patternFill>
    </fill>
    <fill>
      <patternFill patternType="solid">
        <fgColor indexed="65"/>
      </patternFill>
    </fill>
    <fill>
      <patternFill patternType="solid">
        <fgColor theme="9" tint="0.79998168889431442"/>
      </patternFill>
    </fill>
    <fill>
      <patternFill patternType="solid">
        <fgColor theme="2"/>
      </patternFill>
    </fill>
  </fills>
  <borders count="16">
    <border>
      <left style="none"/>
      <right style="none"/>
      <top style="none"/>
      <bottom style="none"/>
      <diagonal style="none"/>
    </border>
    <border>
      <left style="thin">
        <color theme="1"/>
      </left>
      <right style="thin">
        <color theme="1"/>
      </right>
      <top style="thin">
        <color theme="1"/>
      </top>
      <bottom style="thin">
        <color theme="1"/>
      </bottom>
      <diagonal style="none"/>
    </border>
    <border>
      <left style="thin">
        <color theme="1"/>
      </left>
      <right style="thin">
        <color theme="1"/>
      </right>
      <top style="none"/>
      <bottom style="thin">
        <color theme="1"/>
      </bottom>
      <diagonal style="none"/>
    </border>
    <border>
      <left style="medium">
        <color theme="1"/>
      </left>
      <right style="medium">
        <color theme="1"/>
      </right>
      <top style="medium">
        <color theme="1"/>
      </top>
      <bottom style="medium">
        <color theme="1"/>
      </bottom>
      <diagonal style="none"/>
    </border>
    <border>
      <left style="thin">
        <color theme="1"/>
      </left>
      <right style="thin">
        <color theme="1"/>
      </right>
      <top style="thin">
        <color theme="1"/>
      </top>
      <bottom style="none"/>
      <diagonal style="none"/>
    </border>
    <border>
      <left style="thin">
        <color theme="1"/>
      </left>
      <right style="none"/>
      <top style="thin">
        <color theme="1"/>
      </top>
      <bottom style="thin">
        <color theme="1"/>
      </bottom>
      <diagonal style="none"/>
    </border>
    <border>
      <left style="medium">
        <color theme="1"/>
      </left>
      <right style="none"/>
      <top style="none"/>
      <bottom style="none"/>
      <diagonal style="none"/>
    </border>
    <border>
      <left style="thin">
        <color theme="1"/>
      </left>
      <right style="none"/>
      <top style="none"/>
      <bottom style="none"/>
      <diagonal style="none"/>
    </border>
    <border>
      <left style="thin">
        <color auto="1"/>
      </left>
      <right style="thin">
        <color auto="1"/>
      </right>
      <top style="thin">
        <color auto="1"/>
      </top>
      <bottom style="thin">
        <color auto="1"/>
      </bottom>
      <diagonal style="none"/>
    </border>
    <border>
      <left style="thin">
        <color theme="1"/>
      </left>
      <right style="thin">
        <color theme="1"/>
      </right>
      <top style="none"/>
      <bottom style="none"/>
      <diagonal style="none"/>
    </border>
    <border>
      <left style="none"/>
      <right style="none"/>
      <top style="none"/>
      <bottom style="thin">
        <color auto="1"/>
      </bottom>
      <diagonal style="none"/>
    </border>
    <border>
      <left style="thin">
        <color theme="1"/>
      </left>
      <right style="thin">
        <color theme="1"/>
      </right>
      <top style="thin">
        <color theme="1"/>
      </top>
      <bottom style="double">
        <color theme="1"/>
      </bottom>
      <diagonal style="none"/>
    </border>
    <border>
      <left style="medium">
        <color theme="1"/>
      </left>
      <right style="thin">
        <color theme="1"/>
      </right>
      <top style="thin">
        <color theme="1"/>
      </top>
      <bottom style="thin">
        <color theme="1"/>
      </bottom>
      <diagonal style="none"/>
    </border>
    <border>
      <left style="none"/>
      <right style="none"/>
      <top style="thin">
        <color theme="1"/>
      </top>
      <bottom style="thin">
        <color theme="1"/>
      </bottom>
      <diagonal style="none"/>
    </border>
    <border>
      <left style="thin">
        <color theme="1"/>
      </left>
      <right style="thin">
        <color theme="1"/>
      </right>
      <top style="double">
        <color theme="1"/>
      </top>
      <bottom style="thin">
        <color theme="1"/>
      </bottom>
      <diagonal style="none"/>
    </border>
    <border>
      <left style="thin">
        <color theme="1"/>
      </left>
      <right style="thin">
        <color theme="1"/>
      </right>
      <top style="none"/>
      <bottom style="double">
        <color theme="1"/>
      </bottom>
      <diagonal style="none"/>
    </border>
  </borders>
  <cellStyleXfs count="18">
    <xf fontId="0" fillId="0" borderId="0" numFmtId="0" applyNumberFormat="1" applyFont="1" applyFill="1" applyBorder="1" applyProtection="1">
      <protection hidden="0" locked="1"/>
    </xf>
    <xf fontId="0" fillId="0" borderId="0" numFmtId="164" applyNumberFormat="1" applyFont="1" applyFill="1" applyBorder="0" applyProtection="0"/>
    <xf fontId="1" fillId="0" borderId="0" numFmtId="41" applyNumberFormat="1" applyFont="1" applyFill="1" applyBorder="0" applyProtection="0"/>
    <xf fontId="1" fillId="0" borderId="0" numFmtId="44" applyNumberFormat="1" applyFont="1" applyFill="1" applyBorder="0" applyProtection="0"/>
    <xf fontId="1" fillId="0" borderId="0" numFmtId="42" applyNumberFormat="1" applyFont="1" applyFill="1" applyBorder="0" applyProtection="0"/>
    <xf fontId="1" fillId="0" borderId="0" numFmtId="9" applyNumberFormat="1" applyFont="1" applyFill="1" applyBorder="0" applyProtection="0"/>
    <xf fontId="2" fillId="2" borderId="0" numFmtId="0" applyNumberFormat="1" applyFont="1" applyFill="1" applyBorder="1" applyProtection="1">
      <protection hidden="0" locked="1"/>
    </xf>
    <xf fontId="3" fillId="0" borderId="0" numFmtId="0" applyNumberFormat="1" applyFont="1" applyFill="1" applyBorder="1" applyProtection="1">
      <protection hidden="0" locked="1"/>
    </xf>
    <xf fontId="4" fillId="0" borderId="0" numFmtId="0" applyNumberFormat="1" applyFont="1" applyFill="1" applyBorder="1" applyProtection="1">
      <protection hidden="0" locked="1"/>
    </xf>
    <xf fontId="0" fillId="0" borderId="0" numFmtId="0" applyNumberFormat="1" applyFont="1" applyFill="1" applyBorder="1" applyProtection="1">
      <protection hidden="0" locked="1"/>
    </xf>
    <xf fontId="0" fillId="0" borderId="0" numFmtId="0" applyNumberFormat="1" applyFont="1" applyFill="1" applyBorder="1" applyProtection="1">
      <protection hidden="0" locked="1"/>
    </xf>
    <xf fontId="0" fillId="0" borderId="0" numFmtId="0" applyNumberFormat="1" applyFont="1" applyFill="1" applyBorder="1" applyProtection="1">
      <protection hidden="0" locked="1"/>
    </xf>
    <xf fontId="1" fillId="0" borderId="0" numFmtId="0" applyNumberFormat="1" applyFont="1" applyFill="1" applyBorder="1" applyProtection="1">
      <protection hidden="0" locked="1"/>
    </xf>
    <xf fontId="0" fillId="0" borderId="0" numFmtId="164" applyNumberFormat="1" applyFont="1" applyFill="1" applyBorder="0" applyProtection="0"/>
    <xf fontId="0" fillId="0" borderId="0" numFmtId="164" applyNumberFormat="1" applyFont="1" applyFill="1" applyBorder="0" applyProtection="0"/>
    <xf fontId="0" fillId="0" borderId="0" numFmtId="164" applyNumberFormat="1" applyFont="1" applyFill="1" applyBorder="0" applyProtection="0"/>
    <xf fontId="0" fillId="0" borderId="0" numFmtId="164" applyNumberFormat="1" applyFont="1" applyFill="1" applyBorder="0" applyProtection="0"/>
    <xf fontId="5" fillId="0" borderId="0" numFmtId="0" applyNumberFormat="1" applyFont="1" applyFill="1" applyBorder="0" applyProtection="0">
      <alignment vertical="top"/>
    </xf>
  </cellStyleXfs>
  <cellXfs count="436">
    <xf fontId="0" fillId="0" borderId="0" numFmtId="0" xfId="0" applyProtection="0">
      <protection hidden="0" locked="1"/>
    </xf>
    <xf fontId="6" fillId="3" borderId="0" numFmtId="0" xfId="0" applyFont="1" applyFill="1" applyProtection="0">
      <protection hidden="0" locked="1"/>
    </xf>
    <xf fontId="6" fillId="3" borderId="0" numFmtId="0" xfId="0" applyFont="1" applyFill="1" applyAlignment="1" applyProtection="0">
      <alignment horizontal="center"/>
      <protection hidden="0" locked="1"/>
    </xf>
    <xf fontId="6" fillId="3" borderId="0" numFmtId="165" xfId="1" applyNumberFormat="1" applyFont="1" applyFill="1" applyProtection="1">
      <protection hidden="0" locked="1"/>
    </xf>
    <xf fontId="6" fillId="3" borderId="0" numFmtId="165" xfId="1" applyNumberFormat="1" applyFont="1" applyFill="1" applyAlignment="1" applyProtection="1">
      <alignment horizontal="center"/>
      <protection hidden="0" locked="1"/>
    </xf>
    <xf fontId="6" fillId="3" borderId="0" numFmtId="49" xfId="0" applyNumberFormat="1" applyFont="1" applyFill="1" applyProtection="0">
      <protection hidden="0" locked="1"/>
    </xf>
    <xf fontId="7" fillId="3" borderId="0" numFmtId="0" xfId="0" applyFont="1" applyFill="1" applyProtection="0">
      <protection hidden="0" locked="1"/>
    </xf>
    <xf fontId="8" fillId="0" borderId="0" numFmtId="0" xfId="0" applyFont="1" applyProtection="0">
      <protection hidden="0" locked="1"/>
    </xf>
    <xf fontId="9" fillId="3" borderId="0" numFmtId="0" xfId="0" applyFont="1" applyFill="1" applyAlignment="1" applyProtection="1">
      <alignment horizontal="left"/>
      <protection hidden="0" locked="0"/>
    </xf>
    <xf fontId="7" fillId="3" borderId="0" numFmtId="165" xfId="1" applyNumberFormat="1" applyFont="1" applyFill="1" applyAlignment="1" applyProtection="1">
      <alignment horizontal="center"/>
      <protection hidden="0" locked="1"/>
    </xf>
    <xf fontId="8" fillId="0" borderId="1" numFmtId="166" xfId="0" applyNumberFormat="1" applyFont="1" applyBorder="1" applyAlignment="1" applyProtection="0">
      <alignment horizontal="center" vertical="center" wrapText="1"/>
      <protection hidden="0" locked="1"/>
    </xf>
    <xf fontId="8" fillId="0" borderId="1" numFmtId="166" xfId="0" applyNumberFormat="1" applyFont="1" applyBorder="1" applyAlignment="1" applyProtection="0">
      <alignment horizontal="center" vertical="top" wrapText="1"/>
      <protection hidden="0" locked="1"/>
    </xf>
    <xf fontId="8" fillId="3" borderId="1" numFmtId="166" xfId="0" applyNumberFormat="1" applyFont="1" applyFill="1" applyBorder="1" applyAlignment="1" applyProtection="0">
      <alignment horizontal="center" vertical="top" wrapText="1"/>
      <protection hidden="0" locked="1"/>
    </xf>
    <xf fontId="8" fillId="0" borderId="1" numFmtId="49" xfId="0" applyNumberFormat="1" applyFont="1" applyBorder="1" applyAlignment="1" applyProtection="0">
      <alignment horizontal="center" vertical="center" wrapText="1"/>
      <protection hidden="0" locked="1"/>
    </xf>
    <xf fontId="8" fillId="0" borderId="1" numFmtId="49" xfId="0" applyNumberFormat="1" applyFont="1" applyBorder="1" applyAlignment="1" applyProtection="0">
      <alignment horizontal="center" wrapText="1"/>
      <protection hidden="0" locked="1"/>
    </xf>
    <xf fontId="8" fillId="3" borderId="1" numFmtId="49" xfId="0" applyNumberFormat="1" applyFont="1" applyFill="1" applyBorder="1" applyAlignment="1" applyProtection="0">
      <alignment horizontal="center" wrapText="1"/>
      <protection hidden="0" locked="1"/>
    </xf>
    <xf fontId="10" fillId="0" borderId="1" numFmtId="166" xfId="0" applyNumberFormat="1" applyFont="1" applyBorder="1" applyAlignment="1" applyProtection="0">
      <alignment vertical="top" wrapText="1"/>
      <protection hidden="0" locked="1"/>
    </xf>
    <xf fontId="10" fillId="0" borderId="1" numFmtId="49" xfId="0" applyNumberFormat="1" applyFont="1" applyBorder="1" applyAlignment="1" applyProtection="0">
      <alignment vertical="top" wrapText="1"/>
      <protection hidden="0" locked="1"/>
    </xf>
    <xf fontId="10" fillId="3" borderId="1" numFmtId="3" xfId="0" applyNumberFormat="1" applyFont="1" applyFill="1" applyBorder="1" applyAlignment="1" applyProtection="0">
      <alignment vertical="top" wrapText="1"/>
      <protection hidden="0" locked="1"/>
    </xf>
    <xf fontId="10" fillId="0" borderId="1" numFmtId="49" xfId="0" applyNumberFormat="1" applyFont="1" applyBorder="1" applyAlignment="1" applyProtection="0">
      <alignment horizontal="center" vertical="top" wrapText="1"/>
      <protection hidden="0" locked="1"/>
    </xf>
    <xf fontId="10" fillId="3" borderId="1" numFmtId="3" xfId="0" applyNumberFormat="1" applyFont="1" applyFill="1" applyBorder="1" applyAlignment="1" applyProtection="0">
      <alignment horizontal="right" vertical="top" wrapText="1"/>
      <protection hidden="0" locked="1"/>
    </xf>
    <xf fontId="8" fillId="0" borderId="1" numFmtId="166" xfId="0" applyNumberFormat="1" applyFont="1" applyBorder="1" applyAlignment="1" applyProtection="0">
      <alignment vertical="top" wrapText="1"/>
      <protection hidden="0" locked="1"/>
    </xf>
    <xf fontId="8" fillId="0" borderId="1" numFmtId="49" xfId="0" applyNumberFormat="1" applyFont="1" applyBorder="1" applyAlignment="1" applyProtection="0">
      <alignment horizontal="center" vertical="top" wrapText="1"/>
      <protection hidden="0" locked="1"/>
    </xf>
    <xf fontId="8" fillId="3" borderId="1" numFmtId="3" xfId="0" applyNumberFormat="1" applyFont="1" applyFill="1" applyBorder="1" applyAlignment="1" applyProtection="0">
      <alignment horizontal="right" vertical="top" wrapText="1"/>
      <protection hidden="0" locked="1"/>
    </xf>
    <xf fontId="6" fillId="3" borderId="1" numFmtId="3" xfId="1" applyNumberFormat="1" applyFont="1" applyFill="1" applyBorder="1" applyAlignment="1" applyProtection="1">
      <alignment horizontal="center" vertical="center" wrapText="1"/>
      <protection hidden="0" locked="1"/>
    </xf>
    <xf fontId="10" fillId="0" borderId="1" numFmtId="166" xfId="0" applyNumberFormat="1" applyFont="1" applyBorder="1" applyAlignment="1" applyProtection="0">
      <alignment horizontal="left" indent="1" vertical="top" wrapText="1"/>
      <protection hidden="0" locked="1"/>
    </xf>
    <xf fontId="6" fillId="3" borderId="1" numFmtId="166" xfId="0" applyNumberFormat="1" applyFont="1" applyFill="1" applyBorder="1" applyProtection="0">
      <protection hidden="0" locked="1"/>
    </xf>
    <xf fontId="6" fillId="3" borderId="1" numFmtId="3" xfId="1" applyNumberFormat="1" applyFont="1" applyFill="1" applyBorder="1" applyAlignment="1" applyProtection="1">
      <alignment horizontal="center"/>
      <protection hidden="0" locked="1"/>
    </xf>
    <xf fontId="8" fillId="3" borderId="1" numFmtId="3" xfId="0" applyNumberFormat="1" applyFont="1" applyFill="1" applyBorder="1" applyAlignment="1" applyProtection="0">
      <alignment horizontal="center" vertical="top" wrapText="1"/>
      <protection hidden="0" locked="1"/>
    </xf>
    <xf fontId="8" fillId="3" borderId="1" numFmtId="3" xfId="0" applyNumberFormat="1" applyFont="1" applyFill="1" applyBorder="1" applyAlignment="1" applyProtection="0">
      <alignment horizontal="center" wrapText="1"/>
      <protection hidden="0" locked="1"/>
    </xf>
    <xf fontId="6" fillId="3" borderId="1" numFmtId="3" xfId="0" applyNumberFormat="1" applyFont="1" applyFill="1" applyBorder="1" applyAlignment="1" applyProtection="0">
      <alignment horizontal="center"/>
      <protection hidden="0" locked="1"/>
    </xf>
    <xf fontId="6" fillId="3" borderId="0" numFmtId="166" xfId="0" applyNumberFormat="1" applyFont="1" applyFill="1" applyAlignment="1" applyProtection="0">
      <alignment vertical="center"/>
      <protection hidden="0" locked="1"/>
    </xf>
    <xf fontId="0" fillId="3" borderId="0" numFmtId="0" xfId="0" applyFill="1" applyProtection="0">
      <protection hidden="0" locked="1"/>
    </xf>
    <xf fontId="6" fillId="3" borderId="0" numFmtId="166" xfId="0" applyNumberFormat="1" applyFont="1" applyFill="1" applyAlignment="1" applyProtection="0">
      <alignment horizontal="center" vertical="center"/>
      <protection hidden="0" locked="1"/>
    </xf>
    <xf fontId="7" fillId="3" borderId="0" numFmtId="0" xfId="0" applyFont="1" applyFill="1" applyAlignment="1" applyProtection="0">
      <alignment vertical="center"/>
      <protection hidden="0" locked="1"/>
    </xf>
    <xf fontId="9" fillId="3" borderId="0" numFmtId="0" xfId="0" applyFont="1" applyFill="1" applyAlignment="1" applyProtection="1">
      <alignment horizontal="left" vertical="center"/>
      <protection hidden="0" locked="0"/>
    </xf>
    <xf fontId="11" fillId="3" borderId="0" numFmtId="166" xfId="0" applyNumberFormat="1" applyFont="1" applyFill="1" applyAlignment="1" applyProtection="0">
      <alignment vertical="center"/>
      <protection hidden="0" locked="1"/>
    </xf>
    <xf fontId="7" fillId="3" borderId="0" numFmtId="166" xfId="0" applyNumberFormat="1" applyFont="1" applyFill="1" applyAlignment="1" applyProtection="0">
      <alignment vertical="center"/>
      <protection hidden="0" locked="1"/>
    </xf>
    <xf fontId="9" fillId="3" borderId="0" numFmtId="166" xfId="0" applyNumberFormat="1" applyFont="1" applyFill="1" applyAlignment="1" applyProtection="1">
      <alignment horizontal="left" vertical="center"/>
      <protection hidden="0" locked="0"/>
    </xf>
    <xf fontId="7" fillId="3" borderId="1" numFmtId="166" xfId="0" applyNumberFormat="1" applyFont="1" applyFill="1" applyBorder="1" applyAlignment="1" applyProtection="0">
      <alignment vertical="center"/>
      <protection hidden="0" locked="1"/>
    </xf>
    <xf fontId="7" fillId="3" borderId="1" numFmtId="166" xfId="0" applyNumberFormat="1" applyFont="1" applyFill="1" applyBorder="1" applyAlignment="1" applyProtection="0">
      <alignment horizontal="center" vertical="center"/>
      <protection hidden="0" locked="1"/>
    </xf>
    <xf fontId="6" fillId="3" borderId="1" numFmtId="166" xfId="0" applyNumberFormat="1" applyFont="1" applyFill="1" applyBorder="1" applyAlignment="1" applyProtection="0">
      <alignment vertical="center"/>
      <protection hidden="0" locked="1"/>
    </xf>
    <xf fontId="6" fillId="3" borderId="1" numFmtId="166" xfId="1" applyNumberFormat="1" applyFont="1" applyFill="1" applyBorder="1" applyAlignment="1" applyProtection="1">
      <alignment vertical="center"/>
      <protection hidden="0" locked="1"/>
    </xf>
    <xf fontId="6" fillId="3" borderId="1" numFmtId="166" xfId="0" applyNumberFormat="1" applyFont="1" applyFill="1" applyBorder="1" applyAlignment="1" applyProtection="0">
      <alignment horizontal="left" vertical="center" wrapText="1"/>
      <protection hidden="0" locked="1"/>
    </xf>
    <xf fontId="10" fillId="0" borderId="1" numFmtId="166" xfId="1" applyNumberFormat="1" applyFont="1" applyBorder="1" applyAlignment="1" applyProtection="1">
      <alignment horizontal="center" vertical="center" wrapText="1"/>
      <protection hidden="0" locked="1"/>
    </xf>
    <xf fontId="6" fillId="3" borderId="1" numFmtId="166" xfId="0" applyNumberFormat="1" applyFont="1" applyFill="1" applyBorder="1" applyAlignment="1" applyProtection="0">
      <alignment vertical="center" wrapText="1"/>
      <protection hidden="0" locked="1"/>
    </xf>
    <xf fontId="7" fillId="3" borderId="1" numFmtId="166" xfId="0" applyNumberFormat="1" applyFont="1" applyFill="1" applyBorder="1" applyAlignment="1" applyProtection="0">
      <alignment vertical="center" wrapText="1"/>
      <protection hidden="0" locked="1"/>
    </xf>
    <xf fontId="8" fillId="0" borderId="1" numFmtId="166" xfId="1" applyNumberFormat="1" applyFont="1" applyBorder="1" applyAlignment="1" applyProtection="1">
      <alignment horizontal="center" vertical="center" wrapText="1"/>
      <protection hidden="0" locked="1"/>
    </xf>
    <xf fontId="6" fillId="3" borderId="0" numFmtId="167" xfId="0" applyNumberFormat="1" applyFont="1" applyFill="1" applyAlignment="1" applyProtection="0">
      <alignment vertical="center"/>
      <protection hidden="0" locked="1"/>
    </xf>
    <xf fontId="6" fillId="3" borderId="0" numFmtId="168" xfId="1" applyNumberFormat="1" applyFont="1" applyFill="1" applyAlignment="1" applyProtection="1">
      <alignment vertical="center"/>
      <protection hidden="0" locked="1"/>
    </xf>
    <xf fontId="6" fillId="3" borderId="1" numFmtId="166" xfId="0" applyNumberFormat="1" applyFont="1" applyFill="1" applyBorder="1" applyAlignment="1" applyProtection="0">
      <alignment horizontal="center" vertical="center"/>
      <protection hidden="0" locked="1"/>
    </xf>
    <xf fontId="10" fillId="0" borderId="1" numFmtId="166" xfId="1" applyNumberFormat="1" applyFont="1" applyBorder="1" applyAlignment="1" applyProtection="1">
      <alignment horizontal="right" vertical="center" wrapText="1"/>
      <protection hidden="0" locked="1"/>
    </xf>
    <xf fontId="7" fillId="3" borderId="1" numFmtId="166" xfId="1" applyNumberFormat="1" applyFont="1" applyFill="1" applyBorder="1" applyAlignment="1" applyProtection="1">
      <alignment vertical="center"/>
      <protection hidden="0" locked="1"/>
    </xf>
    <xf fontId="6" fillId="3" borderId="0" numFmtId="169" xfId="0" applyNumberFormat="1" applyFont="1" applyFill="1" applyAlignment="1" applyProtection="0">
      <alignment vertical="center"/>
      <protection hidden="0" locked="1"/>
    </xf>
    <xf fontId="7" fillId="3" borderId="1" numFmtId="166" xfId="1" applyNumberFormat="1" applyFont="1" applyFill="1" applyBorder="1" applyAlignment="1" applyProtection="1">
      <alignment horizontal="center" vertical="center" wrapText="1"/>
      <protection hidden="0" locked="1"/>
    </xf>
    <xf fontId="6" fillId="3" borderId="2" numFmtId="166" xfId="0" applyNumberFormat="1" applyFont="1" applyFill="1" applyBorder="1" applyAlignment="1" applyProtection="0">
      <alignment vertical="center" wrapText="1"/>
      <protection hidden="0" locked="1"/>
    </xf>
    <xf fontId="6" fillId="3" borderId="2" numFmtId="166" xfId="0" applyNumberFormat="1" applyFont="1" applyFill="1" applyBorder="1" applyAlignment="1" applyProtection="0">
      <alignment horizontal="center" vertical="center"/>
      <protection hidden="0" locked="1"/>
    </xf>
    <xf fontId="10" fillId="0" borderId="2" numFmtId="166" xfId="1" applyNumberFormat="1" applyFont="1" applyBorder="1" applyAlignment="1" applyProtection="1">
      <alignment horizontal="center" vertical="center" wrapText="1"/>
      <protection hidden="0" locked="1"/>
    </xf>
    <xf fontId="10" fillId="0" borderId="1" numFmtId="166" xfId="0" applyNumberFormat="1" applyFont="1" applyBorder="1" applyAlignment="1" applyProtection="0">
      <alignment horizontal="right" vertical="center" wrapText="1"/>
      <protection hidden="0" locked="1"/>
    </xf>
    <xf fontId="6" fillId="3" borderId="1" numFmtId="170" xfId="1" applyNumberFormat="1" applyFont="1" applyFill="1" applyBorder="1" applyAlignment="1" applyProtection="1">
      <alignment horizontal="center" vertical="center"/>
      <protection hidden="0" locked="1"/>
    </xf>
    <xf fontId="12" fillId="3" borderId="0" numFmtId="166" xfId="12" applyNumberFormat="1" applyFont="1" applyFill="1" applyAlignment="1" applyProtection="0">
      <alignment vertical="center"/>
      <protection hidden="0" locked="1"/>
    </xf>
    <xf fontId="6" fillId="3" borderId="1" numFmtId="165" xfId="1" applyNumberFormat="1" applyFont="1" applyFill="1" applyBorder="1" applyAlignment="1" applyProtection="1">
      <alignment vertical="center"/>
      <protection hidden="0" locked="1"/>
    </xf>
    <xf fontId="6" fillId="3" borderId="1" numFmtId="171" xfId="1" applyNumberFormat="1" applyFont="1" applyFill="1" applyBorder="1" applyAlignment="1" applyProtection="1">
      <alignment vertical="center"/>
      <protection hidden="0" locked="1"/>
    </xf>
    <xf fontId="6" fillId="3" borderId="1" numFmtId="170" xfId="1" applyNumberFormat="1" applyFont="1" applyFill="1" applyBorder="1" applyAlignment="1" applyProtection="1">
      <alignment vertical="center"/>
      <protection hidden="0" locked="1"/>
    </xf>
    <xf fontId="6" fillId="3" borderId="0" numFmtId="166" xfId="0" applyNumberFormat="1" applyFont="1" applyFill="1" applyProtection="0">
      <protection hidden="0" locked="1"/>
    </xf>
    <xf fontId="6" fillId="3" borderId="0" numFmtId="166" xfId="0" applyNumberFormat="1" applyFont="1" applyFill="1" applyAlignment="1" applyProtection="0">
      <alignment horizontal="center"/>
      <protection hidden="0" locked="1"/>
    </xf>
    <xf fontId="7" fillId="3" borderId="0" numFmtId="166" xfId="0" applyNumberFormat="1" applyFont="1" applyFill="1" applyProtection="0">
      <protection hidden="0" locked="1"/>
    </xf>
    <xf fontId="6" fillId="3" borderId="0" numFmtId="166" xfId="0" applyNumberFormat="1" applyFont="1" applyFill="1" applyAlignment="1" applyProtection="0">
      <alignment horizontal="left"/>
      <protection hidden="0" locked="1"/>
    </xf>
    <xf fontId="7" fillId="3" borderId="0" numFmtId="166" xfId="0" applyNumberFormat="1" applyFont="1" applyFill="1" applyAlignment="1" applyProtection="0">
      <alignment horizontal="center"/>
      <protection hidden="0" locked="1"/>
    </xf>
    <xf fontId="6" fillId="3" borderId="1" numFmtId="166" xfId="0" applyNumberFormat="1" applyFont="1" applyFill="1" applyBorder="1" applyAlignment="1" applyProtection="0">
      <alignment horizontal="center" shrinkToFit="1" vertical="center" wrapText="1"/>
      <protection hidden="0" locked="1"/>
    </xf>
    <xf fontId="7" fillId="3" borderId="0" numFmtId="166" xfId="0" applyNumberFormat="1" applyFont="1" applyFill="1" applyAlignment="1" applyProtection="0">
      <alignment vertical="center" wrapText="1"/>
      <protection hidden="0" locked="1"/>
    </xf>
    <xf fontId="7" fillId="3" borderId="1" numFmtId="166" xfId="0" applyNumberFormat="1" applyFont="1" applyFill="1" applyBorder="1" applyAlignment="1" applyProtection="0">
      <alignment horizontal="center" vertical="center" wrapText="1"/>
      <protection hidden="0" locked="1"/>
    </xf>
    <xf fontId="6" fillId="3" borderId="0" numFmtId="166" xfId="0" applyNumberFormat="1" applyFont="1" applyFill="1" applyAlignment="1" applyProtection="0">
      <alignment vertical="center" wrapText="1"/>
      <protection hidden="0" locked="1"/>
    </xf>
    <xf fontId="13" fillId="3" borderId="1" numFmtId="166" xfId="0" applyNumberFormat="1" applyFont="1" applyFill="1" applyBorder="1" applyAlignment="1" applyProtection="0">
      <alignment horizontal="center" vertical="center" wrapText="1"/>
      <protection hidden="0" locked="1"/>
    </xf>
    <xf fontId="6" fillId="3" borderId="1" numFmtId="166" xfId="0" applyNumberFormat="1" applyFont="1" applyFill="1" applyBorder="1" applyAlignment="1" applyProtection="0">
      <alignment horizontal="center" vertical="center" wrapText="1"/>
      <protection hidden="0" locked="1"/>
    </xf>
    <xf fontId="6" fillId="3" borderId="1" numFmtId="166" xfId="1" applyNumberFormat="1" applyFont="1" applyFill="1" applyBorder="1" applyAlignment="1" applyProtection="1">
      <alignment horizontal="center" vertical="center" wrapText="1"/>
      <protection hidden="0" locked="1"/>
    </xf>
    <xf fontId="7" fillId="3" borderId="1" numFmtId="166" xfId="0" applyNumberFormat="1" applyFont="1" applyFill="1" applyBorder="1" applyAlignment="1" applyProtection="0">
      <alignment horizontal="left" vertical="center" wrapText="1"/>
      <protection hidden="0" locked="1"/>
    </xf>
    <xf fontId="7" fillId="3" borderId="0" numFmtId="166" xfId="0" applyNumberFormat="1" applyFont="1" applyFill="1" applyAlignment="1" applyProtection="0">
      <alignment wrapText="1"/>
      <protection hidden="0" locked="1"/>
    </xf>
    <xf fontId="6" fillId="3" borderId="0" numFmtId="166" xfId="0" applyNumberFormat="1" applyFont="1" applyFill="1" applyAlignment="1" applyProtection="0">
      <alignment wrapText="1"/>
      <protection hidden="0" locked="1"/>
    </xf>
    <xf fontId="6" fillId="3" borderId="1" numFmtId="166" xfId="0" applyNumberFormat="1" applyFont="1" applyFill="1" applyBorder="1" applyAlignment="1" applyProtection="0">
      <alignment wrapText="1"/>
      <protection hidden="0" locked="1"/>
    </xf>
    <xf fontId="6" fillId="3" borderId="1" numFmtId="166" xfId="1" applyNumberFormat="1" applyFont="1" applyFill="1" applyBorder="1" applyAlignment="1" applyProtection="1">
      <alignment horizontal="center" wrapText="1"/>
      <protection hidden="0" locked="1"/>
    </xf>
    <xf fontId="10" fillId="0" borderId="1" numFmtId="166" xfId="0" applyNumberFormat="1" applyFont="1" applyBorder="1" applyAlignment="1" applyProtection="0">
      <alignment horizontal="center" wrapText="1"/>
      <protection hidden="0" locked="1"/>
    </xf>
    <xf fontId="6" fillId="3" borderId="1" numFmtId="166" xfId="0" applyNumberFormat="1" applyFont="1" applyFill="1" applyBorder="1" applyAlignment="1" applyProtection="0">
      <alignment horizontal="center" wrapText="1"/>
      <protection hidden="0" locked="1"/>
    </xf>
    <xf fontId="6" fillId="3" borderId="1" numFmtId="166" xfId="1" applyNumberFormat="1" applyFont="1" applyFill="1" applyBorder="1" applyAlignment="1" applyProtection="1">
      <alignment wrapText="1"/>
      <protection hidden="0" locked="1"/>
    </xf>
    <xf fontId="7" fillId="3" borderId="1" numFmtId="166" xfId="0" applyNumberFormat="1" applyFont="1" applyFill="1" applyBorder="1" applyAlignment="1" applyProtection="0">
      <alignment wrapText="1"/>
      <protection hidden="0" locked="1"/>
    </xf>
    <xf fontId="7" fillId="3" borderId="1" numFmtId="166" xfId="1" applyNumberFormat="1" applyFont="1" applyFill="1" applyBorder="1" applyAlignment="1" applyProtection="1">
      <alignment horizontal="center" wrapText="1"/>
      <protection hidden="0" locked="1"/>
    </xf>
    <xf fontId="7" fillId="3" borderId="0" numFmtId="169" xfId="0" applyNumberFormat="1" applyFont="1" applyFill="1" applyAlignment="1" applyProtection="0">
      <alignment wrapText="1"/>
      <protection hidden="0" locked="1"/>
    </xf>
    <xf fontId="6" fillId="3" borderId="0" numFmtId="169" xfId="0" applyNumberFormat="1" applyFont="1" applyFill="1" applyAlignment="1" applyProtection="0">
      <alignment wrapText="1"/>
      <protection hidden="0" locked="1"/>
    </xf>
    <xf fontId="7" fillId="3" borderId="1" numFmtId="166" xfId="0" applyNumberFormat="1" applyFont="1" applyFill="1" applyBorder="1" applyAlignment="1" applyProtection="0">
      <alignment horizontal="center" wrapText="1"/>
      <protection hidden="0" locked="1"/>
    </xf>
    <xf fontId="7" fillId="3" borderId="0" numFmtId="166" xfId="0" applyNumberFormat="1" applyFont="1" applyFill="1" applyAlignment="1" applyProtection="0">
      <alignment horizontal="center" wrapText="1"/>
      <protection hidden="0" locked="1"/>
    </xf>
    <xf fontId="7" fillId="3" borderId="0" numFmtId="166" xfId="1" applyNumberFormat="1" applyFont="1" applyFill="1" applyAlignment="1" applyProtection="1">
      <alignment horizontal="center" wrapText="1"/>
      <protection hidden="0" locked="1"/>
    </xf>
    <xf fontId="6" fillId="3" borderId="0" numFmtId="166" xfId="0" applyNumberFormat="1" applyFont="1" applyFill="1" applyAlignment="1" applyProtection="0">
      <alignment horizontal="center" wrapText="1"/>
      <protection hidden="0" locked="1"/>
    </xf>
    <xf fontId="6" fillId="3" borderId="0" numFmtId="166" xfId="1" applyNumberFormat="1" applyFont="1" applyFill="1" applyAlignment="1" applyProtection="1">
      <alignment horizontal="center" wrapText="1"/>
      <protection hidden="0" locked="1"/>
    </xf>
    <xf fontId="6" fillId="3" borderId="0" numFmtId="166" xfId="1" applyNumberFormat="1" applyFont="1" applyFill="1" applyAlignment="1" applyProtection="1">
      <alignment wrapText="1"/>
      <protection hidden="0" locked="1"/>
    </xf>
    <xf fontId="10" fillId="0" borderId="1" numFmtId="0" xfId="0" applyFont="1" applyBorder="1" applyAlignment="1" applyProtection="0">
      <alignment horizontal="center" vertical="top" wrapText="1"/>
      <protection hidden="0" locked="1"/>
    </xf>
    <xf fontId="10" fillId="0" borderId="1" numFmtId="3" xfId="0" applyNumberFormat="1" applyFont="1" applyBorder="1" applyAlignment="1" applyProtection="0">
      <alignment horizontal="center" vertical="top" wrapText="1"/>
      <protection hidden="0" locked="1"/>
    </xf>
    <xf fontId="7" fillId="3" borderId="1" numFmtId="166" xfId="1" applyNumberFormat="1" applyFont="1" applyFill="1" applyBorder="1" applyAlignment="1" applyProtection="1">
      <alignment wrapText="1"/>
      <protection hidden="0" locked="1"/>
    </xf>
    <xf fontId="10" fillId="3" borderId="0" numFmtId="0" xfId="0" applyFont="1" applyFill="1" applyAlignment="1" applyProtection="0">
      <alignment vertical="top" wrapText="1"/>
      <protection hidden="0" locked="1"/>
    </xf>
    <xf fontId="10" fillId="3" borderId="1" numFmtId="166" xfId="1" applyNumberFormat="1" applyFont="1" applyFill="1" applyBorder="1" applyAlignment="1" applyProtection="1">
      <alignment horizontal="center" vertical="center" wrapText="1"/>
      <protection hidden="0" locked="1"/>
    </xf>
    <xf fontId="8" fillId="3" borderId="1" numFmtId="166" xfId="1" applyNumberFormat="1" applyFont="1" applyFill="1" applyBorder="1" applyAlignment="1" applyProtection="1">
      <alignment horizontal="center" vertical="center" wrapText="1"/>
      <protection hidden="0" locked="1"/>
    </xf>
    <xf fontId="14" fillId="3" borderId="0" numFmtId="166" xfId="0" applyNumberFormat="1" applyFont="1" applyFill="1" applyProtection="0">
      <protection hidden="0" locked="1"/>
    </xf>
    <xf fontId="6" fillId="3" borderId="0" numFmtId="166" xfId="1" applyNumberFormat="1" applyFont="1" applyFill="1" applyAlignment="1" applyProtection="1">
      <alignment horizontal="center" vertical="center"/>
      <protection hidden="0" locked="1"/>
    </xf>
    <xf fontId="6" fillId="3" borderId="0" numFmtId="166" xfId="1" applyNumberFormat="1" applyFont="1" applyFill="1" applyAlignment="1" applyProtection="1">
      <alignment horizontal="left" vertical="center"/>
      <protection hidden="0" locked="1"/>
    </xf>
    <xf fontId="15" fillId="4" borderId="3" numFmtId="166" xfId="17" applyNumberFormat="1" applyFont="1" applyFill="1" applyBorder="1" applyAlignment="1" applyProtection="1">
      <alignment horizontal="left" vertical="center"/>
      <protection hidden="0" locked="1"/>
    </xf>
    <xf fontId="7" fillId="3" borderId="0" numFmtId="166" xfId="1" applyNumberFormat="1" applyFont="1" applyFill="1" applyAlignment="1" applyProtection="1">
      <alignment horizontal="left" vertical="center"/>
      <protection hidden="0" locked="1"/>
    </xf>
    <xf fontId="16" fillId="3" borderId="0" numFmtId="166" xfId="1" applyNumberFormat="1" applyFont="1" applyFill="1" applyAlignment="1" applyProtection="1">
      <alignment horizontal="center" vertical="center"/>
      <protection hidden="0" locked="1"/>
    </xf>
    <xf fontId="7" fillId="3" borderId="0" numFmtId="166" xfId="0" applyNumberFormat="1" applyFont="1" applyFill="1" applyAlignment="1" applyProtection="0">
      <alignment horizontal="left" vertical="center"/>
      <protection hidden="0" locked="1"/>
    </xf>
    <xf fontId="9" fillId="3" borderId="0" numFmtId="166" xfId="0" applyNumberFormat="1" applyFont="1" applyFill="1" applyAlignment="1" applyProtection="1">
      <alignment horizontal="center" vertical="center"/>
      <protection hidden="0" locked="0"/>
    </xf>
    <xf fontId="8" fillId="0" borderId="0" numFmtId="0" xfId="0" applyFont="1" applyAlignment="1" applyProtection="0">
      <alignment vertical="center"/>
      <protection hidden="0" locked="1"/>
    </xf>
    <xf fontId="7" fillId="3" borderId="0" numFmtId="166" xfId="1" applyNumberFormat="1" applyFont="1" applyFill="1" applyAlignment="1" applyProtection="1">
      <alignment horizontal="center" vertical="center"/>
      <protection hidden="0" locked="1"/>
    </xf>
    <xf fontId="7" fillId="3" borderId="1" numFmtId="166" xfId="1" applyNumberFormat="1" applyFont="1" applyFill="1" applyBorder="1" applyAlignment="1" applyProtection="1">
      <alignment vertical="center" wrapText="1"/>
      <protection hidden="0" locked="1"/>
    </xf>
    <xf fontId="6" fillId="3" borderId="1" numFmtId="166" xfId="1" applyNumberFormat="1" applyFont="1" applyFill="1" applyBorder="1" applyAlignment="1" applyProtection="1">
      <alignment horizontal="center" shrinkToFit="1" vertical="center" wrapText="1"/>
      <protection hidden="0" locked="1"/>
    </xf>
    <xf fontId="6" fillId="3" borderId="1" numFmtId="166" xfId="1" applyNumberFormat="1" applyFont="1" applyFill="1" applyBorder="1" applyAlignment="1" applyProtection="1">
      <alignment horizontal="left" vertical="center" wrapText="1"/>
      <protection hidden="0" locked="1"/>
    </xf>
    <xf fontId="6" fillId="3" borderId="1" numFmtId="166" xfId="1" applyNumberFormat="1" applyFont="1" applyFill="1" applyBorder="1" applyAlignment="1" applyProtection="1">
      <alignment shrinkToFit="1" vertical="center" wrapText="1"/>
      <protection hidden="0" locked="1"/>
    </xf>
    <xf fontId="6" fillId="3" borderId="0" numFmtId="166" xfId="1" applyNumberFormat="1" applyFont="1" applyFill="1" applyAlignment="1" applyProtection="1">
      <alignment horizontal="left" vertical="center" wrapText="1"/>
      <protection hidden="0" locked="1"/>
    </xf>
    <xf fontId="9" fillId="3" borderId="0" numFmtId="166" xfId="1" applyNumberFormat="1" applyFont="1" applyFill="1" applyAlignment="1" applyProtection="1">
      <alignment horizontal="center" vertical="center"/>
      <protection hidden="0" locked="1"/>
    </xf>
    <xf fontId="17" fillId="3" borderId="0" numFmtId="166" xfId="1" applyNumberFormat="1" applyFont="1" applyFill="1" applyAlignment="1" applyProtection="1">
      <alignment horizontal="center" vertical="center"/>
      <protection hidden="0" locked="1"/>
    </xf>
    <xf fontId="6" fillId="3" borderId="0" numFmtId="166" xfId="1" applyNumberFormat="1" applyFont="1" applyFill="1" applyAlignment="1" applyProtection="1">
      <alignment horizontal="center" vertical="center" wrapText="1"/>
      <protection hidden="0" locked="1"/>
    </xf>
    <xf fontId="9" fillId="3" borderId="0" numFmtId="166" xfId="1" applyNumberFormat="1" applyFont="1" applyFill="1" applyAlignment="1" applyProtection="1">
      <alignment horizontal="center" vertical="center" wrapText="1"/>
      <protection hidden="0" locked="1"/>
    </xf>
    <xf fontId="7" fillId="3" borderId="0" numFmtId="166" xfId="1" applyNumberFormat="1" applyFont="1" applyFill="1" applyAlignment="1" applyProtection="1">
      <alignment horizontal="center" vertical="center" wrapText="1"/>
      <protection hidden="0" locked="1"/>
    </xf>
    <xf fontId="8" fillId="3" borderId="0" numFmtId="0" xfId="0" applyFont="1" applyFill="1" applyAlignment="1" applyProtection="0">
      <alignment vertical="center"/>
      <protection hidden="0" locked="1"/>
    </xf>
    <xf fontId="6" fillId="3" borderId="4" numFmtId="166" xfId="1" applyNumberFormat="1" applyFont="1" applyFill="1" applyBorder="1" applyAlignment="1" applyProtection="1">
      <alignment horizontal="center" vertical="center" wrapText="1"/>
      <protection hidden="0" locked="1"/>
    </xf>
    <xf fontId="6" fillId="3" borderId="1" numFmtId="166" xfId="1" applyNumberFormat="1" applyFont="1" applyFill="1" applyBorder="1" applyAlignment="1" applyProtection="1">
      <alignment horizontal="center" vertical="center"/>
      <protection hidden="0" locked="1"/>
    </xf>
    <xf fontId="6" fillId="3" borderId="2" numFmtId="166" xfId="1" applyNumberFormat="1" applyFont="1" applyFill="1" applyBorder="1" applyAlignment="1" applyProtection="1">
      <alignment horizontal="center" vertical="center" wrapText="1"/>
      <protection hidden="0" locked="1"/>
    </xf>
    <xf fontId="6" fillId="3" borderId="2" numFmtId="166" xfId="1" applyNumberFormat="1" applyFont="1" applyFill="1" applyBorder="1" applyAlignment="1" applyProtection="1">
      <alignment shrinkToFit="1" vertical="center" wrapText="1"/>
      <protection hidden="0" locked="1"/>
    </xf>
    <xf fontId="6" fillId="3" borderId="2" numFmtId="166" xfId="1" applyNumberFormat="1" applyFont="1" applyFill="1" applyBorder="1" applyAlignment="1" applyProtection="1">
      <alignment vertical="center" wrapText="1"/>
      <protection hidden="0" locked="1"/>
    </xf>
    <xf fontId="6" fillId="3" borderId="4" numFmtId="166" xfId="1" applyNumberFormat="1" applyFont="1" applyFill="1" applyBorder="1" applyAlignment="1" applyProtection="1">
      <alignment vertical="center" wrapText="1"/>
      <protection hidden="0" locked="1"/>
    </xf>
    <xf fontId="6" fillId="3" borderId="1" numFmtId="166" xfId="1" applyNumberFormat="1" applyFont="1" applyFill="1" applyBorder="1" applyAlignment="1" applyProtection="1">
      <alignment horizontal="left" vertical="center" wrapText="1"/>
      <protection hidden="1" locked="1"/>
    </xf>
    <xf fontId="6" fillId="3" borderId="5" numFmtId="166" xfId="1" applyNumberFormat="1" applyFont="1" applyFill="1" applyBorder="1" applyAlignment="1" applyProtection="1">
      <alignment horizontal="center" vertical="center" wrapText="1"/>
      <protection hidden="0" locked="1"/>
    </xf>
    <xf fontId="6" fillId="3" borderId="0" numFmtId="166" xfId="1" applyNumberFormat="1" applyFont="1" applyFill="1" applyAlignment="1" applyProtection="1">
      <alignment horizontal="center" vertical="center"/>
      <protection hidden="0" locked="0"/>
    </xf>
    <xf fontId="7" fillId="3" borderId="1" numFmtId="166" xfId="1" applyNumberFormat="1" applyFont="1" applyFill="1" applyBorder="1" applyAlignment="1" applyProtection="1">
      <alignment horizontal="left" vertical="center"/>
      <protection hidden="0" locked="1"/>
    </xf>
    <xf fontId="7" fillId="3" borderId="1" numFmtId="166" xfId="1" applyNumberFormat="1" applyFont="1" applyFill="1" applyBorder="1" applyAlignment="1" applyProtection="1">
      <alignment horizontal="center" vertical="center"/>
      <protection hidden="0" locked="1"/>
    </xf>
    <xf fontId="7" fillId="3" borderId="1" numFmtId="166" xfId="1" applyNumberFormat="1" applyFont="1" applyFill="1" applyBorder="1" applyAlignment="1" applyProtection="1">
      <alignment horizontal="center" shrinkToFit="1" vertical="center" wrapText="1"/>
      <protection hidden="0" locked="1"/>
    </xf>
    <xf fontId="6" fillId="3" borderId="1" numFmtId="166" xfId="1" applyNumberFormat="1" applyFont="1" applyFill="1" applyBorder="1" applyAlignment="1" applyProtection="1">
      <alignment horizontal="center" vertical="center" wrapText="1"/>
      <protection hidden="1" locked="1"/>
    </xf>
    <xf fontId="10" fillId="0" borderId="1" numFmtId="166" xfId="0" applyNumberFormat="1" applyFont="1" applyBorder="1" applyAlignment="1" applyProtection="0">
      <alignment horizontal="center" vertical="center" wrapText="1"/>
      <protection hidden="0" locked="1"/>
    </xf>
    <xf fontId="6" fillId="3" borderId="1" numFmtId="166" xfId="1" applyNumberFormat="1" applyFont="1" applyFill="1" applyBorder="1" applyAlignment="1" applyProtection="1">
      <alignment horizontal="center" vertical="center"/>
      <protection hidden="0" locked="0"/>
    </xf>
    <xf fontId="11" fillId="3" borderId="1" numFmtId="166" xfId="1" applyNumberFormat="1" applyFont="1" applyFill="1" applyBorder="1" applyAlignment="1" applyProtection="1">
      <alignment horizontal="center" vertical="center"/>
      <protection hidden="0" locked="0"/>
    </xf>
    <xf fontId="6" fillId="3" borderId="0" numFmtId="166" xfId="1" applyNumberFormat="1" applyFont="1" applyFill="1" applyAlignment="1" applyProtection="1">
      <alignment horizontal="center" vertical="center" wrapText="1"/>
      <protection hidden="0" locked="0"/>
    </xf>
    <xf fontId="8" fillId="0" borderId="1" numFmtId="0" xfId="0" applyFont="1" applyBorder="1" applyAlignment="1" applyProtection="0">
      <alignment horizontal="center" vertical="center" wrapText="1"/>
      <protection hidden="0" locked="1"/>
    </xf>
    <xf fontId="8" fillId="3" borderId="1" numFmtId="0" xfId="0" applyFont="1" applyFill="1" applyBorder="1" applyAlignment="1" applyProtection="0">
      <alignment horizontal="center" vertical="center" wrapText="1"/>
      <protection hidden="0" locked="1"/>
    </xf>
    <xf fontId="10" fillId="0" borderId="1" numFmtId="0" xfId="0" applyFont="1" applyBorder="1" applyAlignment="1" applyProtection="0">
      <alignment vertical="top" wrapText="1"/>
      <protection hidden="0" locked="1"/>
    </xf>
    <xf fontId="10" fillId="3" borderId="1" numFmtId="0" xfId="0" applyFont="1" applyFill="1" applyBorder="1" applyAlignment="1" applyProtection="0">
      <alignment horizontal="right" vertical="top" wrapText="1"/>
      <protection hidden="0" locked="1"/>
    </xf>
    <xf fontId="6" fillId="3" borderId="1" numFmtId="166" xfId="1" applyNumberFormat="1" applyFont="1" applyFill="1" applyBorder="1" applyAlignment="1" applyProtection="1">
      <alignment horizontal="left" vertical="center"/>
      <protection hidden="0" locked="1"/>
    </xf>
    <xf fontId="10" fillId="0" borderId="1" numFmtId="166" xfId="1" applyNumberFormat="1" applyFont="1" applyBorder="1" applyAlignment="1" applyProtection="1">
      <alignment horizontal="center" vertical="center"/>
      <protection hidden="0" locked="1"/>
    </xf>
    <xf fontId="6" fillId="3" borderId="0" numFmtId="166" xfId="1" applyNumberFormat="1" applyFont="1" applyFill="1" applyAlignment="1" applyProtection="1">
      <alignment horizontal="left" vertical="center" wrapText="1"/>
      <protection hidden="1" locked="1"/>
    </xf>
    <xf fontId="6" fillId="3" borderId="0" numFmtId="166" xfId="1" applyNumberFormat="1" applyFont="1" applyFill="1" applyAlignment="1" applyProtection="1">
      <alignment horizontal="center" vertical="center" wrapText="1"/>
      <protection hidden="1" locked="1"/>
    </xf>
    <xf fontId="6" fillId="3" borderId="1" numFmtId="164" xfId="1" applyNumberFormat="1" applyFont="1" applyFill="1" applyBorder="1" applyAlignment="1" applyProtection="1">
      <alignment horizontal="center" vertical="center" wrapText="1"/>
      <protection hidden="0" locked="1"/>
    </xf>
    <xf fontId="6" fillId="3" borderId="6" numFmtId="166" xfId="0" applyNumberFormat="1" applyFont="1" applyFill="1" applyBorder="1" applyAlignment="1" applyProtection="0">
      <alignment horizontal="left" vertical="center" wrapText="1"/>
      <protection hidden="0" locked="1"/>
    </xf>
    <xf fontId="6" fillId="3" borderId="1" numFmtId="172" xfId="1" applyNumberFormat="1" applyFont="1" applyFill="1" applyBorder="1" applyAlignment="1" applyProtection="1">
      <alignment horizontal="center" vertical="center" wrapText="1"/>
      <protection hidden="0" locked="1"/>
    </xf>
    <xf fontId="8" fillId="3" borderId="1" numFmtId="49" xfId="0" applyNumberFormat="1" applyFont="1" applyFill="1" applyBorder="1" applyAlignment="1" applyProtection="0">
      <alignment horizontal="center" vertical="top" wrapText="1"/>
      <protection hidden="0" locked="1"/>
    </xf>
    <xf fontId="10" fillId="3" borderId="1" numFmtId="166" xfId="0" applyNumberFormat="1" applyFont="1" applyFill="1" applyBorder="1" applyAlignment="1" applyProtection="0">
      <alignment vertical="top" wrapText="1"/>
      <protection hidden="0" locked="1"/>
    </xf>
    <xf fontId="10" fillId="3" borderId="1" numFmtId="166" xfId="0" applyNumberFormat="1" applyFont="1" applyFill="1" applyBorder="1" applyAlignment="1" applyProtection="0">
      <alignment horizontal="right" vertical="top" wrapText="1"/>
      <protection hidden="0" locked="1"/>
    </xf>
    <xf fontId="8" fillId="3" borderId="1" numFmtId="166" xfId="0" applyNumberFormat="1" applyFont="1" applyFill="1" applyBorder="1" applyAlignment="1" applyProtection="0">
      <alignment horizontal="right" vertical="top" wrapText="1"/>
      <protection hidden="0" locked="1"/>
    </xf>
    <xf fontId="6" fillId="3" borderId="1" numFmtId="166" xfId="1" applyNumberFormat="1" applyFont="1" applyFill="1" applyBorder="1" applyAlignment="1" applyProtection="1">
      <alignment horizontal="center"/>
      <protection hidden="0" locked="1"/>
    </xf>
    <xf fontId="7" fillId="3" borderId="0" numFmtId="0" xfId="0" applyFont="1" applyFill="1" applyAlignment="1" applyProtection="0">
      <alignment horizontal="center" vertical="center"/>
      <protection hidden="0" locked="1"/>
    </xf>
    <xf fontId="8" fillId="3" borderId="1" numFmtId="166" xfId="0" applyNumberFormat="1" applyFont="1" applyFill="1" applyBorder="1" applyAlignment="1" applyProtection="0">
      <alignment horizontal="center" vertical="center" wrapText="1"/>
      <protection hidden="0" locked="1"/>
    </xf>
    <xf fontId="8" fillId="3" borderId="1" numFmtId="49" xfId="0" applyNumberFormat="1" applyFont="1" applyFill="1" applyBorder="1" applyAlignment="1" applyProtection="0">
      <alignment horizontal="center" vertical="center" wrapText="1"/>
      <protection hidden="0" locked="1"/>
    </xf>
    <xf fontId="6" fillId="0" borderId="0" numFmtId="0" xfId="0" applyFont="1" applyProtection="0">
      <protection hidden="0" locked="1"/>
    </xf>
    <xf fontId="6" fillId="0" borderId="0" numFmtId="0" xfId="0" applyFont="1" applyAlignment="1" applyProtection="0">
      <alignment horizontal="center"/>
      <protection hidden="0" locked="1"/>
    </xf>
    <xf fontId="6" fillId="0" borderId="0" numFmtId="165" xfId="1" applyNumberFormat="1" applyFont="1" applyAlignment="1" applyProtection="1">
      <alignment horizontal="center"/>
      <protection hidden="0" locked="1"/>
    </xf>
    <xf fontId="0" fillId="0" borderId="0" numFmtId="3" xfId="0" applyNumberFormat="1" applyProtection="0">
      <protection hidden="0" locked="1"/>
    </xf>
    <xf fontId="4" fillId="0" borderId="0" numFmtId="0" xfId="8" applyFont="1" applyProtection="0">
      <protection hidden="0" locked="1"/>
    </xf>
    <xf fontId="18" fillId="0" borderId="0" numFmtId="0" xfId="8" applyFont="1" applyProtection="0">
      <protection hidden="0" locked="1"/>
    </xf>
    <xf fontId="18" fillId="5" borderId="1" numFmtId="0" xfId="8" applyFont="1" applyFill="1" applyBorder="1" applyAlignment="1" applyProtection="0">
      <alignment horizontal="center" vertical="center"/>
      <protection hidden="0" locked="1"/>
    </xf>
    <xf fontId="0" fillId="0" borderId="1" numFmtId="0" xfId="0" applyBorder="1" applyAlignment="1" applyProtection="0">
      <alignment vertical="center" wrapText="1"/>
      <protection hidden="0" locked="1"/>
    </xf>
    <xf fontId="4" fillId="0" borderId="1" numFmtId="0" xfId="8" applyFont="1" applyBorder="1" applyProtection="0">
      <protection hidden="0" locked="1"/>
    </xf>
    <xf fontId="18" fillId="5" borderId="1" numFmtId="0" xfId="8" applyFont="1" applyFill="1" applyBorder="1" applyAlignment="1" applyProtection="0">
      <alignment horizontal="center"/>
      <protection hidden="0" locked="1"/>
    </xf>
    <xf fontId="19" fillId="0" borderId="0" numFmtId="0" xfId="0" applyFont="1" applyAlignment="1" applyProtection="0">
      <alignment horizontal="center" wrapText="1"/>
      <protection hidden="0" locked="1"/>
    </xf>
    <xf fontId="7" fillId="6" borderId="1" numFmtId="166" xfId="13" applyNumberFormat="1" applyFont="1" applyFill="1" applyBorder="1" applyAlignment="1" applyProtection="1">
      <alignment horizontal="center" vertical="center" wrapText="1"/>
      <protection hidden="0" locked="1"/>
    </xf>
    <xf fontId="6" fillId="6" borderId="1" numFmtId="166" xfId="13" applyNumberFormat="1" applyFont="1" applyFill="1" applyBorder="1" applyProtection="1">
      <protection hidden="0" locked="1"/>
    </xf>
    <xf fontId="6" fillId="0" borderId="1" numFmtId="166" xfId="13" applyNumberFormat="1" applyFont="1" applyBorder="1" applyProtection="1">
      <protection hidden="0" locked="1"/>
    </xf>
    <xf fontId="6" fillId="6" borderId="1" numFmtId="166" xfId="13" applyNumberFormat="1" applyFont="1" applyFill="1" applyBorder="1" applyAlignment="1" applyProtection="1">
      <alignment wrapText="1"/>
      <protection hidden="0" locked="1"/>
    </xf>
    <xf fontId="6" fillId="7" borderId="1" numFmtId="166" xfId="13" applyNumberFormat="1" applyFont="1" applyFill="1" applyBorder="1" applyProtection="1">
      <protection hidden="0" locked="1"/>
    </xf>
    <xf fontId="6" fillId="3" borderId="1" numFmtId="166" xfId="13" applyNumberFormat="1" applyFont="1" applyFill="1" applyBorder="1" applyProtection="1">
      <protection hidden="0" locked="1"/>
    </xf>
    <xf fontId="9" fillId="6" borderId="1" numFmtId="166" xfId="0" applyNumberFormat="1" applyFont="1" applyFill="1" applyBorder="1" applyAlignment="1" applyProtection="0">
      <alignment wrapText="1"/>
      <protection hidden="0" locked="1"/>
    </xf>
    <xf fontId="9" fillId="3" borderId="1" numFmtId="0" xfId="13" applyFont="1" applyFill="1" applyBorder="1" applyAlignment="1" applyProtection="1">
      <alignment horizontal="center" wrapText="1"/>
      <protection hidden="0" locked="1"/>
    </xf>
    <xf fontId="16" fillId="3" borderId="0" numFmtId="166" xfId="0" applyNumberFormat="1" applyFont="1" applyFill="1" applyProtection="0">
      <protection hidden="0" locked="1"/>
    </xf>
    <xf fontId="6" fillId="3" borderId="0" numFmtId="166" xfId="13" applyNumberFormat="1" applyFont="1" applyFill="1" applyProtection="1">
      <protection hidden="0" locked="1"/>
    </xf>
    <xf fontId="6" fillId="3" borderId="1" numFmtId="164" xfId="13" applyNumberFormat="1" applyFont="1" applyFill="1" applyBorder="1" applyProtection="1">
      <protection hidden="0" locked="1"/>
    </xf>
    <xf fontId="6" fillId="3" borderId="1" numFmtId="10" xfId="13" applyNumberFormat="1" applyFont="1" applyFill="1" applyBorder="1" applyProtection="1">
      <protection hidden="0" locked="1"/>
    </xf>
    <xf fontId="9" fillId="6" borderId="1" numFmtId="166" xfId="0" applyNumberFormat="1" applyFont="1" applyFill="1" applyBorder="1" applyAlignment="1" applyProtection="0">
      <alignment horizontal="left" vertical="center" wrapText="1"/>
      <protection hidden="0" locked="1"/>
    </xf>
    <xf fontId="9" fillId="3" borderId="1" numFmtId="49" xfId="13" applyNumberFormat="1" applyFont="1" applyFill="1" applyBorder="1" applyAlignment="1" applyProtection="1">
      <alignment horizontal="left" wrapText="1"/>
      <protection hidden="0" locked="1"/>
    </xf>
    <xf fontId="6" fillId="3" borderId="0" numFmtId="166" xfId="13" applyNumberFormat="1" applyFont="1" applyFill="1" applyAlignment="1" applyProtection="1">
      <alignment horizontal="center" wrapText="1"/>
      <protection hidden="0" locked="1"/>
    </xf>
    <xf fontId="6" fillId="3" borderId="0" numFmtId="173" xfId="0" applyNumberFormat="1" applyFont="1" applyFill="1" applyProtection="0">
      <protection hidden="0" locked="1"/>
    </xf>
    <xf fontId="6" fillId="6" borderId="1" numFmtId="173" xfId="13" applyNumberFormat="1" applyFont="1" applyFill="1" applyBorder="1" applyAlignment="1" applyProtection="1">
      <alignment wrapText="1"/>
      <protection hidden="0" locked="1"/>
    </xf>
    <xf fontId="6" fillId="3" borderId="1" numFmtId="2" xfId="13" applyNumberFormat="1" applyFont="1" applyFill="1" applyBorder="1" applyProtection="1">
      <protection hidden="0" locked="1"/>
    </xf>
    <xf fontId="20" fillId="3" borderId="0" numFmtId="173" xfId="0" applyNumberFormat="1" applyFont="1" applyFill="1" applyProtection="0">
      <protection hidden="0" locked="1"/>
    </xf>
    <xf fontId="20" fillId="6" borderId="1" numFmtId="173" xfId="13" applyNumberFormat="1" applyFont="1" applyFill="1" applyBorder="1" applyAlignment="1" applyProtection="1">
      <alignment wrapText="1"/>
      <protection hidden="0" locked="1"/>
    </xf>
    <xf fontId="20" fillId="3" borderId="1" numFmtId="164" xfId="13" applyNumberFormat="1" applyFont="1" applyFill="1" applyBorder="1" applyProtection="1">
      <protection hidden="0" locked="1"/>
    </xf>
    <xf fontId="6" fillId="3" borderId="1" numFmtId="165" xfId="13" applyNumberFormat="1" applyFont="1" applyFill="1" applyBorder="1" applyProtection="1">
      <protection hidden="0" locked="1"/>
    </xf>
    <xf fontId="9" fillId="6" borderId="1" numFmtId="173" xfId="0" applyNumberFormat="1" applyFont="1" applyFill="1" applyBorder="1" applyAlignment="1" applyProtection="0">
      <alignment horizontal="left" vertical="center" wrapText="1"/>
      <protection hidden="0" locked="1"/>
    </xf>
    <xf fontId="6" fillId="3" borderId="0" numFmtId="173" xfId="13" applyNumberFormat="1" applyFont="1" applyFill="1" applyAlignment="1" applyProtection="1">
      <alignment horizontal="center" wrapText="1"/>
      <protection hidden="0" locked="1"/>
    </xf>
    <xf fontId="7" fillId="3" borderId="0" numFmtId="173" xfId="0" applyNumberFormat="1" applyFont="1" applyFill="1" applyProtection="0">
      <protection hidden="0" locked="1"/>
    </xf>
    <xf fontId="6" fillId="3" borderId="0" numFmtId="173" xfId="0" applyNumberFormat="1" applyFont="1" applyFill="1" applyAlignment="1" applyProtection="0">
      <alignment horizontal="center" vertical="center"/>
      <protection hidden="0" locked="1"/>
    </xf>
    <xf fontId="7" fillId="6" borderId="1" numFmtId="173" xfId="0" applyNumberFormat="1" applyFont="1" applyFill="1" applyBorder="1" applyAlignment="1" applyProtection="0">
      <alignment horizontal="center" vertical="center"/>
      <protection hidden="0" locked="1"/>
    </xf>
    <xf fontId="7" fillId="6" borderId="1" numFmtId="173" xfId="0" applyNumberFormat="1" applyFont="1" applyFill="1" applyBorder="1" applyAlignment="1" applyProtection="0">
      <alignment horizontal="center" vertical="center" wrapText="1"/>
      <protection hidden="0" locked="1"/>
    </xf>
    <xf fontId="6" fillId="6" borderId="1" numFmtId="173" xfId="0" applyNumberFormat="1" applyFont="1" applyFill="1" applyBorder="1" applyAlignment="1" applyProtection="0">
      <alignment wrapText="1"/>
      <protection hidden="0" locked="1"/>
    </xf>
    <xf fontId="6" fillId="3" borderId="1" numFmtId="172" xfId="14" applyNumberFormat="1" applyFont="1" applyFill="1" applyBorder="1" applyAlignment="1" applyProtection="1">
      <alignment wrapText="1"/>
      <protection hidden="0" locked="1"/>
    </xf>
    <xf fontId="9" fillId="3" borderId="1" numFmtId="173" xfId="0" applyNumberFormat="1" applyFont="1" applyFill="1" applyBorder="1" applyAlignment="1" applyProtection="0">
      <alignment horizontal="left" wrapText="1"/>
      <protection hidden="0" locked="1"/>
    </xf>
    <xf fontId="7" fillId="3" borderId="0" numFmtId="173" xfId="0" applyNumberFormat="1" applyFont="1" applyFill="1" applyAlignment="1" applyProtection="0">
      <alignment wrapText="1"/>
      <protection hidden="0" locked="1"/>
    </xf>
    <xf fontId="6" fillId="3" borderId="1" numFmtId="173" xfId="14" applyNumberFormat="1" applyFont="1" applyFill="1" applyBorder="1" applyAlignment="1" applyProtection="1">
      <alignment wrapText="1"/>
      <protection hidden="0" locked="1"/>
    </xf>
    <xf fontId="9" fillId="6" borderId="1" numFmtId="173" xfId="13" applyNumberFormat="1" applyFont="1" applyFill="1" applyBorder="1" applyAlignment="1" applyProtection="1">
      <alignment horizontal="left" vertical="center" wrapText="1"/>
      <protection hidden="0" locked="1"/>
    </xf>
    <xf fontId="11" fillId="3" borderId="0" numFmtId="173" xfId="0" applyNumberFormat="1" applyFont="1" applyFill="1" applyProtection="0">
      <protection hidden="0" locked="1"/>
    </xf>
    <xf fontId="11" fillId="3" borderId="0" numFmtId="173" xfId="0" applyNumberFormat="1" applyFont="1" applyFill="1" applyAlignment="1" applyProtection="0">
      <alignment horizontal="center" vertical="center"/>
      <protection hidden="0" locked="1"/>
    </xf>
    <xf fontId="6" fillId="3" borderId="0" numFmtId="166" xfId="10" applyNumberFormat="1" applyFont="1" applyFill="1" applyProtection="0">
      <protection hidden="0" locked="1"/>
    </xf>
    <xf fontId="7" fillId="3" borderId="0" numFmtId="166" xfId="10" applyNumberFormat="1" applyFont="1" applyFill="1" applyProtection="0">
      <protection hidden="0" locked="1"/>
    </xf>
    <xf fontId="7" fillId="6" borderId="1" numFmtId="166" xfId="15" applyNumberFormat="1" applyFont="1" applyFill="1" applyBorder="1" applyAlignment="1" applyProtection="1">
      <alignment horizontal="center" vertical="center" wrapText="1"/>
      <protection hidden="0" locked="1"/>
    </xf>
    <xf fontId="7" fillId="6" borderId="1" numFmtId="166" xfId="10" applyNumberFormat="1" applyFont="1" applyFill="1" applyBorder="1" applyAlignment="1" applyProtection="0">
      <alignment horizontal="center" vertical="center" wrapText="1"/>
      <protection hidden="0" locked="1"/>
    </xf>
    <xf fontId="7" fillId="6" borderId="1" numFmtId="166" xfId="10" applyNumberFormat="1" applyFont="1" applyFill="1" applyBorder="1" applyAlignment="1" applyProtection="0">
      <alignment horizontal="center" vertical="center"/>
      <protection hidden="0" locked="1"/>
    </xf>
    <xf fontId="7" fillId="6" borderId="1" numFmtId="166" xfId="10" applyNumberFormat="1" applyFont="1" applyFill="1" applyBorder="1" applyAlignment="1" applyProtection="0">
      <alignment horizontal="center"/>
      <protection hidden="0" locked="1"/>
    </xf>
    <xf fontId="7" fillId="6" borderId="2" numFmtId="166" xfId="15" applyNumberFormat="1" applyFont="1" applyFill="1" applyBorder="1" applyAlignment="1" applyProtection="1">
      <alignment horizontal="center" vertical="center" wrapText="1"/>
      <protection hidden="0" locked="1"/>
    </xf>
    <xf fontId="7" fillId="6" borderId="2" numFmtId="166" xfId="10" applyNumberFormat="1" applyFont="1" applyFill="1" applyBorder="1" applyAlignment="1" applyProtection="0">
      <alignment horizontal="center" wrapText="1"/>
      <protection hidden="0" locked="1"/>
    </xf>
    <xf fontId="7" fillId="6" borderId="1" numFmtId="166" xfId="10" applyNumberFormat="1" applyFont="1" applyFill="1" applyBorder="1" applyAlignment="1" applyProtection="0">
      <alignment horizontal="center" wrapText="1"/>
      <protection hidden="0" locked="1"/>
    </xf>
    <xf fontId="7" fillId="3" borderId="0" numFmtId="166" xfId="10" applyNumberFormat="1" applyFont="1" applyFill="1" applyAlignment="1" applyProtection="0">
      <alignment wrapText="1"/>
      <protection hidden="0" locked="1"/>
    </xf>
    <xf fontId="7" fillId="6" borderId="1" numFmtId="49" xfId="10" applyNumberFormat="1" applyFont="1" applyFill="1" applyBorder="1" applyAlignment="1" applyProtection="0">
      <alignment horizontal="center" vertical="center" wrapText="1"/>
      <protection hidden="0" locked="1"/>
    </xf>
    <xf fontId="7" fillId="6" borderId="1" numFmtId="49" xfId="15" applyNumberFormat="1" applyFont="1" applyFill="1" applyBorder="1" applyAlignment="1" applyProtection="1">
      <alignment horizontal="center" vertical="center" wrapText="1"/>
      <protection hidden="0" locked="1"/>
    </xf>
    <xf fontId="7" fillId="6" borderId="4" numFmtId="49" xfId="15" applyNumberFormat="1" applyFont="1" applyFill="1" applyBorder="1" applyAlignment="1" applyProtection="1">
      <alignment horizontal="center" vertical="center" wrapText="1"/>
      <protection hidden="0" locked="1"/>
    </xf>
    <xf fontId="7" fillId="6" borderId="1" numFmtId="166" xfId="10" applyNumberFormat="1" applyFont="1" applyFill="1" applyBorder="1" applyAlignment="1" applyProtection="0">
      <alignment wrapText="1"/>
      <protection hidden="0" locked="1"/>
    </xf>
    <xf fontId="6" fillId="3" borderId="1" numFmtId="166" xfId="10" applyNumberFormat="1" applyFont="1" applyFill="1" applyBorder="1" applyProtection="0">
      <protection hidden="0" locked="1"/>
    </xf>
    <xf fontId="6" fillId="3" borderId="1" numFmtId="173" xfId="15" applyNumberFormat="1" applyFont="1" applyFill="1" applyBorder="1" applyProtection="1">
      <protection hidden="0" locked="1"/>
    </xf>
    <xf fontId="6" fillId="3" borderId="1" numFmtId="166" xfId="15" applyNumberFormat="1" applyFont="1" applyFill="1" applyBorder="1" applyProtection="1">
      <protection hidden="0" locked="1"/>
    </xf>
    <xf fontId="6" fillId="3" borderId="5" numFmtId="166" xfId="15" applyNumberFormat="1" applyFont="1" applyFill="1" applyBorder="1" applyProtection="1">
      <protection hidden="0" locked="1"/>
    </xf>
    <xf fontId="6" fillId="6" borderId="1" numFmtId="166" xfId="10" applyNumberFormat="1" applyFont="1" applyFill="1" applyBorder="1" applyAlignment="1" applyProtection="0">
      <alignment wrapText="1"/>
      <protection hidden="0" locked="1"/>
    </xf>
    <xf fontId="7" fillId="3" borderId="1" numFmtId="166" xfId="10" applyNumberFormat="1" applyFont="1" applyFill="1" applyBorder="1" applyAlignment="1" applyProtection="0">
      <alignment horizontal="center"/>
      <protection hidden="0" locked="1"/>
    </xf>
    <xf fontId="6" fillId="3" borderId="1" numFmtId="166" xfId="10" applyNumberFormat="1" applyFont="1" applyFill="1" applyBorder="1" applyAlignment="1" applyProtection="0">
      <alignment horizontal="center"/>
      <protection hidden="0" locked="1"/>
    </xf>
    <xf fontId="6" fillId="3" borderId="1" numFmtId="172" xfId="15" applyNumberFormat="1" applyFont="1" applyFill="1" applyBorder="1" applyProtection="1">
      <protection hidden="0" locked="1"/>
    </xf>
    <xf fontId="6" fillId="3" borderId="5" numFmtId="172" xfId="15" applyNumberFormat="1" applyFont="1" applyFill="1" applyBorder="1" applyProtection="1">
      <protection hidden="0" locked="1"/>
    </xf>
    <xf fontId="9" fillId="6" borderId="1" numFmtId="166" xfId="10" applyNumberFormat="1" applyFont="1" applyFill="1" applyBorder="1" applyAlignment="1" applyProtection="0">
      <alignment wrapText="1"/>
      <protection hidden="0" locked="1"/>
    </xf>
    <xf fontId="9" fillId="3" borderId="1" numFmtId="166" xfId="10" applyNumberFormat="1" applyFont="1" applyFill="1" applyBorder="1" applyProtection="0">
      <protection hidden="0" locked="1"/>
    </xf>
    <xf fontId="9" fillId="3" borderId="1" numFmtId="166" xfId="15" applyNumberFormat="1" applyFont="1" applyFill="1" applyBorder="1" applyProtection="1">
      <protection hidden="0" locked="1"/>
    </xf>
    <xf fontId="9" fillId="3" borderId="0" numFmtId="166" xfId="10" applyNumberFormat="1" applyFont="1" applyFill="1" applyProtection="0">
      <protection hidden="0" locked="1"/>
    </xf>
    <xf fontId="6" fillId="3" borderId="0" numFmtId="166" xfId="15" applyNumberFormat="1" applyFont="1" applyFill="1" applyProtection="1">
      <protection hidden="0" locked="1"/>
    </xf>
    <xf fontId="6" fillId="3" borderId="0" numFmtId="173" xfId="15" applyNumberFormat="1" applyFont="1" applyFill="1" applyProtection="1">
      <protection hidden="0" locked="1"/>
    </xf>
    <xf fontId="7" fillId="3" borderId="0" numFmtId="166" xfId="10" applyNumberFormat="1" applyFont="1" applyFill="1" applyAlignment="1" applyProtection="0">
      <alignment horizontal="center" vertical="center" wrapText="1"/>
      <protection hidden="0" locked="1"/>
    </xf>
    <xf fontId="7" fillId="6" borderId="4" numFmtId="166" xfId="15" applyNumberFormat="1" applyFont="1" applyFill="1" applyBorder="1" applyAlignment="1" applyProtection="1">
      <alignment horizontal="center" vertical="center" wrapText="1"/>
      <protection hidden="0" locked="1"/>
    </xf>
    <xf fontId="6" fillId="0" borderId="1" numFmtId="4" xfId="15" applyNumberFormat="1" applyFont="1" applyBorder="1" applyProtection="1">
      <protection hidden="0" locked="1"/>
    </xf>
    <xf fontId="6" fillId="0" borderId="5" numFmtId="4" xfId="15" applyNumberFormat="1" applyFont="1" applyBorder="1" applyProtection="1">
      <protection hidden="0" locked="1"/>
    </xf>
    <xf fontId="6" fillId="3" borderId="1" numFmtId="4" xfId="15" applyNumberFormat="1" applyFont="1" applyFill="1" applyBorder="1" applyProtection="1">
      <protection hidden="0" locked="1"/>
    </xf>
    <xf fontId="16" fillId="3" borderId="0" numFmtId="166" xfId="10" applyNumberFormat="1" applyFont="1" applyFill="1" applyProtection="0">
      <protection hidden="0" locked="1"/>
    </xf>
    <xf fontId="9" fillId="3" borderId="1" numFmtId="166" xfId="10" applyNumberFormat="1" applyFont="1" applyFill="1" applyBorder="1" applyAlignment="1" applyProtection="0">
      <alignment horizontal="center"/>
      <protection hidden="0" locked="1"/>
    </xf>
    <xf fontId="9" fillId="0" borderId="1" numFmtId="4" xfId="15" applyNumberFormat="1" applyFont="1" applyBorder="1" applyProtection="1">
      <protection hidden="0" locked="1"/>
    </xf>
    <xf fontId="9" fillId="0" borderId="5" numFmtId="4" xfId="15" applyNumberFormat="1" applyFont="1" applyBorder="1" applyProtection="1">
      <protection hidden="0" locked="1"/>
    </xf>
    <xf fontId="21" fillId="0" borderId="0" numFmtId="0" xfId="0" applyFont="1" applyProtection="0">
      <protection hidden="0" locked="1"/>
    </xf>
    <xf fontId="9" fillId="3" borderId="1" numFmtId="4" xfId="15" applyNumberFormat="1" applyFont="1" applyFill="1" applyBorder="1" applyProtection="1">
      <protection hidden="0" locked="1"/>
    </xf>
    <xf fontId="9" fillId="3" borderId="5" numFmtId="4" xfId="15" applyNumberFormat="1" applyFont="1" applyFill="1" applyBorder="1" applyProtection="1">
      <protection hidden="0" locked="1"/>
    </xf>
    <xf fontId="7" fillId="6" borderId="1" numFmtId="49" xfId="10" applyNumberFormat="1" applyFont="1" applyFill="1" applyBorder="1" applyAlignment="1" applyProtection="0">
      <alignment horizontal="center"/>
      <protection hidden="0" locked="1"/>
    </xf>
    <xf fontId="7" fillId="6" borderId="2" numFmtId="166" xfId="10" applyNumberFormat="1" applyFont="1" applyFill="1" applyBorder="1" applyAlignment="1" applyProtection="0">
      <alignment horizontal="center" vertical="center" wrapText="1"/>
      <protection hidden="0" locked="1"/>
    </xf>
    <xf fontId="6" fillId="0" borderId="1" numFmtId="172" xfId="15" applyNumberFormat="1" applyFont="1" applyBorder="1" applyProtection="1">
      <protection hidden="0" locked="1"/>
    </xf>
    <xf fontId="6" fillId="0" borderId="1" numFmtId="172" xfId="15" applyNumberFormat="1" applyFont="1" applyBorder="1" applyAlignment="1" applyProtection="1">
      <alignment horizontal="center" vertical="center"/>
      <protection hidden="0" locked="1"/>
    </xf>
    <xf fontId="6" fillId="0" borderId="1" numFmtId="166" xfId="10" applyNumberFormat="1" applyFont="1" applyBorder="1" applyAlignment="1" applyProtection="0">
      <alignment horizontal="left" wrapText="1"/>
      <protection hidden="0" locked="1"/>
    </xf>
    <xf fontId="6" fillId="3" borderId="0" numFmtId="166" xfId="10" applyNumberFormat="1" applyFont="1" applyFill="1" applyAlignment="1" applyProtection="0">
      <alignment wrapText="1"/>
      <protection hidden="0" locked="1"/>
    </xf>
    <xf fontId="6" fillId="3" borderId="0" numFmtId="166" xfId="10" applyNumberFormat="1" applyFont="1" applyFill="1" applyAlignment="1" applyProtection="0">
      <alignment horizontal="left" wrapText="1"/>
      <protection hidden="0" locked="1"/>
    </xf>
    <xf fontId="9" fillId="3" borderId="0" numFmtId="166" xfId="10" applyNumberFormat="1" applyFont="1" applyFill="1" applyAlignment="1" applyProtection="0">
      <alignment horizontal="right" vertical="center" wrapText="1"/>
      <protection hidden="0" locked="1"/>
    </xf>
    <xf fontId="6" fillId="8" borderId="0" numFmtId="49" xfId="10" applyNumberFormat="1" applyFont="1" applyFill="1" applyAlignment="1" applyProtection="0">
      <alignment horizontal="left" vertical="center" wrapText="1"/>
      <protection hidden="0" locked="1"/>
    </xf>
    <xf fontId="7" fillId="6" borderId="1" numFmtId="166" xfId="13" applyNumberFormat="1" applyFont="1" applyFill="1" applyBorder="1" applyAlignment="1" applyProtection="1">
      <alignment horizontal="center" vertical="center"/>
      <protection hidden="0" locked="1"/>
    </xf>
    <xf fontId="6" fillId="3" borderId="0" numFmtId="166" xfId="13" applyNumberFormat="1" applyFont="1" applyFill="1" applyAlignment="1" applyProtection="1">
      <alignment wrapText="1"/>
      <protection hidden="0" locked="1"/>
    </xf>
    <xf fontId="6" fillId="3" borderId="1" numFmtId="172" xfId="0" applyNumberFormat="1" applyFont="1" applyFill="1" applyBorder="1" applyAlignment="1" applyProtection="0">
      <alignment horizontal="center"/>
      <protection hidden="0" locked="1"/>
    </xf>
    <xf fontId="9" fillId="3" borderId="0" numFmtId="173" xfId="0" applyNumberFormat="1" applyFont="1" applyFill="1" applyAlignment="1" applyProtection="0">
      <alignment horizontal="right" vertical="center"/>
      <protection hidden="0" locked="1"/>
    </xf>
    <xf fontId="6" fillId="8" borderId="0" numFmtId="49" xfId="0" applyNumberFormat="1" applyFont="1" applyFill="1" applyAlignment="1" applyProtection="0">
      <alignment horizontal="left" wrapText="1"/>
      <protection hidden="0" locked="1"/>
    </xf>
    <xf fontId="6" fillId="0" borderId="1" numFmtId="172" xfId="0" applyNumberFormat="1" applyFont="1" applyBorder="1" applyProtection="0">
      <protection hidden="0" locked="1"/>
    </xf>
    <xf fontId="6" fillId="3" borderId="1" numFmtId="172" xfId="0" applyNumberFormat="1" applyFont="1" applyFill="1" applyBorder="1" applyProtection="0">
      <protection hidden="0" locked="1"/>
    </xf>
    <xf fontId="6" fillId="3" borderId="0" numFmtId="173" xfId="0" applyNumberFormat="1" applyFont="1" applyFill="1" applyAlignment="1" applyProtection="0">
      <alignment wrapText="1"/>
      <protection hidden="0" locked="1"/>
    </xf>
    <xf fontId="9" fillId="3" borderId="7" numFmtId="173" xfId="0" applyNumberFormat="1" applyFont="1" applyFill="1" applyBorder="1" applyAlignment="1" applyProtection="0">
      <alignment horizontal="right" vertical="center"/>
      <protection hidden="0" locked="1"/>
    </xf>
    <xf fontId="6" fillId="0" borderId="1" numFmtId="172" xfId="0" applyNumberFormat="1" applyFont="1" applyBorder="1" applyAlignment="1" applyProtection="0">
      <alignment horizontal="center"/>
      <protection hidden="0" locked="1"/>
    </xf>
    <xf fontId="6" fillId="0" borderId="1" numFmtId="172" xfId="0" applyNumberFormat="1" applyFont="1" applyBorder="1" applyAlignment="1" applyProtection="0">
      <alignment horizontal="right"/>
      <protection hidden="0" locked="1"/>
    </xf>
    <xf fontId="6" fillId="3" borderId="0" numFmtId="173" xfId="13" applyNumberFormat="1" applyFont="1" applyFill="1" applyAlignment="1" applyProtection="1">
      <alignment wrapText="1"/>
      <protection hidden="0" locked="1"/>
    </xf>
    <xf fontId="6" fillId="3" borderId="0" numFmtId="173" xfId="0" applyNumberFormat="1" applyFont="1" applyFill="1" applyAlignment="1" applyProtection="0">
      <alignment horizontal="center"/>
      <protection hidden="0" locked="1"/>
    </xf>
    <xf fontId="6" fillId="8" borderId="0" numFmtId="49" xfId="0" applyNumberFormat="1" applyFont="1" applyFill="1" applyAlignment="1" applyProtection="0">
      <alignment horizontal="left" vertical="center" wrapText="1"/>
      <protection hidden="0" locked="1"/>
    </xf>
    <xf fontId="6" fillId="0" borderId="1" numFmtId="164" xfId="13" applyNumberFormat="1" applyFont="1" applyBorder="1" applyAlignment="1" applyProtection="1">
      <alignment horizontal="center"/>
      <protection hidden="0" locked="1"/>
    </xf>
    <xf fontId="6" fillId="6" borderId="1" numFmtId="0" xfId="0" applyFont="1" applyFill="1" applyBorder="1" applyAlignment="1" applyProtection="0">
      <alignment wrapText="1"/>
      <protection hidden="0" locked="1"/>
    </xf>
    <xf fontId="6" fillId="0" borderId="1" numFmtId="165" xfId="13" applyNumberFormat="1" applyFont="1" applyBorder="1" applyAlignment="1" applyProtection="1">
      <alignment horizontal="center"/>
      <protection hidden="0" locked="1"/>
    </xf>
    <xf fontId="6" fillId="0" borderId="1" numFmtId="165" xfId="13" applyNumberFormat="1" applyFont="1" applyBorder="1" applyProtection="1">
      <protection hidden="0" locked="1"/>
    </xf>
    <xf fontId="6" fillId="0" borderId="1" numFmtId="166" xfId="0" applyNumberFormat="1" applyFont="1" applyBorder="1" applyProtection="0">
      <protection hidden="0" locked="1"/>
    </xf>
    <xf fontId="6" fillId="0" borderId="1" numFmtId="164" xfId="13" applyNumberFormat="1" applyFont="1" applyBorder="1" applyProtection="1">
      <protection hidden="0" locked="1"/>
    </xf>
    <xf fontId="7" fillId="6" borderId="1" numFmtId="173" xfId="13" applyNumberFormat="1" applyFont="1" applyFill="1" applyBorder="1" applyAlignment="1" applyProtection="1">
      <alignment horizontal="center" vertical="center" wrapText="1"/>
      <protection hidden="0" locked="1"/>
    </xf>
    <xf fontId="6" fillId="6" borderId="1" numFmtId="173" xfId="13" applyNumberFormat="1" applyFont="1" applyFill="1" applyBorder="1" applyProtection="1">
      <protection hidden="0" locked="1"/>
    </xf>
    <xf fontId="6" fillId="3" borderId="1" numFmtId="166" xfId="13" applyNumberFormat="1" applyFont="1" applyFill="1" applyBorder="1" applyAlignment="1" applyProtection="1">
      <alignment horizontal="center" vertical="center"/>
      <protection hidden="0" locked="1"/>
    </xf>
    <xf fontId="6" fillId="3" borderId="1" numFmtId="172" xfId="13" applyNumberFormat="1" applyFont="1" applyFill="1" applyBorder="1" applyAlignment="1" applyProtection="1">
      <alignment horizontal="center" vertical="center"/>
      <protection hidden="0" locked="1"/>
    </xf>
    <xf fontId="6" fillId="3" borderId="1" numFmtId="173" xfId="13" applyNumberFormat="1" applyFont="1" applyFill="1" applyBorder="1" applyAlignment="1" applyProtection="1">
      <alignment horizontal="center" vertical="center"/>
      <protection hidden="0" locked="1"/>
    </xf>
    <xf fontId="6" fillId="3" borderId="1" numFmtId="169" xfId="13" applyNumberFormat="1" applyFont="1" applyFill="1" applyBorder="1" applyAlignment="1" applyProtection="1">
      <alignment horizontal="center" vertical="center"/>
      <protection hidden="0" locked="1"/>
    </xf>
    <xf fontId="7" fillId="6" borderId="1" numFmtId="173" xfId="13" applyNumberFormat="1" applyFont="1" applyFill="1" applyBorder="1" applyAlignment="1" applyProtection="1">
      <alignment wrapText="1"/>
      <protection hidden="0" locked="1"/>
    </xf>
    <xf fontId="7" fillId="3" borderId="1" numFmtId="166" xfId="13" applyNumberFormat="1" applyFont="1" applyFill="1" applyBorder="1" applyAlignment="1" applyProtection="1">
      <alignment horizontal="center" vertical="center"/>
      <protection hidden="0" locked="1"/>
    </xf>
    <xf fontId="6" fillId="3" borderId="0" numFmtId="166" xfId="13" applyNumberFormat="1" applyFont="1" applyFill="1" applyAlignment="1" applyProtection="1">
      <alignment horizontal="center" vertical="center"/>
      <protection hidden="0" locked="1"/>
    </xf>
    <xf fontId="6" fillId="3" borderId="0" numFmtId="173" xfId="13" applyNumberFormat="1" applyFont="1" applyFill="1" applyAlignment="1" applyProtection="1">
      <alignment horizontal="center" vertical="center"/>
      <protection hidden="0" locked="1"/>
    </xf>
    <xf fontId="9" fillId="3" borderId="0" numFmtId="166" xfId="0" applyNumberFormat="1" applyFont="1" applyFill="1" applyAlignment="1" applyProtection="0">
      <alignment horizontal="right" vertical="center" wrapText="1"/>
      <protection hidden="0" locked="1"/>
    </xf>
    <xf fontId="7" fillId="6" borderId="1" numFmtId="166" xfId="0" applyNumberFormat="1" applyFont="1" applyFill="1" applyBorder="1" applyAlignment="1" applyProtection="0">
      <alignment horizontal="center" vertical="center" wrapText="1"/>
      <protection hidden="0" locked="1"/>
    </xf>
    <xf fontId="6" fillId="6" borderId="1" numFmtId="173" xfId="0" applyNumberFormat="1" applyFont="1" applyFill="1" applyBorder="1" applyAlignment="1" applyProtection="0">
      <alignment horizontal="left" wrapText="1"/>
      <protection hidden="0" locked="1"/>
    </xf>
    <xf fontId="6" fillId="6" borderId="4" numFmtId="173" xfId="0" applyNumberFormat="1" applyFont="1" applyFill="1" applyBorder="1" applyAlignment="1" applyProtection="0">
      <alignment horizontal="left" wrapText="1"/>
      <protection hidden="0" locked="1"/>
    </xf>
    <xf fontId="6" fillId="6" borderId="5" numFmtId="173" xfId="0" applyNumberFormat="1" applyFont="1" applyFill="1" applyBorder="1" applyAlignment="1" applyProtection="0">
      <alignment wrapText="1"/>
      <protection hidden="0" locked="1"/>
    </xf>
    <xf fontId="6" fillId="9" borderId="8" numFmtId="174" xfId="0" applyNumberFormat="1" applyFont="1" applyFill="1" applyBorder="1" applyAlignment="1" applyProtection="0">
      <alignment horizontal="center" vertical="center"/>
    </xf>
    <xf fontId="7" fillId="6" borderId="5" numFmtId="173" xfId="0" applyNumberFormat="1" applyFont="1" applyFill="1" applyBorder="1" applyAlignment="1" applyProtection="0">
      <alignment wrapText="1"/>
      <protection hidden="0" locked="1"/>
    </xf>
    <xf fontId="7" fillId="9" borderId="8" numFmtId="174" xfId="0" applyNumberFormat="1" applyFont="1" applyFill="1" applyBorder="1" applyAlignment="1" applyProtection="0">
      <alignment horizontal="center" vertical="center"/>
    </xf>
    <xf fontId="7" fillId="3" borderId="0" numFmtId="173" xfId="0" applyNumberFormat="1" applyFont="1" applyFill="1" applyAlignment="1" applyProtection="0">
      <alignment horizontal="center" vertical="center"/>
      <protection hidden="0" locked="1"/>
    </xf>
    <xf fontId="6" fillId="6" borderId="9" numFmtId="173" xfId="0" applyNumberFormat="1" applyFont="1" applyFill="1" applyBorder="1" applyAlignment="1" applyProtection="0">
      <alignment horizontal="left" wrapText="1"/>
      <protection hidden="0" locked="1"/>
    </xf>
    <xf fontId="6" fillId="6" borderId="1" numFmtId="166" xfId="0" applyNumberFormat="1" applyFont="1" applyFill="1" applyBorder="1" applyAlignment="1" applyProtection="0">
      <alignment horizontal="left" vertical="center" wrapText="1"/>
      <protection hidden="0" locked="1"/>
    </xf>
    <xf fontId="6" fillId="3" borderId="1" numFmtId="172" xfId="0" applyNumberFormat="1" applyFont="1" applyFill="1" applyBorder="1" applyAlignment="1" applyProtection="0">
      <alignment horizontal="center" vertical="center" wrapText="1"/>
      <protection hidden="0" locked="1"/>
    </xf>
    <xf fontId="6" fillId="3" borderId="0" numFmtId="172" xfId="0" applyNumberFormat="1" applyFont="1" applyFill="1" applyAlignment="1" applyProtection="0">
      <alignment horizontal="center" vertical="center" wrapText="1"/>
      <protection hidden="0" locked="1"/>
    </xf>
    <xf fontId="6" fillId="0" borderId="0" numFmtId="49" xfId="0" applyNumberFormat="1" applyFont="1" applyAlignment="1" applyProtection="0">
      <alignment vertical="center"/>
      <protection hidden="0" locked="1"/>
    </xf>
    <xf fontId="6" fillId="6" borderId="1" numFmtId="173" xfId="0" applyNumberFormat="1" applyFont="1" applyFill="1" applyBorder="1" applyProtection="0">
      <protection hidden="0" locked="1"/>
    </xf>
    <xf fontId="6" fillId="3" borderId="1" numFmtId="172" xfId="0" applyNumberFormat="1" applyFont="1" applyFill="1" applyBorder="1" applyAlignment="1" applyProtection="0">
      <alignment horizontal="center" vertical="center"/>
      <protection hidden="0" locked="1"/>
    </xf>
    <xf fontId="6" fillId="3" borderId="1" numFmtId="172" xfId="0" applyNumberFormat="1" applyFont="1" applyFill="1" applyBorder="1" applyAlignment="1" applyProtection="0">
      <alignment vertical="center" wrapText="1"/>
      <protection hidden="0" locked="1"/>
    </xf>
    <xf fontId="7" fillId="9" borderId="10" numFmtId="175" xfId="0" applyNumberFormat="1" applyFont="1" applyFill="1" applyBorder="1" applyProtection="0"/>
    <xf fontId="6" fillId="9" borderId="10" numFmtId="175" xfId="0" applyNumberFormat="1" applyFont="1" applyFill="1" applyBorder="1" applyAlignment="1" applyProtection="0">
      <alignment horizontal="center" vertical="center"/>
    </xf>
    <xf fontId="7" fillId="10" borderId="8" numFmtId="49" xfId="0" applyNumberFormat="1" applyFont="1" applyFill="1" applyBorder="1" applyAlignment="1" applyProtection="0">
      <alignment horizontal="center" vertical="center" wrapText="1"/>
    </xf>
    <xf fontId="6" fillId="10" borderId="8" numFmtId="176" xfId="0" applyNumberFormat="1" applyFont="1" applyFill="1" applyBorder="1" applyAlignment="1" applyProtection="0">
      <alignment wrapText="1"/>
    </xf>
    <xf fontId="6" fillId="9" borderId="8" numFmtId="176" xfId="0" applyNumberFormat="1" applyFont="1" applyFill="1" applyBorder="1" applyAlignment="1" applyProtection="0">
      <alignment horizontal="center" vertical="center" wrapText="1"/>
    </xf>
    <xf fontId="6" fillId="9" borderId="8" numFmtId="177" xfId="0" applyNumberFormat="1" applyFont="1" applyFill="1" applyBorder="1" applyAlignment="1" applyProtection="0">
      <alignment horizontal="center" vertical="center" wrapText="1"/>
    </xf>
    <xf fontId="6" fillId="10" borderId="8" numFmtId="175" xfId="0" applyNumberFormat="1" applyFont="1" applyFill="1" applyBorder="1" applyAlignment="1" applyProtection="0">
      <alignment wrapText="1"/>
    </xf>
    <xf fontId="6" fillId="9" borderId="8" numFmtId="174" xfId="0" applyNumberFormat="1" applyFont="1" applyFill="1" applyBorder="1" applyAlignment="1" applyProtection="0">
      <alignment horizontal="center" vertical="center" wrapText="1"/>
    </xf>
    <xf fontId="6" fillId="9" borderId="0" numFmtId="175" xfId="0" applyNumberFormat="1" applyFont="1" applyFill="1" applyProtection="0"/>
    <xf fontId="6" fillId="9" borderId="0" numFmtId="175" xfId="0" applyNumberFormat="1" applyFont="1" applyFill="1" applyAlignment="1" applyProtection="0">
      <alignment horizontal="center" vertical="center"/>
    </xf>
    <xf fontId="9" fillId="9" borderId="0" numFmtId="175" xfId="0" applyNumberFormat="1" applyFont="1" applyFill="1" applyAlignment="1" applyProtection="0">
      <alignment horizontal="right" vertical="center"/>
    </xf>
    <xf fontId="6" fillId="11" borderId="0" numFmtId="175" xfId="0" applyNumberFormat="1" applyFont="1" applyFill="1" applyAlignment="1" applyProtection="0">
      <alignment horizontal="left" vertical="center"/>
    </xf>
    <xf fontId="6" fillId="3" borderId="0" numFmtId="173" xfId="0" applyNumberFormat="1" applyFont="1" applyFill="1" applyAlignment="1" applyProtection="0">
      <alignment horizontal="left" wrapText="1"/>
      <protection hidden="0" locked="1"/>
    </xf>
    <xf fontId="7" fillId="3" borderId="0" numFmtId="173" xfId="0" applyNumberFormat="1" applyFont="1" applyFill="1" applyAlignment="1" applyProtection="0">
      <alignment horizontal="left"/>
      <protection hidden="0" locked="1"/>
    </xf>
    <xf fontId="8" fillId="6" borderId="1" numFmtId="49" xfId="0" applyNumberFormat="1" applyFont="1" applyFill="1" applyBorder="1" applyAlignment="1" applyProtection="0">
      <alignment horizontal="center" vertical="top" wrapText="1"/>
      <protection hidden="0" locked="1"/>
    </xf>
    <xf fontId="6" fillId="6" borderId="1" numFmtId="166" xfId="0" applyNumberFormat="1" applyFont="1" applyFill="1" applyBorder="1" applyAlignment="1" applyProtection="0">
      <alignment wrapText="1"/>
      <protection hidden="0" locked="1"/>
    </xf>
    <xf fontId="6" fillId="3" borderId="1" numFmtId="166" xfId="13" applyNumberFormat="1" applyFont="1" applyFill="1" applyBorder="1" applyAlignment="1" applyProtection="1">
      <alignment wrapText="1"/>
      <protection hidden="0" locked="1"/>
    </xf>
    <xf fontId="6" fillId="6" borderId="11" numFmtId="166" xfId="0" applyNumberFormat="1" applyFont="1" applyFill="1" applyBorder="1" applyAlignment="1" applyProtection="0">
      <alignment wrapText="1"/>
      <protection hidden="0" locked="1"/>
    </xf>
    <xf fontId="6" fillId="3" borderId="11" numFmtId="166" xfId="13" applyNumberFormat="1" applyFont="1" applyFill="1" applyBorder="1" applyAlignment="1" applyProtection="1">
      <alignment wrapText="1"/>
      <protection hidden="0" locked="1"/>
    </xf>
    <xf fontId="6" fillId="6" borderId="2" numFmtId="166" xfId="0" applyNumberFormat="1" applyFont="1" applyFill="1" applyBorder="1" applyAlignment="1" applyProtection="0">
      <alignment wrapText="1"/>
      <protection hidden="0" locked="1"/>
    </xf>
    <xf fontId="6" fillId="3" borderId="2" numFmtId="166" xfId="13" applyNumberFormat="1" applyFont="1" applyFill="1" applyBorder="1" applyAlignment="1" applyProtection="1">
      <alignment wrapText="1"/>
      <protection hidden="0" locked="1"/>
    </xf>
    <xf fontId="6" fillId="3" borderId="11" numFmtId="172" xfId="13" applyNumberFormat="1" applyFont="1" applyFill="1" applyBorder="1" applyAlignment="1" applyProtection="1">
      <alignment horizontal="center" wrapText="1"/>
      <protection hidden="0" locked="1"/>
    </xf>
    <xf fontId="6" fillId="3" borderId="11" numFmtId="172" xfId="13" applyNumberFormat="1" applyFont="1" applyFill="1" applyBorder="1" applyAlignment="1" applyProtection="1">
      <alignment wrapText="1"/>
      <protection hidden="0" locked="1"/>
    </xf>
    <xf fontId="8" fillId="6" borderId="1" numFmtId="0" xfId="0" applyFont="1" applyFill="1" applyBorder="1" applyAlignment="1" applyProtection="0">
      <alignment horizontal="center" vertical="center" wrapText="1"/>
      <protection hidden="0" locked="1"/>
    </xf>
    <xf fontId="6" fillId="3" borderId="0" numFmtId="49" xfId="0" applyNumberFormat="1" applyFont="1" applyFill="1" applyProtection="0">
      <protection hidden="0" locked="1"/>
    </xf>
    <xf fontId="7" fillId="6" borderId="1" numFmtId="166" xfId="13" applyNumberFormat="1" applyFont="1" applyFill="1" applyBorder="1" applyAlignment="1" applyProtection="1">
      <alignment wrapText="1"/>
      <protection hidden="0" locked="1"/>
    </xf>
    <xf fontId="9" fillId="6" borderId="1" numFmtId="166" xfId="13" applyNumberFormat="1" applyFont="1" applyFill="1" applyBorder="1" applyAlignment="1" applyProtection="1">
      <alignment horizontal="center" vertical="center"/>
      <protection hidden="0" locked="1"/>
    </xf>
    <xf fontId="6" fillId="3" borderId="1" numFmtId="166" xfId="13" applyNumberFormat="1" applyFont="1" applyFill="1" applyBorder="1" applyAlignment="1" applyProtection="1">
      <alignment horizontal="center" vertical="center" wrapText="1"/>
      <protection hidden="0" locked="1"/>
    </xf>
    <xf fontId="9" fillId="3" borderId="0" numFmtId="166" xfId="0" applyNumberFormat="1" applyFont="1" applyFill="1" applyProtection="0">
      <protection hidden="0" locked="1"/>
    </xf>
    <xf fontId="7" fillId="6" borderId="4" numFmtId="166" xfId="13" applyNumberFormat="1" applyFont="1" applyFill="1" applyBorder="1" applyAlignment="1" applyProtection="1">
      <alignment horizontal="center" vertical="center"/>
      <protection hidden="0" locked="1"/>
    </xf>
    <xf fontId="6" fillId="3" borderId="5" numFmtId="166" xfId="13" applyNumberFormat="1" applyFont="1" applyFill="1" applyBorder="1" applyAlignment="1" applyProtection="1">
      <alignment horizontal="center" vertical="center"/>
      <protection hidden="0" locked="1"/>
    </xf>
    <xf fontId="6" fillId="9" borderId="8" numFmtId="176" xfId="13" applyNumberFormat="1" applyFont="1" applyFill="1" applyBorder="1" applyProtection="1"/>
    <xf fontId="7" fillId="9" borderId="8" numFmtId="176" xfId="13" applyNumberFormat="1" applyFont="1" applyFill="1" applyBorder="1" applyProtection="1"/>
    <xf fontId="6" fillId="3" borderId="0" numFmtId="49" xfId="0" applyNumberFormat="1" applyFont="1" applyFill="1" applyAlignment="1" applyProtection="0">
      <alignment horizontal="center" vertical="center" wrapText="1"/>
      <protection hidden="0" locked="1"/>
    </xf>
    <xf fontId="7" fillId="6" borderId="1" numFmtId="166" xfId="0" applyNumberFormat="1" applyFont="1" applyFill="1" applyBorder="1" applyAlignment="1" applyProtection="0">
      <alignment horizontal="center" vertical="center"/>
      <protection hidden="0" locked="1"/>
    </xf>
    <xf fontId="8" fillId="6" borderId="4" numFmtId="166" xfId="0" applyNumberFormat="1" applyFont="1" applyFill="1" applyBorder="1" applyAlignment="1" applyProtection="0">
      <alignment horizontal="center" vertical="center" wrapText="1"/>
      <protection hidden="0" locked="1"/>
    </xf>
    <xf fontId="7" fillId="3" borderId="5" numFmtId="172" xfId="0" applyNumberFormat="1" applyFont="1" applyFill="1" applyBorder="1" applyAlignment="1" applyProtection="0">
      <alignment horizontal="center"/>
      <protection hidden="0" locked="1"/>
    </xf>
    <xf fontId="6" fillId="9" borderId="8" numFmtId="174" xfId="0" applyNumberFormat="1" applyFont="1" applyFill="1" applyBorder="1" applyAlignment="1" applyProtection="0">
      <alignment horizontal="center" wrapText="1"/>
    </xf>
    <xf fontId="6" fillId="9" borderId="8" numFmtId="177" xfId="0" applyNumberFormat="1" applyFont="1" applyFill="1" applyBorder="1" applyAlignment="1" applyProtection="0">
      <alignment horizontal="center" wrapText="1"/>
    </xf>
    <xf fontId="7" fillId="3" borderId="0" numFmtId="173" xfId="0" applyNumberFormat="1" applyFont="1" applyFill="1" applyAlignment="1" applyProtection="0">
      <alignment horizontal="center"/>
      <protection hidden="0" locked="1"/>
    </xf>
    <xf fontId="6" fillId="3" borderId="0" numFmtId="173" xfId="0" applyNumberFormat="1" applyFont="1" applyFill="1" applyAlignment="1" applyProtection="0">
      <alignment horizontal="center" wrapText="1"/>
      <protection hidden="0" locked="1"/>
    </xf>
    <xf fontId="7" fillId="6" borderId="1" numFmtId="173" xfId="13" applyNumberFormat="1" applyFont="1" applyFill="1" applyBorder="1" applyAlignment="1" applyProtection="1">
      <alignment horizontal="center"/>
      <protection hidden="0" locked="1"/>
    </xf>
    <xf fontId="6" fillId="6" borderId="1" numFmtId="173" xfId="13" applyNumberFormat="1" applyFont="1" applyFill="1" applyBorder="1" applyAlignment="1" applyProtection="1">
      <alignment horizontal="left" wrapText="1"/>
      <protection hidden="0" locked="1"/>
    </xf>
    <xf fontId="7" fillId="3" borderId="1" numFmtId="172" xfId="13" applyNumberFormat="1" applyFont="1" applyFill="1" applyBorder="1" applyAlignment="1" applyProtection="1">
      <alignment horizontal="center" vertical="center"/>
      <protection hidden="0" locked="1"/>
    </xf>
    <xf fontId="6" fillId="3" borderId="1" numFmtId="172" xfId="13" applyNumberFormat="1" applyFont="1" applyFill="1" applyBorder="1" applyAlignment="1" applyProtection="1">
      <alignment horizontal="center" wrapText="1"/>
      <protection hidden="0" locked="1"/>
    </xf>
    <xf fontId="6" fillId="3" borderId="0" numFmtId="173" xfId="13" applyNumberFormat="1" applyFont="1" applyFill="1" applyAlignment="1" applyProtection="1">
      <alignment horizontal="left" wrapText="1"/>
      <protection hidden="0" locked="1"/>
    </xf>
    <xf fontId="7" fillId="3" borderId="0" numFmtId="173" xfId="13" applyNumberFormat="1" applyFont="1" applyFill="1" applyAlignment="1" applyProtection="1">
      <alignment horizontal="center"/>
      <protection hidden="0" locked="1"/>
    </xf>
    <xf fontId="6" fillId="3" borderId="1" numFmtId="172" xfId="13" applyNumberFormat="1" applyFont="1" applyFill="1" applyBorder="1" applyAlignment="1" applyProtection="1">
      <alignment horizontal="center"/>
      <protection hidden="0" locked="1"/>
    </xf>
    <xf fontId="6" fillId="9" borderId="10" numFmtId="175" xfId="0" applyNumberFormat="1" applyFont="1" applyFill="1" applyBorder="1" applyProtection="0"/>
    <xf fontId="7" fillId="10" borderId="8" numFmtId="177" xfId="0" applyNumberFormat="1" applyFont="1" applyFill="1" applyBorder="1" applyAlignment="1" applyProtection="0">
      <alignment horizontal="center" vertical="center" wrapText="1"/>
    </xf>
    <xf fontId="7" fillId="10" borderId="8" numFmtId="177" xfId="13" applyNumberFormat="1" applyFont="1" applyFill="1" applyBorder="1" applyAlignment="1" applyProtection="0">
      <alignment horizontal="center" vertical="center" wrapText="1"/>
    </xf>
    <xf fontId="6" fillId="10" borderId="8" numFmtId="177" xfId="13" applyNumberFormat="1" applyFont="1" applyFill="1" applyBorder="1" applyAlignment="1" applyProtection="0">
      <alignment horizontal="left" vertical="center" wrapText="1"/>
    </xf>
    <xf fontId="7" fillId="9" borderId="8" numFmtId="0" xfId="13" applyFont="1" applyFill="1" applyBorder="1" applyAlignment="1" applyProtection="0">
      <alignment horizontal="center" vertical="center" wrapText="1"/>
    </xf>
    <xf fontId="6" fillId="9" borderId="8" numFmtId="177" xfId="13" applyNumberFormat="1" applyFont="1" applyFill="1" applyBorder="1" applyAlignment="1" applyProtection="0">
      <alignment horizontal="center" vertical="center" wrapText="1"/>
    </xf>
    <xf fontId="10" fillId="10" borderId="8" numFmtId="177" xfId="0" applyNumberFormat="1" applyFont="1" applyFill="1" applyBorder="1" applyAlignment="1" applyProtection="0">
      <alignment horizontal="left" vertical="center" wrapText="1"/>
    </xf>
    <xf fontId="7" fillId="9" borderId="8" numFmtId="177" xfId="13" applyNumberFormat="1" applyFont="1" applyFill="1" applyBorder="1" applyAlignment="1" applyProtection="0">
      <alignment horizontal="center" vertical="center" wrapText="1"/>
    </xf>
    <xf fontId="6" fillId="6" borderId="1" numFmtId="166" xfId="13" applyNumberFormat="1" applyFont="1" applyFill="1" applyBorder="1" applyAlignment="1" applyProtection="1">
      <alignment horizontal="left" vertical="center" wrapText="1"/>
      <protection hidden="0" locked="1"/>
    </xf>
    <xf fontId="6" fillId="3" borderId="1" numFmtId="172" xfId="13" applyNumberFormat="1" applyFont="1" applyFill="1" applyBorder="1" applyProtection="1">
      <protection hidden="0" locked="1"/>
    </xf>
    <xf fontId="6" fillId="3" borderId="1" numFmtId="173" xfId="13" applyNumberFormat="1" applyFont="1" applyFill="1" applyBorder="1" applyProtection="1">
      <protection hidden="0" locked="1"/>
    </xf>
    <xf fontId="7" fillId="3" borderId="0" numFmtId="49" xfId="0" applyNumberFormat="1" applyFont="1" applyFill="1" applyAlignment="1" applyProtection="0">
      <alignment horizontal="center" vertical="center"/>
      <protection hidden="0" locked="1"/>
    </xf>
    <xf fontId="7" fillId="6" borderId="1" numFmtId="49" xfId="0" applyNumberFormat="1" applyFont="1" applyFill="1" applyBorder="1" applyAlignment="1" applyProtection="0">
      <alignment horizontal="center" vertical="center" wrapText="1"/>
      <protection hidden="0" locked="1"/>
    </xf>
    <xf fontId="6" fillId="3" borderId="1" numFmtId="172" xfId="13" applyNumberFormat="1" applyFont="1" applyFill="1" applyBorder="1" applyAlignment="1" applyProtection="1">
      <alignment wrapText="1"/>
      <protection hidden="0" locked="1"/>
    </xf>
    <xf fontId="6" fillId="3" borderId="1" numFmtId="173" xfId="13" applyNumberFormat="1" applyFont="1" applyFill="1" applyBorder="1" applyAlignment="1" applyProtection="1">
      <alignment wrapText="1"/>
      <protection hidden="0" locked="1"/>
    </xf>
    <xf fontId="6" fillId="3" borderId="0" numFmtId="173" xfId="13" applyNumberFormat="1" applyFont="1" applyFill="1" applyProtection="1">
      <protection hidden="0" locked="1"/>
    </xf>
    <xf fontId="6" fillId="6" borderId="12" numFmtId="166" xfId="13" applyNumberFormat="1" applyFont="1" applyFill="1" applyBorder="1" applyAlignment="1" applyProtection="1">
      <alignment vertical="center" wrapText="1"/>
      <protection hidden="0" locked="1"/>
    </xf>
    <xf fontId="6" fillId="3" borderId="1" numFmtId="172" xfId="13" applyNumberFormat="1" applyFont="1" applyFill="1" applyBorder="1" applyAlignment="1" applyProtection="1">
      <alignment vertical="center" wrapText="1"/>
      <protection hidden="0" locked="1"/>
    </xf>
    <xf fontId="7" fillId="6" borderId="13" numFmtId="166" xfId="13" applyNumberFormat="1" applyFont="1" applyFill="1" applyBorder="1" applyAlignment="1" applyProtection="1">
      <alignment vertical="center" wrapText="1"/>
      <protection hidden="0" locked="1"/>
    </xf>
    <xf fontId="7" fillId="3" borderId="1" numFmtId="172" xfId="13" applyNumberFormat="1" applyFont="1" applyFill="1" applyBorder="1" applyAlignment="1" applyProtection="1">
      <alignment vertical="center" wrapText="1"/>
      <protection hidden="0" locked="1"/>
    </xf>
    <xf fontId="6" fillId="3" borderId="0" numFmtId="164" xfId="13" applyNumberFormat="1" applyFont="1" applyFill="1" applyAlignment="1" applyProtection="1">
      <alignment vertical="center" wrapText="1"/>
      <protection hidden="0" locked="1"/>
    </xf>
    <xf fontId="6" fillId="6" borderId="1" numFmtId="172" xfId="0" applyNumberFormat="1" applyFont="1" applyFill="1" applyBorder="1" applyAlignment="1" applyProtection="0">
      <alignment vertical="center" wrapText="1"/>
      <protection hidden="0" locked="1"/>
    </xf>
    <xf fontId="6" fillId="6" borderId="5" numFmtId="172" xfId="0" applyNumberFormat="1" applyFont="1" applyFill="1" applyBorder="1" applyAlignment="1" applyProtection="0">
      <alignment vertical="center" wrapText="1"/>
      <protection hidden="0" locked="1"/>
    </xf>
    <xf fontId="6" fillId="6" borderId="0" numFmtId="166" xfId="0" applyNumberFormat="1" applyFont="1" applyFill="1" applyAlignment="1" applyProtection="0">
      <alignment vertical="center" wrapText="1"/>
      <protection hidden="0" locked="1"/>
    </xf>
    <xf fontId="6" fillId="3" borderId="1" numFmtId="164" xfId="13" applyNumberFormat="1" applyFont="1" applyFill="1" applyBorder="1" applyAlignment="1" applyProtection="1">
      <alignment vertical="center" wrapText="1"/>
      <protection hidden="0" locked="1"/>
    </xf>
    <xf fontId="6" fillId="6" borderId="13" numFmtId="166" xfId="13" applyNumberFormat="1" applyFont="1" applyFill="1" applyBorder="1" applyAlignment="1" applyProtection="1">
      <alignment vertical="center" wrapText="1"/>
      <protection hidden="0" locked="1"/>
    </xf>
    <xf fontId="6" fillId="3" borderId="0" numFmtId="166" xfId="0" applyNumberFormat="1" applyFont="1" applyFill="1" applyAlignment="1" applyProtection="0">
      <alignment horizontal="center" vertical="center" wrapText="1"/>
      <protection hidden="0" locked="1"/>
    </xf>
    <xf fontId="6" fillId="3" borderId="0" numFmtId="172" xfId="13" applyNumberFormat="1" applyFont="1" applyFill="1" applyAlignment="1" applyProtection="1">
      <alignment vertical="center" wrapText="1"/>
      <protection hidden="0" locked="1"/>
    </xf>
    <xf fontId="6" fillId="3" borderId="0" numFmtId="172" xfId="0" applyNumberFormat="1" applyFont="1" applyFill="1" applyAlignment="1" applyProtection="0">
      <alignment vertical="center" wrapText="1"/>
      <protection hidden="0" locked="1"/>
    </xf>
    <xf fontId="7" fillId="6" borderId="1" numFmtId="166" xfId="13" applyNumberFormat="1" applyFont="1" applyFill="1" applyBorder="1" applyAlignment="1" applyProtection="1">
      <alignment vertical="center" wrapText="1"/>
      <protection hidden="0" locked="1"/>
    </xf>
    <xf fontId="7" fillId="3" borderId="1" numFmtId="178" xfId="13" applyNumberFormat="1" applyFont="1" applyFill="1" applyBorder="1" applyAlignment="1" applyProtection="1">
      <alignment vertical="center" wrapText="1"/>
      <protection hidden="0" locked="1"/>
    </xf>
    <xf fontId="6" fillId="6" borderId="1" numFmtId="172" xfId="0" applyNumberFormat="1" applyFont="1" applyFill="1" applyBorder="1" applyAlignment="1" applyProtection="0">
      <alignment horizontal="left" vertical="center" wrapText="1"/>
      <protection hidden="0" locked="1"/>
    </xf>
    <xf fontId="6" fillId="3" borderId="1" numFmtId="166" xfId="13" applyNumberFormat="1" applyFont="1" applyFill="1" applyBorder="1" applyAlignment="1" applyProtection="1">
      <alignment vertical="center" wrapText="1"/>
      <protection hidden="0" locked="1"/>
    </xf>
    <xf fontId="6" fillId="3" borderId="1" numFmtId="178" xfId="13" applyNumberFormat="1" applyFont="1" applyFill="1" applyBorder="1" applyAlignment="1" applyProtection="1">
      <alignment vertical="center" wrapText="1"/>
      <protection hidden="0" locked="1"/>
    </xf>
    <xf fontId="7" fillId="6" borderId="1" numFmtId="179" xfId="10" applyNumberFormat="1" applyFont="1" applyFill="1" applyBorder="1" applyAlignment="1" applyProtection="0">
      <alignment horizontal="center" vertical="center" wrapText="1"/>
      <protection hidden="0" locked="1"/>
    </xf>
    <xf fontId="7" fillId="6" borderId="1" numFmtId="179" xfId="15" applyNumberFormat="1" applyFont="1" applyFill="1" applyBorder="1" applyAlignment="1" applyProtection="1">
      <alignment horizontal="center" vertical="center" wrapText="1"/>
      <protection hidden="0" locked="1"/>
    </xf>
    <xf fontId="6" fillId="3" borderId="0" numFmtId="169" xfId="13" applyNumberFormat="1" applyFont="1" applyFill="1" applyProtection="1">
      <protection hidden="0" locked="1"/>
    </xf>
    <xf fontId="22" fillId="3" borderId="0" numFmtId="166" xfId="0" applyNumberFormat="1" applyFont="1" applyFill="1" applyProtection="0">
      <protection hidden="0" locked="1"/>
    </xf>
    <xf fontId="6" fillId="0" borderId="1" numFmtId="172" xfId="13" applyNumberFormat="1" applyFont="1" applyBorder="1" applyAlignment="1" applyProtection="1">
      <alignment wrapText="1"/>
      <protection hidden="0" locked="1"/>
    </xf>
    <xf fontId="6" fillId="3" borderId="0" numFmtId="49" xfId="0" applyNumberFormat="1" applyFont="1" applyFill="1" applyAlignment="1" applyProtection="0">
      <alignment horizontal="left" vertical="center" wrapText="1"/>
      <protection hidden="0" locked="1"/>
    </xf>
    <xf fontId="6" fillId="0" borderId="0" numFmtId="166" xfId="0" applyNumberFormat="1" applyFont="1" applyAlignment="1" applyProtection="0">
      <alignment wrapText="1"/>
      <protection hidden="0" locked="1"/>
    </xf>
    <xf fontId="6" fillId="3" borderId="0" numFmtId="172" xfId="13" applyNumberFormat="1" applyFont="1" applyFill="1" applyAlignment="1" applyProtection="1">
      <alignment wrapText="1"/>
      <protection hidden="0" locked="1"/>
    </xf>
    <xf fontId="6" fillId="3" borderId="0" numFmtId="49" xfId="13" applyNumberFormat="1" applyFont="1" applyFill="1" applyAlignment="1" applyProtection="1">
      <alignment horizontal="left" vertical="center" wrapText="1"/>
      <protection hidden="0" locked="1"/>
    </xf>
    <xf fontId="7" fillId="3" borderId="0" numFmtId="166" xfId="0" applyNumberFormat="1" applyFont="1" applyFill="1" applyAlignment="1" applyProtection="0">
      <alignment horizontal="center" vertical="center"/>
      <protection hidden="0" locked="1"/>
    </xf>
    <xf fontId="6" fillId="3" borderId="7" numFmtId="49" xfId="0" applyNumberFormat="1" applyFont="1" applyFill="1" applyBorder="1" applyAlignment="1" applyProtection="0">
      <alignment horizontal="left" vertical="center" wrapText="1"/>
      <protection hidden="0" locked="1"/>
    </xf>
    <xf fontId="6" fillId="3" borderId="1" numFmtId="172" xfId="0" applyNumberFormat="1" applyFont="1" applyFill="1" applyBorder="1" applyAlignment="1" applyProtection="0">
      <alignment wrapText="1"/>
      <protection hidden="0" locked="1"/>
    </xf>
    <xf fontId="23" fillId="3" borderId="0" numFmtId="166" xfId="0" applyNumberFormat="1" applyFont="1" applyFill="1" applyProtection="0">
      <protection hidden="0" locked="1"/>
    </xf>
    <xf fontId="10" fillId="6" borderId="1" numFmtId="0" xfId="0" applyFont="1" applyFill="1" applyBorder="1" applyAlignment="1" applyProtection="0">
      <alignment vertical="top" wrapText="1"/>
      <protection hidden="0" locked="1"/>
    </xf>
    <xf fontId="7" fillId="6" borderId="1" numFmtId="166" xfId="13" applyNumberFormat="1" applyFont="1" applyFill="1" applyBorder="1" applyProtection="1">
      <protection hidden="0" locked="1"/>
    </xf>
    <xf fontId="7" fillId="3" borderId="1" numFmtId="172" xfId="13" applyNumberFormat="1" applyFont="1" applyFill="1" applyBorder="1" applyProtection="1">
      <protection hidden="0" locked="1"/>
    </xf>
    <xf fontId="7" fillId="3" borderId="1" numFmtId="166" xfId="13" applyNumberFormat="1" applyFont="1" applyFill="1" applyBorder="1" applyProtection="1">
      <protection hidden="0" locked="1"/>
    </xf>
    <xf fontId="7" fillId="3" borderId="0" numFmtId="166" xfId="13" applyNumberFormat="1" applyFont="1" applyFill="1" applyProtection="1">
      <protection hidden="0" locked="1"/>
    </xf>
    <xf fontId="7" fillId="3" borderId="0" numFmtId="173" xfId="13" applyNumberFormat="1" applyFont="1" applyFill="1" applyProtection="1">
      <protection hidden="0" locked="1"/>
    </xf>
    <xf fontId="7" fillId="3" borderId="0" numFmtId="173" xfId="13" applyNumberFormat="1" applyFont="1" applyFill="1" applyAlignment="1" applyProtection="1">
      <alignment wrapText="1"/>
      <protection hidden="0" locked="1"/>
    </xf>
    <xf fontId="6" fillId="3" borderId="0" numFmtId="172" xfId="13" applyNumberFormat="1" applyFont="1" applyFill="1" applyProtection="1">
      <protection hidden="0" locked="1"/>
    </xf>
    <xf fontId="6" fillId="3" borderId="0" numFmtId="172" xfId="0" applyNumberFormat="1" applyFont="1" applyFill="1" applyProtection="0">
      <protection hidden="0" locked="1"/>
    </xf>
    <xf fontId="14" fillId="3" borderId="0" numFmtId="166" xfId="0" applyNumberFormat="1" applyFont="1" applyFill="1" applyAlignment="1" applyProtection="0">
      <alignment wrapText="1"/>
      <protection hidden="0" locked="1"/>
    </xf>
    <xf fontId="6" fillId="3" borderId="1" numFmtId="172" xfId="13" applyNumberFormat="1" applyFont="1" applyFill="1" applyBorder="1" applyAlignment="1" applyProtection="1">
      <alignment horizontal="center" vertical="center" wrapText="1"/>
      <protection hidden="0" locked="1"/>
    </xf>
    <xf fontId="7" fillId="3" borderId="1" numFmtId="172" xfId="13" applyNumberFormat="1" applyFont="1" applyFill="1" applyBorder="1" applyAlignment="1" applyProtection="1">
      <alignment wrapText="1"/>
      <protection hidden="0" locked="1"/>
    </xf>
    <xf fontId="7" fillId="3" borderId="1" numFmtId="166" xfId="13" applyNumberFormat="1" applyFont="1" applyFill="1" applyBorder="1" applyAlignment="1" applyProtection="1">
      <alignment wrapText="1"/>
      <protection hidden="0" locked="1"/>
    </xf>
    <xf fontId="24" fillId="3" borderId="0" numFmtId="0" xfId="8" applyFont="1" applyFill="1" applyAlignment="1" applyProtection="0">
      <alignment wrapText="1"/>
      <protection hidden="0" locked="1"/>
    </xf>
    <xf fontId="25" fillId="3" borderId="0" numFmtId="0" xfId="8" applyFont="1" applyFill="1" applyProtection="0">
      <protection hidden="0" locked="1"/>
    </xf>
    <xf fontId="26" fillId="6" borderId="1" numFmtId="0" xfId="8" applyFont="1" applyFill="1" applyBorder="1" applyAlignment="1" applyProtection="0">
      <alignment wrapText="1"/>
      <protection hidden="0" locked="1"/>
    </xf>
    <xf fontId="24" fillId="3" borderId="1" numFmtId="166" xfId="8" applyNumberFormat="1" applyFont="1" applyFill="1" applyBorder="1" applyProtection="0">
      <protection hidden="0" locked="1"/>
    </xf>
    <xf fontId="27" fillId="6" borderId="1" numFmtId="0" xfId="8" applyFont="1" applyFill="1" applyBorder="1" applyAlignment="1" applyProtection="0">
      <alignment wrapText="1"/>
      <protection hidden="0" locked="1"/>
    </xf>
    <xf fontId="24" fillId="3" borderId="0" numFmtId="166" xfId="8" applyNumberFormat="1" applyFont="1" applyFill="1" applyAlignment="1" applyProtection="0">
      <alignment wrapText="1"/>
      <protection hidden="0" locked="1"/>
    </xf>
    <xf fontId="6" fillId="0" borderId="0" numFmtId="166" xfId="0" applyNumberFormat="1" applyFont="1" applyProtection="0">
      <protection hidden="0" locked="1"/>
    </xf>
    <xf fontId="7" fillId="0" borderId="0" numFmtId="166" xfId="0" applyNumberFormat="1" applyFont="1" applyProtection="0">
      <protection hidden="0" locked="1"/>
    </xf>
    <xf fontId="16" fillId="0" borderId="0" numFmtId="166" xfId="0" applyNumberFormat="1" applyFont="1" applyProtection="0">
      <protection hidden="0" locked="1"/>
    </xf>
    <xf fontId="7" fillId="6" borderId="1" numFmtId="172" xfId="1" applyNumberFormat="1" applyFont="1" applyFill="1" applyBorder="1" applyAlignment="1" applyProtection="1">
      <alignment wrapText="1"/>
      <protection hidden="0" locked="1"/>
    </xf>
    <xf fontId="7" fillId="6" borderId="1" numFmtId="172" xfId="1" applyNumberFormat="1" applyFont="1" applyFill="1" applyBorder="1" applyAlignment="1" applyProtection="1">
      <alignment horizontal="center" wrapText="1"/>
      <protection hidden="0" locked="1"/>
    </xf>
    <xf fontId="6" fillId="6" borderId="1" numFmtId="172" xfId="1" applyNumberFormat="1" applyFont="1" applyFill="1" applyBorder="1" applyAlignment="1" applyProtection="1">
      <alignment wrapText="1"/>
      <protection hidden="0" locked="1"/>
    </xf>
    <xf fontId="6" fillId="3" borderId="1" numFmtId="172" xfId="1" applyNumberFormat="1" applyFont="1" applyFill="1" applyBorder="1" applyAlignment="1" applyProtection="1">
      <alignment horizontal="left"/>
      <protection hidden="0" locked="1"/>
    </xf>
    <xf fontId="6" fillId="6" borderId="11" numFmtId="172" xfId="1" applyNumberFormat="1" applyFont="1" applyFill="1" applyBorder="1" applyAlignment="1" applyProtection="1">
      <alignment wrapText="1"/>
      <protection hidden="0" locked="1"/>
    </xf>
    <xf fontId="6" fillId="3" borderId="11" numFmtId="172" xfId="1" applyNumberFormat="1" applyFont="1" applyFill="1" applyBorder="1" applyAlignment="1" applyProtection="1">
      <alignment horizontal="left"/>
      <protection hidden="0" locked="1"/>
    </xf>
    <xf fontId="6" fillId="6" borderId="14" numFmtId="172" xfId="1" applyNumberFormat="1" applyFont="1" applyFill="1" applyBorder="1" applyAlignment="1" applyProtection="1">
      <alignment wrapText="1"/>
      <protection hidden="0" locked="1"/>
    </xf>
    <xf fontId="6" fillId="3" borderId="14" numFmtId="166" xfId="1" applyNumberFormat="1" applyFont="1" applyFill="1" applyBorder="1" applyProtection="1">
      <protection hidden="0" locked="1"/>
    </xf>
    <xf fontId="28" fillId="3" borderId="0" numFmtId="166" xfId="0" applyNumberFormat="1" applyFont="1" applyFill="1" applyProtection="0">
      <protection hidden="0" locked="1"/>
    </xf>
    <xf fontId="6" fillId="3" borderId="1" numFmtId="166" xfId="1" applyNumberFormat="1" applyFont="1" applyFill="1" applyBorder="1" applyAlignment="1" applyProtection="1">
      <alignment horizontal="left"/>
      <protection hidden="0" locked="1"/>
    </xf>
    <xf fontId="6" fillId="6" borderId="15" numFmtId="172" xfId="1" applyNumberFormat="1" applyFont="1" applyFill="1" applyBorder="1" applyAlignment="1" applyProtection="1">
      <alignment wrapText="1"/>
      <protection hidden="0" locked="1"/>
    </xf>
    <xf fontId="6" fillId="3" borderId="15" numFmtId="166" xfId="1" applyNumberFormat="1" applyFont="1" applyFill="1" applyBorder="1" applyAlignment="1" applyProtection="1">
      <alignment horizontal="left"/>
      <protection hidden="0" locked="1"/>
    </xf>
    <xf fontId="10" fillId="6" borderId="1" numFmtId="0" xfId="0" applyFont="1" applyFill="1" applyBorder="1" applyAlignment="1" applyProtection="0">
      <alignment wrapText="1"/>
      <protection hidden="0" locked="1"/>
    </xf>
    <xf fontId="6" fillId="3" borderId="11" numFmtId="166" xfId="1" applyNumberFormat="1" applyFont="1" applyFill="1" applyBorder="1" applyAlignment="1" applyProtection="1">
      <alignment horizontal="left"/>
      <protection hidden="0" locked="1"/>
    </xf>
    <xf fontId="7" fillId="6" borderId="1" numFmtId="166" xfId="0" applyNumberFormat="1" applyFont="1" applyFill="1" applyBorder="1" applyAlignment="1" applyProtection="0">
      <alignment wrapText="1"/>
      <protection hidden="0" locked="1"/>
    </xf>
    <xf fontId="6" fillId="3" borderId="1" numFmtId="164" xfId="1" applyNumberFormat="1" applyFont="1" applyFill="1" applyBorder="1" applyAlignment="1" applyProtection="1">
      <alignment wrapText="1"/>
      <protection hidden="0" locked="1"/>
    </xf>
    <xf fontId="6" fillId="6" borderId="1" numFmtId="166" xfId="1" applyNumberFormat="1" applyFont="1" applyFill="1" applyBorder="1" applyAlignment="1" applyProtection="1">
      <alignment wrapText="1"/>
      <protection hidden="0" locked="1"/>
    </xf>
    <xf fontId="6" fillId="3" borderId="1" numFmtId="169" xfId="0" applyNumberFormat="1" applyFont="1" applyFill="1" applyBorder="1" applyAlignment="1" applyProtection="0">
      <alignment wrapText="1"/>
      <protection hidden="0" locked="1"/>
    </xf>
  </cellXfs>
  <cellStyles count="18">
    <cellStyle name="Normal" xfId="0" builtinId="0"/>
    <cellStyle name="Comma" xfId="1" builtinId="3"/>
    <cellStyle name="Comma [0]" xfId="2" builtinId="6"/>
    <cellStyle name="Currency" xfId="3" builtinId="4"/>
    <cellStyle name="Currency [0]" xfId="4" builtinId="7"/>
    <cellStyle name="Percent" xfId="5" builtinId="5"/>
    <cellStyle name="ColumnHeaderNormal" xfId="6"/>
    <cellStyle name="TextNormal" xfId="7"/>
    <cellStyle name="Обычный 2" xfId="8"/>
    <cellStyle name="Обычный 3" xfId="9"/>
    <cellStyle name="Обычный 4 2" xfId="10"/>
    <cellStyle name="Обычный 4 2 2" xfId="11"/>
    <cellStyle name="Обычный_ф2" xfId="12"/>
    <cellStyle name="Финансовый 2" xfId="13"/>
    <cellStyle name="Финансовый 2 2" xfId="14"/>
    <cellStyle name="Финансовый 4" xfId="15"/>
    <cellStyle name="Финансовый 4 2" xfId="16"/>
    <cellStyle name="*unknown*" xfId="17"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externalLink" Target="externalLinks/externalLink1.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theme" Target="theme/theme1.xml"/><Relationship  Id="rId18" Type="http://schemas.openxmlformats.org/officeDocument/2006/relationships/sharedStrings" Target="sharedStrings.xml"/><Relationship  Id="rId19" Type="http://schemas.openxmlformats.org/officeDocument/2006/relationships/styles" Target="styles.xml"/><Relationship  Id="rId2" Type="http://schemas.openxmlformats.org/officeDocument/2006/relationships/externalLink" Target="externalLinks/externalLink2.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s>
</file>

<file path=xl/charts/_rels/chart1.xml.rels><?xml version="1.0" encoding="UTF-8" standalone="yes"?><Relationships xmlns="http://schemas.openxmlformats.org/package/2006/relationships"><Relationship Id="rId1" Type="http://schemas.microsoft.com/office/2011/relationships/chartStyle" Target="style1.xml" /><Relationship Id="rId2" Type="http://schemas.microsoft.com/office/2011/relationships/chartColorStyle" Target="colors1.xml" /></Relationships>
</file>

<file path=xl/charts/_rels/chart10.xml.rels><?xml version="1.0" encoding="UTF-8" standalone="yes"?><Relationships xmlns="http://schemas.openxmlformats.org/package/2006/relationships"><Relationship Id="rId1" Type="http://schemas.microsoft.com/office/2011/relationships/chartStyle" Target="style10.xml" /><Relationship Id="rId2" Type="http://schemas.microsoft.com/office/2011/relationships/chartColorStyle" Target="colors10.xml" /></Relationships>
</file>

<file path=xl/charts/_rels/chart11.xml.rels><?xml version="1.0" encoding="UTF-8" standalone="yes"?><Relationships xmlns="http://schemas.openxmlformats.org/package/2006/relationships"><Relationship Id="rId1" Type="http://schemas.microsoft.com/office/2011/relationships/chartStyle" Target="style11.xml" /><Relationship Id="rId2" Type="http://schemas.microsoft.com/office/2011/relationships/chartColorStyle" Target="colors11.xml" /></Relationships>
</file>

<file path=xl/charts/_rels/chart12.xml.rels><?xml version="1.0" encoding="UTF-8" standalone="yes"?><Relationships xmlns="http://schemas.openxmlformats.org/package/2006/relationships"><Relationship Id="rId1" Type="http://schemas.microsoft.com/office/2011/relationships/chartStyle" Target="style12.xml" /><Relationship Id="rId2" Type="http://schemas.microsoft.com/office/2011/relationships/chartColorStyle" Target="colors12.xml" /></Relationships>
</file>

<file path=xl/charts/_rels/chart13.xml.rels><?xml version="1.0" encoding="UTF-8" standalone="yes"?><Relationships xmlns="http://schemas.openxmlformats.org/package/2006/relationships"><Relationship Id="rId1" Type="http://schemas.microsoft.com/office/2011/relationships/chartStyle" Target="style13.xml" /><Relationship Id="rId2" Type="http://schemas.microsoft.com/office/2011/relationships/chartColorStyle" Target="colors13.xml" /></Relationships>
</file>

<file path=xl/charts/_rels/chart14.xml.rels><?xml version="1.0" encoding="UTF-8" standalone="yes"?><Relationships xmlns="http://schemas.openxmlformats.org/package/2006/relationships"><Relationship Id="rId1" Type="http://schemas.microsoft.com/office/2011/relationships/chartStyle" Target="style14.xml" /><Relationship Id="rId2" Type="http://schemas.microsoft.com/office/2011/relationships/chartColorStyle" Target="colors14.xml" /></Relationships>
</file>

<file path=xl/charts/_rels/chart15.xml.rels><?xml version="1.0" encoding="UTF-8" standalone="yes"?><Relationships xmlns="http://schemas.openxmlformats.org/package/2006/relationships"><Relationship Id="rId1" Type="http://schemas.microsoft.com/office/2011/relationships/chartStyle" Target="style15.xml" /><Relationship Id="rId2" Type="http://schemas.microsoft.com/office/2011/relationships/chartColorStyle" Target="colors15.xml" /></Relationships>
</file>

<file path=xl/charts/_rels/chart2.xml.rels><?xml version="1.0" encoding="UTF-8" standalone="yes"?><Relationships xmlns="http://schemas.openxmlformats.org/package/2006/relationships"><Relationship Id="rId1" Type="http://schemas.microsoft.com/office/2011/relationships/chartStyle" Target="style2.xml" /><Relationship Id="rId2" Type="http://schemas.microsoft.com/office/2011/relationships/chartColorStyle" Target="colors2.xml" /></Relationships>
</file>

<file path=xl/charts/_rels/chart3.xml.rels><?xml version="1.0" encoding="UTF-8" standalone="yes"?><Relationships xmlns="http://schemas.openxmlformats.org/package/2006/relationships"><Relationship Id="rId1" Type="http://schemas.microsoft.com/office/2011/relationships/chartStyle" Target="style3.xml" /><Relationship Id="rId2" Type="http://schemas.microsoft.com/office/2011/relationships/chartColorStyle" Target="colors3.xml" /></Relationships>
</file>

<file path=xl/charts/_rels/chart4.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png"/><Relationship Id="rId7" Type="http://schemas.microsoft.com/office/2011/relationships/chartStyle" Target="style4.xml" /><Relationship Id="rId8" Type="http://schemas.microsoft.com/office/2011/relationships/chartColorStyle" Target="colors4.xml" /></Relationships>
</file>

<file path=xl/charts/_rels/chart5.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 Id="rId3" Type="http://schemas.microsoft.com/office/2011/relationships/chartStyle" Target="style5.xml" /><Relationship Id="rId4" Type="http://schemas.microsoft.com/office/2011/relationships/chartColorStyle" Target="colors5.xml" /></Relationships>
</file>

<file path=xl/charts/_rels/chart6.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 Id="rId3" Type="http://schemas.microsoft.com/office/2011/relationships/chartStyle" Target="style6.xml" /><Relationship Id="rId4" Type="http://schemas.microsoft.com/office/2011/relationships/chartColorStyle" Target="colors6.xml" /></Relationships>
</file>

<file path=xl/charts/_rels/chart7.xml.rels><?xml version="1.0" encoding="UTF-8" standalone="yes"?><Relationships xmlns="http://schemas.openxmlformats.org/package/2006/relationships"><Relationship Id="rId1" Type="http://schemas.microsoft.com/office/2011/relationships/chartStyle" Target="style7.xml" /><Relationship Id="rId2" Type="http://schemas.microsoft.com/office/2011/relationships/chartColorStyle" Target="colors7.xml" /></Relationships>
</file>

<file path=xl/charts/_rels/chart8.xml.rels><?xml version="1.0" encoding="UTF-8" standalone="yes"?><Relationships xmlns="http://schemas.openxmlformats.org/package/2006/relationships"><Relationship Id="rId1" Type="http://schemas.microsoft.com/office/2011/relationships/chartStyle" Target="style8.xml" /><Relationship Id="rId2" Type="http://schemas.microsoft.com/office/2011/relationships/chartColorStyle" Target="colors8.xml" /></Relationships>
</file>

<file path=xl/charts/_rels/chart9.xml.rels><?xml version="1.0" encoding="UTF-8" standalone="yes"?><Relationships xmlns="http://schemas.openxmlformats.org/package/2006/relationships"><Relationship Id="rId1" Type="http://schemas.openxmlformats.org/officeDocument/2006/relationships/image" Target="../media/image9.png"/><Relationship Id="rId2" Type="http://schemas.microsoft.com/office/2011/relationships/chartStyle" Target="style9.xml" /><Relationship Id="rId3" Type="http://schemas.microsoft.com/office/2011/relationships/chartColorStyle" Target="colors9.xml" /></Relationships>
</file>

<file path=xl/charts/chart1.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sz="1400" b="0" u="none" strike="noStrike">
                <a:solidFill>
                  <a:schemeClr val="tx1">
                    <a:lumMod val="65000"/>
                    <a:lumOff val="35000"/>
                  </a:schemeClr>
                </a:solidFill>
                <a:latin typeface="Calibri"/>
                <a:ea typeface="Arial"/>
              </a:rPr>
              <a:t>Заглавие диаграммы</a:t>
            </a:r>
            <a:endParaRPr/>
          </a:p>
        </c:rich>
      </c:tx>
      <c:layout/>
      <c:overlay val="0"/>
      <c:spPr bwMode="auto">
        <a:prstGeom prst="rect">
          <a:avLst/>
        </a:prstGeom>
        <a:noFill/>
        <a:ln w="0">
          <a:noFill/>
        </a:ln>
      </c:spPr>
    </c:title>
    <c:autoTitleDeleted val="0"/>
    <c:plotArea>
      <c:layout/>
      <c:lineChart>
        <c:grouping val="stacked"/>
        <c:varyColors val="0"/>
        <c:ser>
          <c:idx val="0"/>
          <c:order val="0"/>
          <c:tx>
            <c:strRef>
              <c:f>аб!$A$91</c:f>
              <c:strCache>
                <c:ptCount val="1"/>
                <c:pt idx="0">
                  <c:v xml:space="preserve"> Темп прироста выручки, % </c:v>
                </c:pt>
              </c:strCache>
            </c:strRef>
          </c:tx>
          <c:spPr bwMode="auto">
            <a:prstGeom prst="rect">
              <a:avLst/>
            </a:prstGeom>
            <a:solidFill>
              <a:srgbClr val="4472C4"/>
            </a:solidFill>
            <a:ln w="28440" cap="rnd">
              <a:solidFill>
                <a:srgbClr val="4472C4"/>
              </a:solidFill>
              <a:round/>
            </a:ln>
          </c:spPr>
          <c:marker>
            <c:symbol val="none"/>
          </c:marker>
          <c:dLbls>
            <c:dLblPos val="r"/>
            <c:separator xml:space="preserve">; </c:separator>
            <c:showBubbleSize val="0"/>
            <c:showCatName val="0"/>
            <c:showLeaderLines val="0"/>
            <c:showLegendKey val="0"/>
            <c:showPercent val="0"/>
            <c:showSerName val="0"/>
            <c:showVal val="0"/>
            <c:txPr>
              <a:bodyPr wrap="square"/>
              <a:lstStyle/>
              <a:p>
                <a:pPr>
                  <a:defRPr sz="1000" b="0" u="none" strike="noStrike">
                    <a:solidFill>
                      <a:srgbClr val="000000"/>
                    </a:solidFill>
                    <a:latin typeface="Calibri"/>
                    <a:ea typeface="Arial"/>
                  </a:defRPr>
                </a:pPr>
                <a:endParaRPr/>
              </a:p>
            </c:txPr>
          </c:dLbls>
          <c:cat>
            <c:strRef>
              <c:f>аб!$B$90:$G$90</c:f>
              <c:strCache>
                <c:ptCount val="6"/>
                <c:pt idx="0">
                  <c:v xml:space="preserve"> 2019/2018 год </c:v>
                </c:pt>
                <c:pt idx="1">
                  <c:v xml:space="preserve"> 2018/2017 год </c:v>
                </c:pt>
                <c:pt idx="2">
                  <c:v xml:space="preserve"> 2017/2016 год </c:v>
                </c:pt>
                <c:pt idx="3">
                  <c:v xml:space="preserve"> 2016/2015 год </c:v>
                </c:pt>
                <c:pt idx="4">
                  <c:v xml:space="preserve"> 2015/2014 год </c:v>
                </c:pt>
                <c:pt idx="5">
                  <c:v xml:space="preserve"> 2014/2013 год </c:v>
                </c:pt>
              </c:strCache>
            </c:strRef>
          </c:cat>
          <c:val>
            <c:numRef>
              <c:f>аб!$B$91:$G$91</c:f>
              <c:numCache>
                <c:formatCode>_(* #,##0.00_);_(* \(#,##0.00\);_(* \-??_);_(@_)</c:formatCode>
                <c:ptCount val="6"/>
                <c:pt idx="0">
                  <c:v>-20.2708219119413</c:v>
                </c:pt>
                <c:pt idx="1">
                  <c:v>13.1418876225866</c:v>
                </c:pt>
                <c:pt idx="2">
                  <c:v>3.21265261979221</c:v>
                </c:pt>
                <c:pt idx="3">
                  <c:v>-12.760483385522</c:v>
                </c:pt>
                <c:pt idx="4">
                  <c:v>65.2393712713312</c:v>
                </c:pt>
                <c:pt idx="5">
                  <c:v>-7.07693445611514</c:v>
                </c:pt>
              </c:numCache>
            </c:numRef>
          </c:val>
          <c:smooth val="0"/>
        </c:ser>
        <c:ser>
          <c:idx val="1"/>
          <c:order val="1"/>
          <c:tx>
            <c:strRef>
              <c:f>аб!$A$92</c:f>
              <c:strCache>
                <c:ptCount val="1"/>
                <c:pt idx="0">
                  <c:v xml:space="preserve"> Рентабельность продаж (маржа), % </c:v>
                </c:pt>
              </c:strCache>
            </c:strRef>
          </c:tx>
          <c:spPr bwMode="auto">
            <a:prstGeom prst="rect">
              <a:avLst/>
            </a:prstGeom>
            <a:solidFill>
              <a:srgbClr val="ED7D31"/>
            </a:solidFill>
            <a:ln w="28440" cap="rnd">
              <a:solidFill>
                <a:srgbClr val="ED7D31"/>
              </a:solidFill>
              <a:round/>
            </a:ln>
          </c:spPr>
          <c:marker>
            <c:symbol val="none"/>
          </c:marker>
          <c:dLbls>
            <c:dLblPos val="r"/>
            <c:separator xml:space="preserve">; </c:separator>
            <c:showBubbleSize val="0"/>
            <c:showCatName val="0"/>
            <c:showLeaderLines val="0"/>
            <c:showLegendKey val="0"/>
            <c:showPercent val="0"/>
            <c:showSerName val="0"/>
            <c:showVal val="0"/>
            <c:txPr>
              <a:bodyPr wrap="square"/>
              <a:lstStyle/>
              <a:p>
                <a:pPr>
                  <a:defRPr sz="1000" b="0" u="none" strike="noStrike">
                    <a:solidFill>
                      <a:srgbClr val="000000"/>
                    </a:solidFill>
                    <a:latin typeface="Calibri"/>
                    <a:ea typeface="Arial"/>
                  </a:defRPr>
                </a:pPr>
                <a:endParaRPr/>
              </a:p>
            </c:txPr>
          </c:dLbls>
          <c:cat>
            <c:strRef>
              <c:f>аб!$B$90:$G$90</c:f>
              <c:strCache>
                <c:ptCount val="6"/>
                <c:pt idx="0">
                  <c:v xml:space="preserve"> 2019/2018 год </c:v>
                </c:pt>
                <c:pt idx="1">
                  <c:v xml:space="preserve"> 2018/2017 год </c:v>
                </c:pt>
                <c:pt idx="2">
                  <c:v xml:space="preserve"> 2017/2016 год </c:v>
                </c:pt>
                <c:pt idx="3">
                  <c:v xml:space="preserve"> 2016/2015 год </c:v>
                </c:pt>
                <c:pt idx="4">
                  <c:v xml:space="preserve"> 2015/2014 год </c:v>
                </c:pt>
                <c:pt idx="5">
                  <c:v xml:space="preserve"> 2014/2013 год </c:v>
                </c:pt>
              </c:strCache>
            </c:strRef>
          </c:cat>
          <c:val>
            <c:numRef>
              <c:f>аб!$B$92:$G$92</c:f>
              <c:numCache>
                <c:formatCode>_(* #,##0.00_);_(* \(#,##0.00\);_(* \-??_);_(@_)</c:formatCode>
                <c:ptCount val="6"/>
                <c:pt idx="0">
                  <c:v>-2.53566595487346</c:v>
                </c:pt>
                <c:pt idx="1">
                  <c:v>-47.9325299121319</c:v>
                </c:pt>
                <c:pt idx="2">
                  <c:v>4.64598661747525</c:v>
                </c:pt>
                <c:pt idx="3">
                  <c:v>-5.77858800517662</c:v>
                </c:pt>
                <c:pt idx="4">
                  <c:v>1231.35164553776</c:v>
                </c:pt>
                <c:pt idx="5">
                  <c:v>-88.9807790766117</c:v>
                </c:pt>
              </c:numCache>
            </c:numRef>
          </c:val>
          <c:smooth val="0"/>
        </c:ser>
        <c:ser>
          <c:idx val="2"/>
          <c:order val="2"/>
          <c:tx>
            <c:strRef>
              <c:f>аб!$A$93</c:f>
              <c:strCache>
                <c:ptCount val="1"/>
                <c:pt idx="0">
                  <c:v xml:space="preserve"> Доля прибыли от продаж в прибыли до налогообложения, % </c:v>
                </c:pt>
              </c:strCache>
            </c:strRef>
          </c:tx>
          <c:spPr bwMode="auto">
            <a:prstGeom prst="rect">
              <a:avLst/>
            </a:prstGeom>
            <a:solidFill>
              <a:srgbClr val="A5A5A5"/>
            </a:solidFill>
            <a:ln w="28440" cap="rnd">
              <a:solidFill>
                <a:srgbClr val="A5A5A5"/>
              </a:solidFill>
              <a:round/>
            </a:ln>
          </c:spPr>
          <c:marker>
            <c:symbol val="none"/>
          </c:marker>
          <c:dLbls>
            <c:dLblPos val="r"/>
            <c:separator xml:space="preserve">; </c:separator>
            <c:showBubbleSize val="0"/>
            <c:showCatName val="0"/>
            <c:showLeaderLines val="0"/>
            <c:showLegendKey val="0"/>
            <c:showPercent val="0"/>
            <c:showSerName val="0"/>
            <c:showVal val="0"/>
            <c:txPr>
              <a:bodyPr wrap="square"/>
              <a:lstStyle/>
              <a:p>
                <a:pPr>
                  <a:defRPr sz="1000" b="0" u="none" strike="noStrike">
                    <a:solidFill>
                      <a:srgbClr val="000000"/>
                    </a:solidFill>
                    <a:latin typeface="Calibri"/>
                    <a:ea typeface="Arial"/>
                  </a:defRPr>
                </a:pPr>
                <a:endParaRPr/>
              </a:p>
            </c:txPr>
          </c:dLbls>
          <c:cat>
            <c:strRef>
              <c:f>аб!$B$90:$G$90</c:f>
              <c:strCache>
                <c:ptCount val="6"/>
                <c:pt idx="0">
                  <c:v xml:space="preserve"> 2019/2018 год </c:v>
                </c:pt>
                <c:pt idx="1">
                  <c:v xml:space="preserve"> 2018/2017 год </c:v>
                </c:pt>
                <c:pt idx="2">
                  <c:v xml:space="preserve"> 2017/2016 год </c:v>
                </c:pt>
                <c:pt idx="3">
                  <c:v xml:space="preserve"> 2016/2015 год </c:v>
                </c:pt>
                <c:pt idx="4">
                  <c:v xml:space="preserve"> 2015/2014 год </c:v>
                </c:pt>
                <c:pt idx="5">
                  <c:v xml:space="preserve"> 2014/2013 год </c:v>
                </c:pt>
              </c:strCache>
            </c:strRef>
          </c:cat>
          <c:val>
            <c:numRef>
              <c:f>аб!$B$93:$G$93</c:f>
              <c:numCache>
                <c:formatCode>_(* #,##0.00_);_(* \(#,##0.00\);_(* \-??_);_(@_)</c:formatCode>
                <c:ptCount val="6"/>
                <c:pt idx="0">
                  <c:v>-28.2090415853807</c:v>
                </c:pt>
                <c:pt idx="1">
                  <c:v>54.8841606534129</c:v>
                </c:pt>
                <c:pt idx="2">
                  <c:v>9.6931716024088</c:v>
                </c:pt>
                <c:pt idx="3">
                  <c:v>-40.4799955633789</c:v>
                </c:pt>
                <c:pt idx="4">
                  <c:v>-85.8888547509761</c:v>
                </c:pt>
                <c:pt idx="5">
                  <c:v>724.642199457914</c:v>
                </c:pt>
              </c:numCache>
            </c:numRef>
          </c:val>
          <c:smooth val="0"/>
        </c:ser>
        <c:dLbls>
          <c:showBubbleSize val="0"/>
          <c:showCatName val="0"/>
          <c:showLeaderLines val="0"/>
          <c:showLegendKey val="0"/>
          <c:showPercent val="0"/>
          <c:showSerName val="0"/>
          <c:showVal val="0"/>
        </c:dLbls>
        <c:hiLowLines>
          <c:spPr bwMode="auto">
            <a:prstGeom prst="rect">
              <a:avLst/>
            </a:prstGeom>
            <a:ln w="0">
              <a:noFill/>
            </a:ln>
          </c:spPr>
        </c:hiLowLines>
        <c:marker val="0"/>
        <c:smooth val="0"/>
        <c:axId val="91480436"/>
        <c:axId val="82086525"/>
      </c:lineChart>
      <c:catAx>
        <c:axId val="91480436"/>
        <c:scaling>
          <c:orientation val="minMax"/>
        </c:scaling>
        <c:delete val="0"/>
        <c:axPos val="b"/>
        <c:numFmt formatCode="General" sourceLinked="0"/>
        <c:majorTickMark val="none"/>
        <c:minorTickMark val="none"/>
        <c:tickLblPos val="nextTo"/>
        <c:spPr bwMode="auto">
          <a:prstGeom prst="rect">
            <a:avLst/>
          </a:prstGeom>
          <a:ln w="9360">
            <a:solidFill>
              <a:schemeClr val="dk1">
                <a:lumMod val="15000"/>
                <a:lumOff val="85000"/>
              </a:schemeClr>
            </a:solidFill>
            <a:round/>
          </a:ln>
        </c:spPr>
        <c:txPr>
          <a:bodyPr/>
          <a:lstStyle/>
          <a:p>
            <a:pPr>
              <a:defRPr sz="900" b="0" u="none" strike="noStrike">
                <a:solidFill>
                  <a:schemeClr val="tx1">
                    <a:lumMod val="65000"/>
                    <a:lumOff val="35000"/>
                  </a:schemeClr>
                </a:solidFill>
                <a:latin typeface="Calibri"/>
                <a:ea typeface="Arial"/>
              </a:defRPr>
            </a:pPr>
            <a:endParaRPr/>
          </a:p>
        </c:txPr>
        <c:crossAx val="82086525"/>
        <c:crosses val="autoZero"/>
        <c:auto val="1"/>
        <c:lblAlgn val="ctr"/>
        <c:lblOffset val="100"/>
        <c:noMultiLvlLbl val="0"/>
      </c:catAx>
      <c:valAx>
        <c:axId val="82086525"/>
        <c:scaling>
          <c:orientation val="minMax"/>
        </c:scaling>
        <c:delete val="0"/>
        <c:axPos val="l"/>
        <c:majorGridlines>
          <c:spPr bwMode="auto">
            <a:prstGeom prst="rect">
              <a:avLst/>
            </a:prstGeom>
            <a:ln w="9360">
              <a:solidFill>
                <a:schemeClr val="dk1">
                  <a:lumMod val="15000"/>
                  <a:lumOff val="85000"/>
                </a:schemeClr>
              </a:solidFill>
              <a:round/>
            </a:ln>
          </c:spPr>
        </c:majorGridlines>
        <c:numFmt formatCode="_(* #\ ##0.00_);_(* \(#\ ##0.00\);_(* \-??_);_(@_)" sourceLinked="0"/>
        <c:majorTickMark val="none"/>
        <c:minorTickMark val="none"/>
        <c:tickLblPos val="nextTo"/>
        <c:spPr bwMode="auto">
          <a:prstGeom prst="rect">
            <a:avLst/>
          </a:prstGeom>
          <a:ln w="9360">
            <a:noFill/>
          </a:ln>
        </c:spPr>
        <c:txPr>
          <a:bodyPr/>
          <a:lstStyle/>
          <a:p>
            <a:pPr>
              <a:defRPr sz="900" b="0" u="none" strike="noStrike">
                <a:solidFill>
                  <a:schemeClr val="tx1">
                    <a:lumMod val="65000"/>
                    <a:lumOff val="35000"/>
                  </a:schemeClr>
                </a:solidFill>
                <a:latin typeface="Calibri"/>
                <a:ea typeface="Arial"/>
              </a:defRPr>
            </a:pPr>
            <a:endParaRPr/>
          </a:p>
        </c:txPr>
        <c:crossAx val="91480436"/>
        <c:crosses val="autoZero"/>
        <c:crossBetween val="between"/>
      </c:valAx>
      <c:spPr bwMode="auto">
        <a:prstGeom prst="rect">
          <a:avLst/>
        </a:prstGeom>
        <a:noFill/>
        <a:ln w="0">
          <a:noFill/>
        </a:ln>
      </c:spPr>
    </c:plotArea>
    <c:legend>
      <c:legendPos val="b"/>
      <c:layout/>
      <c:overlay val="0"/>
      <c:spPr bwMode="auto">
        <a:prstGeom prst="rect">
          <a:avLst/>
        </a:prstGeom>
        <a:noFill/>
        <a:ln w="0">
          <a:noFill/>
        </a:ln>
      </c:spPr>
      <c:txPr>
        <a:bodyPr/>
        <a:lstStyle/>
        <a:p>
          <a:pPr>
            <a:defRPr sz="900" b="0" u="none" strike="noStrike">
              <a:solidFill>
                <a:schemeClr val="tx1">
                  <a:lumMod val="65000"/>
                  <a:lumOff val="35000"/>
                </a:schemeClr>
              </a:solidFill>
              <a:latin typeface="Calibri"/>
              <a:ea typeface="Arial"/>
            </a:defRPr>
          </a:pPr>
          <a:endParaRPr/>
        </a:p>
      </c:txPr>
    </c:legend>
    <c:plotVisOnly val="1"/>
    <c:dispBlanksAs val="zero"/>
    <c:showDLblsOverMax val="0"/>
  </c:chart>
  <c:spPr bwMode="auto">
    <a:xfrm rot="0">
      <a:off x="28565640" y="16803720"/>
      <a:ext cx="6633000" cy="3185280"/>
    </a:xfrm>
    <a:prstGeom prst="rect">
      <a:avLst/>
    </a:prstGeom>
    <a:solidFill>
      <a:srgbClr val="FFFFFF"/>
    </a:solidFill>
    <a:ln w="9360">
      <a:solidFill>
        <a:schemeClr val="dk1">
          <a:lumMod val="15000"/>
          <a:lumOff val="85000"/>
        </a:schemeClr>
      </a:solidFill>
      <a:round/>
    </a:ln>
  </c:spPr>
</c:chartSpace>
</file>

<file path=xl/charts/chart10.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250" b="1" u="none" strike="noStrike">
                <a:solidFill>
                  <a:srgbClr val="000000"/>
                </a:solidFill>
                <a:latin typeface="Times New Roman Cyr"/>
                <a:ea typeface="Times New Roman Cyr"/>
              </a:rPr>
              <a:t>Анализ темпа устойчивого роста </a:t>
            </a:r>
            <a:endParaRPr/>
          </a:p>
        </c:rich>
      </c:tx>
      <c:layout/>
      <c:overlay val="0"/>
      <c:spPr bwMode="auto">
        <a:prstGeom prst="rect">
          <a:avLst/>
        </a:prstGeom>
        <a:noFill/>
        <a:ln w="25560">
          <a:noFill/>
        </a:ln>
      </c:spPr>
    </c:title>
    <c:autoTitleDeleted val="0"/>
    <c:plotArea>
      <c:layout/>
      <c:lineChart>
        <c:grouping val="standard"/>
        <c:varyColors val="0"/>
        <c:ser>
          <c:idx val="0"/>
          <c:order val="0"/>
          <c:spPr bwMode="auto">
            <a:prstGeom prst="rect">
              <a:avLst/>
            </a:prstGeom>
            <a:solidFill>
              <a:srgbClr val="000000"/>
            </a:solidFill>
            <a:ln w="25560">
              <a:solidFill>
                <a:srgbClr val="000000"/>
              </a:solidFill>
              <a:round/>
            </a:ln>
          </c:spPr>
          <c:marker>
            <c:symbol val="diamond"/>
            <c:size val="7"/>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0</c:f>
              <c:numCache>
                <c:formatCode>General</c:formatCode>
                <c:ptCount val="1"/>
                <c:pt idx="0">
                  <c:v>1</c:v>
                </c:pt>
              </c:numCache>
            </c:numRef>
          </c:val>
          <c:smooth val="0"/>
        </c:ser>
        <c:ser>
          <c:idx val="1"/>
          <c:order val="1"/>
          <c:spPr bwMode="auto">
            <a:prstGeom prst="rect">
              <a:avLst/>
            </a:prstGeom>
            <a:solidFill>
              <a:srgbClr val="000000"/>
            </a:solidFill>
            <a:ln w="12600">
              <a:solidFill>
                <a:srgbClr val="000000"/>
              </a:solidFill>
              <a:round/>
            </a:ln>
          </c:spPr>
          <c:marker>
            <c:symbol val="square"/>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1</c:f>
              <c:numCache>
                <c:formatCode>General</c:formatCode>
                <c:ptCount val="1"/>
                <c:pt idx="0">
                  <c:v>1</c:v>
                </c:pt>
              </c:numCache>
            </c:numRef>
          </c:val>
          <c:smooth val="0"/>
        </c:ser>
        <c:ser>
          <c:idx val="2"/>
          <c:order val="2"/>
          <c:spPr bwMode="auto">
            <a:prstGeom prst="rect">
              <a:avLst/>
            </a:prstGeom>
            <a:solidFill>
              <a:srgbClr val="000000"/>
            </a:solidFill>
            <a:ln w="12600">
              <a:solidFill>
                <a:srgbClr val="000000"/>
              </a:solidFill>
              <a:round/>
            </a:ln>
          </c:spPr>
          <c:marker>
            <c:symbol val="triangle"/>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2</c:f>
              <c:numCache>
                <c:formatCode>General</c:formatCode>
                <c:ptCount val="1"/>
                <c:pt idx="0">
                  <c:v>1</c:v>
                </c:pt>
              </c:numCache>
            </c:numRef>
          </c:val>
          <c:smooth val="0"/>
        </c:ser>
        <c:ser>
          <c:idx val="3"/>
          <c:order val="3"/>
          <c:spPr bwMode="auto">
            <a:prstGeom prst="rect">
              <a:avLst/>
            </a:prstGeom>
            <a:solidFill>
              <a:srgbClr val="000000"/>
            </a:solidFill>
            <a:ln w="12600">
              <a:solidFill>
                <a:srgbClr val="000000"/>
              </a:solidFill>
              <a:round/>
            </a:ln>
          </c:spPr>
          <c:marker>
            <c:symbol val="x"/>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3</c:f>
              <c:numCache>
                <c:formatCode>General</c:formatCode>
                <c:ptCount val="1"/>
                <c:pt idx="0">
                  <c:v>1</c:v>
                </c:pt>
              </c:numCache>
            </c:numRef>
          </c:val>
          <c:smooth val="0"/>
        </c:ser>
        <c:ser>
          <c:idx val="4"/>
          <c:order val="4"/>
          <c:spPr bwMode="auto">
            <a:prstGeom prst="rect">
              <a:avLst/>
            </a:prstGeom>
            <a:solidFill>
              <a:srgbClr val="000000"/>
            </a:solidFill>
            <a:ln w="12600">
              <a:solidFill>
                <a:srgbClr val="000000"/>
              </a:solidFill>
              <a:round/>
            </a:ln>
          </c:spPr>
          <c:marker>
            <c:symbol val="square"/>
            <c:size val="5"/>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4</c:f>
              <c:numCache>
                <c:formatCode>General</c:formatCode>
                <c:ptCount val="1"/>
                <c:pt idx="0">
                  <c:v>1</c:v>
                </c:pt>
              </c:numCache>
            </c:numRef>
          </c:val>
          <c:smooth val="0"/>
        </c:ser>
        <c:dLbls>
          <c:showBubbleSize val="0"/>
          <c:showCatName val="0"/>
          <c:showLeaderLines val="0"/>
          <c:showLegendKey val="0"/>
          <c:showPercent val="0"/>
          <c:showSerName val="0"/>
          <c:showVal val="0"/>
        </c:dLbls>
        <c:hiLowLines>
          <c:spPr bwMode="auto">
            <a:prstGeom prst="rect">
              <a:avLst/>
            </a:prstGeom>
            <a:ln w="0">
              <a:noFill/>
            </a:ln>
          </c:spPr>
        </c:hiLowLines>
        <c:marker val="1"/>
        <c:smooth val="0"/>
        <c:axId val="24878145"/>
        <c:axId val="71600061"/>
      </c:lineChart>
      <c:catAx>
        <c:axId val="24878145"/>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250" b="0" u="none" strike="noStrike">
                <a:solidFill>
                  <a:srgbClr val="000000"/>
                </a:solidFill>
                <a:latin typeface="Times New Roman CYR"/>
                <a:ea typeface="Times New Roman CYR"/>
              </a:defRPr>
            </a:pPr>
            <a:endParaRPr/>
          </a:p>
        </c:txPr>
        <c:crossAx val="71600061"/>
        <c:crosses val="autoZero"/>
        <c:auto val="1"/>
        <c:lblAlgn val="ctr"/>
        <c:lblOffset val="100"/>
        <c:noMultiLvlLbl val="0"/>
      </c:catAx>
      <c:valAx>
        <c:axId val="71600061"/>
        <c:scaling>
          <c:orientation val="minMax"/>
        </c:scaling>
        <c:delete val="0"/>
        <c:axPos val="l"/>
        <c:majorGridlines>
          <c:spPr bwMode="auto">
            <a:prstGeom prst="rect">
              <a:avLst/>
            </a:prstGeom>
            <a:ln w="3240">
              <a:solidFill>
                <a:srgbClr val="000000"/>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250" b="0" u="none" strike="noStrike">
                <a:solidFill>
                  <a:srgbClr val="000000"/>
                </a:solidFill>
                <a:latin typeface="Times New Roman CYR"/>
                <a:ea typeface="Times New Roman CYR"/>
              </a:defRPr>
            </a:pPr>
            <a:endParaRPr/>
          </a:p>
        </c:txPr>
        <c:crossAx val="24878145"/>
        <c:crosses val="autoZero"/>
        <c:crossBetween val="between"/>
      </c:valAx>
      <c:spPr bwMode="auto">
        <a:prstGeom prst="rect">
          <a:avLst/>
        </a:prstGeom>
        <a:solidFill>
          <a:srgbClr val="FFFFFF"/>
        </a:solidFill>
        <a:ln w="25560">
          <a:solidFill>
            <a:srgbClr val="000000"/>
          </a:solidFill>
          <a:round/>
        </a:ln>
      </c:spPr>
    </c:plotArea>
    <c:legend>
      <c:legendPos val="r"/>
      <c:layout/>
      <c:overlay val="0"/>
      <c:spPr bwMode="auto">
        <a:prstGeom prst="rect">
          <a:avLst/>
        </a:prstGeom>
        <a:solidFill>
          <a:srgbClr val="FFFFFF"/>
        </a:solidFill>
        <a:ln w="3240">
          <a:solidFill>
            <a:srgbClr val="000000"/>
          </a:solidFill>
          <a:round/>
        </a:ln>
      </c:spPr>
      <c:txPr>
        <a:bodyPr/>
        <a:lstStyle/>
        <a:p>
          <a:pPr>
            <a:defRPr sz="200" b="0" u="none" strike="noStrike">
              <a:solidFill>
                <a:srgbClr val="000000"/>
              </a:solidFill>
              <a:latin typeface="Times New Roman Cyr"/>
              <a:ea typeface="Times New Roman Cyr"/>
            </a:defRPr>
          </a:pPr>
          <a:endParaRPr/>
        </a:p>
      </c:txPr>
    </c:legend>
    <c:plotVisOnly val="1"/>
    <c:dispBlanksAs val="gap"/>
    <c:showDLblsOverMax val="0"/>
  </c:chart>
  <c:spPr bwMode="auto">
    <a:xfrm rot="0">
      <a:off x="0" y="7823880"/>
      <a:ext cx="6554880" cy="360"/>
    </a:xfrm>
    <a:prstGeom prst="rect">
      <a:avLst/>
    </a:prstGeom>
    <a:solidFill>
      <a:srgbClr val="FFFFFF"/>
    </a:solidFill>
    <a:ln w="3240">
      <a:solidFill>
        <a:srgbClr val="000000"/>
      </a:solidFill>
      <a:round/>
    </a:ln>
  </c:spPr>
</c:chartSpace>
</file>

<file path=xl/charts/chart11.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250" b="1" u="none" strike="noStrike">
                <a:solidFill>
                  <a:srgbClr val="000000"/>
                </a:solidFill>
                <a:latin typeface="Times New Roman Cyr"/>
                <a:ea typeface="Times New Roman Cyr"/>
              </a:rPr>
              <a:t>Факторный анализ темпа устойчивого роста, %</a:t>
            </a:r>
            <a:endParaRPr/>
          </a:p>
        </c:rich>
      </c:tx>
      <c:layout/>
      <c:overlay val="0"/>
      <c:spPr bwMode="auto">
        <a:prstGeom prst="rect">
          <a:avLst/>
        </a:prstGeom>
        <a:noFill/>
        <a:ln w="25560">
          <a:noFill/>
        </a:ln>
      </c:spPr>
    </c:title>
    <c:autoTitleDeleted val="0"/>
    <c:plotArea>
      <c:layout/>
      <c:barChart>
        <c:barDir val="col"/>
        <c:grouping val="clustered"/>
        <c:varyColors val="0"/>
        <c:ser>
          <c:idx val="0"/>
          <c:order val="0"/>
          <c:spPr bwMode="auto">
            <a:prstGeom prst="rect">
              <a:avLst/>
            </a:prstGeom>
            <a:solidFill>
              <a:srgbClr val="FFFFFF"/>
            </a:solidFill>
            <a:ln w="25560">
              <a:solidFill>
                <a:srgbClr val="000000"/>
              </a:solidFill>
              <a:round/>
            </a:ln>
          </c:spPr>
          <c:invertIfNegative val="0"/>
          <c:dLbls>
            <c:dLblPos val="outEnd"/>
            <c:numFmt formatCode="General" sourceLinked="0"/>
            <c:separator xml:space="preserve">; </c:separator>
            <c:showBubbleSize val="0"/>
            <c:showCatName val="0"/>
            <c:showLeaderLines val="0"/>
            <c:showLegendKey val="0"/>
            <c:showPercent val="0"/>
            <c:showSerName val="0"/>
            <c:showVal val="1"/>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0</c:f>
              <c:numCache>
                <c:formatCode>General</c:formatCode>
                <c:ptCount val="1"/>
                <c:pt idx="0">
                  <c:v>1</c:v>
                </c:pt>
              </c:numCache>
            </c:numRef>
          </c:val>
        </c:ser>
        <c:dLbls>
          <c:showBubbleSize val="0"/>
          <c:showCatName val="0"/>
          <c:showLeaderLines val="0"/>
          <c:showLegendKey val="0"/>
          <c:showPercent val="0"/>
          <c:showSerName val="0"/>
          <c:showVal val="0"/>
        </c:dLbls>
        <c:gapWidth val="150"/>
        <c:overlap val="0"/>
        <c:axId val="62271565"/>
        <c:axId val="39568577"/>
      </c:barChart>
      <c:catAx>
        <c:axId val="62271565"/>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200" b="0" u="none" strike="noStrike">
                <a:solidFill>
                  <a:srgbClr val="000000"/>
                </a:solidFill>
                <a:latin typeface="Times New Roman Cyr"/>
                <a:ea typeface="Times New Roman Cyr"/>
              </a:defRPr>
            </a:pPr>
            <a:endParaRPr/>
          </a:p>
        </c:txPr>
        <c:crossAx val="39568577"/>
        <c:crosses val="autoZero"/>
        <c:auto val="1"/>
        <c:lblAlgn val="ctr"/>
        <c:lblOffset val="100"/>
        <c:noMultiLvlLbl val="0"/>
      </c:catAx>
      <c:valAx>
        <c:axId val="39568577"/>
        <c:scaling>
          <c:orientation val="minMax"/>
        </c:scaling>
        <c:delete val="0"/>
        <c:axPos val="l"/>
        <c:majorGridlines>
          <c:spPr bwMode="auto">
            <a:prstGeom prst="rect">
              <a:avLst/>
            </a:prstGeom>
            <a:ln w="3240">
              <a:solidFill>
                <a:srgbClr val="000000"/>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200" b="0" u="none" strike="noStrike">
                <a:solidFill>
                  <a:srgbClr val="000000"/>
                </a:solidFill>
                <a:latin typeface="Arial Cyr"/>
                <a:ea typeface="Arial Cyr"/>
              </a:defRPr>
            </a:pPr>
            <a:endParaRPr/>
          </a:p>
        </c:txPr>
        <c:crossAx val="62271565"/>
        <c:crosses val="autoZero"/>
        <c:crossBetween val="between"/>
      </c:valAx>
      <c:spPr bwMode="auto">
        <a:prstGeom prst="rect">
          <a:avLst/>
        </a:prstGeom>
        <a:solidFill>
          <a:srgbClr val="FFFFFF"/>
        </a:solidFill>
        <a:ln w="25560">
          <a:solidFill>
            <a:srgbClr val="000000"/>
          </a:solidFill>
          <a:round/>
        </a:ln>
      </c:spPr>
    </c:plotArea>
    <c:plotVisOnly val="1"/>
    <c:dispBlanksAs val="gap"/>
    <c:showDLblsOverMax val="0"/>
  </c:chart>
  <c:spPr bwMode="auto">
    <a:xfrm rot="0">
      <a:off x="0" y="7823880"/>
      <a:ext cx="6554880" cy="360"/>
    </a:xfrm>
    <a:prstGeom prst="rect">
      <a:avLst/>
    </a:prstGeom>
    <a:solidFill>
      <a:srgbClr val="FFFFFF"/>
    </a:solidFill>
    <a:ln w="3240">
      <a:solidFill>
        <a:srgbClr val="000000"/>
      </a:solidFill>
      <a:round/>
    </a:ln>
  </c:spPr>
</c:chartSpace>
</file>

<file path=xl/charts/chart12.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250" b="1" u="none" strike="noStrike">
                <a:solidFill>
                  <a:srgbClr val="000000"/>
                </a:solidFill>
                <a:latin typeface="Times New Roman Cyr"/>
                <a:ea typeface="Times New Roman Cyr"/>
              </a:rPr>
              <a:t>Анализ темпа устойчивого роста </a:t>
            </a:r>
            <a:endParaRPr/>
          </a:p>
        </c:rich>
      </c:tx>
      <c:layout/>
      <c:overlay val="0"/>
      <c:spPr bwMode="auto">
        <a:prstGeom prst="rect">
          <a:avLst/>
        </a:prstGeom>
        <a:noFill/>
        <a:ln w="25560">
          <a:noFill/>
        </a:ln>
      </c:spPr>
    </c:title>
    <c:autoTitleDeleted val="0"/>
    <c:plotArea>
      <c:layout/>
      <c:lineChart>
        <c:grouping val="standard"/>
        <c:varyColors val="0"/>
        <c:ser>
          <c:idx val="0"/>
          <c:order val="0"/>
          <c:spPr bwMode="auto">
            <a:prstGeom prst="rect">
              <a:avLst/>
            </a:prstGeom>
            <a:solidFill>
              <a:srgbClr val="000000"/>
            </a:solidFill>
            <a:ln w="25560">
              <a:solidFill>
                <a:srgbClr val="000000"/>
              </a:solidFill>
              <a:round/>
            </a:ln>
          </c:spPr>
          <c:marker>
            <c:symbol val="diamond"/>
            <c:size val="7"/>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0</c:f>
              <c:numCache>
                <c:formatCode>General</c:formatCode>
                <c:ptCount val="1"/>
                <c:pt idx="0">
                  <c:v>1</c:v>
                </c:pt>
              </c:numCache>
            </c:numRef>
          </c:val>
          <c:smooth val="0"/>
        </c:ser>
        <c:ser>
          <c:idx val="1"/>
          <c:order val="1"/>
          <c:spPr bwMode="auto">
            <a:prstGeom prst="rect">
              <a:avLst/>
            </a:prstGeom>
            <a:solidFill>
              <a:srgbClr val="000000"/>
            </a:solidFill>
            <a:ln w="12600">
              <a:solidFill>
                <a:srgbClr val="000000"/>
              </a:solidFill>
              <a:round/>
            </a:ln>
          </c:spPr>
          <c:marker>
            <c:symbol val="square"/>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1</c:f>
              <c:numCache>
                <c:formatCode>General</c:formatCode>
                <c:ptCount val="1"/>
                <c:pt idx="0">
                  <c:v>1</c:v>
                </c:pt>
              </c:numCache>
            </c:numRef>
          </c:val>
          <c:smooth val="0"/>
        </c:ser>
        <c:ser>
          <c:idx val="2"/>
          <c:order val="2"/>
          <c:spPr bwMode="auto">
            <a:prstGeom prst="rect">
              <a:avLst/>
            </a:prstGeom>
            <a:solidFill>
              <a:srgbClr val="000000"/>
            </a:solidFill>
            <a:ln w="12600">
              <a:solidFill>
                <a:srgbClr val="000000"/>
              </a:solidFill>
              <a:round/>
            </a:ln>
          </c:spPr>
          <c:marker>
            <c:symbol val="triangle"/>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2</c:f>
              <c:numCache>
                <c:formatCode>General</c:formatCode>
                <c:ptCount val="1"/>
                <c:pt idx="0">
                  <c:v>1</c:v>
                </c:pt>
              </c:numCache>
            </c:numRef>
          </c:val>
          <c:smooth val="0"/>
        </c:ser>
        <c:ser>
          <c:idx val="3"/>
          <c:order val="3"/>
          <c:spPr bwMode="auto">
            <a:prstGeom prst="rect">
              <a:avLst/>
            </a:prstGeom>
            <a:solidFill>
              <a:srgbClr val="000000"/>
            </a:solidFill>
            <a:ln w="12600">
              <a:solidFill>
                <a:srgbClr val="000000"/>
              </a:solidFill>
              <a:round/>
            </a:ln>
          </c:spPr>
          <c:marker>
            <c:symbol val="x"/>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3</c:f>
              <c:numCache>
                <c:formatCode>General</c:formatCode>
                <c:ptCount val="1"/>
                <c:pt idx="0">
                  <c:v>1</c:v>
                </c:pt>
              </c:numCache>
            </c:numRef>
          </c:val>
          <c:smooth val="0"/>
        </c:ser>
        <c:ser>
          <c:idx val="4"/>
          <c:order val="4"/>
          <c:spPr bwMode="auto">
            <a:prstGeom prst="rect">
              <a:avLst/>
            </a:prstGeom>
            <a:solidFill>
              <a:srgbClr val="000000"/>
            </a:solidFill>
            <a:ln w="12600">
              <a:solidFill>
                <a:srgbClr val="000000"/>
              </a:solidFill>
              <a:round/>
            </a:ln>
          </c:spPr>
          <c:marker>
            <c:symbol val="square"/>
            <c:size val="5"/>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4</c:f>
              <c:numCache>
                <c:formatCode>General</c:formatCode>
                <c:ptCount val="1"/>
                <c:pt idx="0">
                  <c:v>1</c:v>
                </c:pt>
              </c:numCache>
            </c:numRef>
          </c:val>
          <c:smooth val="0"/>
        </c:ser>
        <c:dLbls>
          <c:showBubbleSize val="0"/>
          <c:showCatName val="0"/>
          <c:showLeaderLines val="0"/>
          <c:showLegendKey val="0"/>
          <c:showPercent val="0"/>
          <c:showSerName val="0"/>
          <c:showVal val="0"/>
        </c:dLbls>
        <c:hiLowLines>
          <c:spPr bwMode="auto">
            <a:prstGeom prst="rect">
              <a:avLst/>
            </a:prstGeom>
            <a:ln w="0">
              <a:noFill/>
            </a:ln>
          </c:spPr>
        </c:hiLowLines>
        <c:marker val="1"/>
        <c:smooth val="0"/>
        <c:axId val="62891140"/>
        <c:axId val="52596036"/>
      </c:lineChart>
      <c:catAx>
        <c:axId val="62891140"/>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250" b="0" u="none" strike="noStrike">
                <a:solidFill>
                  <a:srgbClr val="000000"/>
                </a:solidFill>
                <a:latin typeface="Times New Roman CYR"/>
                <a:ea typeface="Times New Roman CYR"/>
              </a:defRPr>
            </a:pPr>
            <a:endParaRPr/>
          </a:p>
        </c:txPr>
        <c:crossAx val="52596036"/>
        <c:crosses val="autoZero"/>
        <c:auto val="1"/>
        <c:lblAlgn val="ctr"/>
        <c:lblOffset val="100"/>
        <c:noMultiLvlLbl val="0"/>
      </c:catAx>
      <c:valAx>
        <c:axId val="52596036"/>
        <c:scaling>
          <c:orientation val="minMax"/>
        </c:scaling>
        <c:delete val="0"/>
        <c:axPos val="l"/>
        <c:majorGridlines>
          <c:spPr bwMode="auto">
            <a:prstGeom prst="rect">
              <a:avLst/>
            </a:prstGeom>
            <a:ln w="3240">
              <a:solidFill>
                <a:srgbClr val="000000"/>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250" b="0" u="none" strike="noStrike">
                <a:solidFill>
                  <a:srgbClr val="000000"/>
                </a:solidFill>
                <a:latin typeface="Times New Roman CYR"/>
                <a:ea typeface="Times New Roman CYR"/>
              </a:defRPr>
            </a:pPr>
            <a:endParaRPr/>
          </a:p>
        </c:txPr>
        <c:crossAx val="62891140"/>
        <c:crosses val="autoZero"/>
        <c:crossBetween val="between"/>
      </c:valAx>
      <c:spPr bwMode="auto">
        <a:prstGeom prst="rect">
          <a:avLst/>
        </a:prstGeom>
        <a:solidFill>
          <a:srgbClr val="FFFFFF"/>
        </a:solidFill>
        <a:ln w="25560">
          <a:solidFill>
            <a:srgbClr val="000000"/>
          </a:solidFill>
          <a:round/>
        </a:ln>
      </c:spPr>
    </c:plotArea>
    <c:legend>
      <c:legendPos val="r"/>
      <c:layout/>
      <c:overlay val="0"/>
      <c:spPr bwMode="auto">
        <a:prstGeom prst="rect">
          <a:avLst/>
        </a:prstGeom>
        <a:solidFill>
          <a:srgbClr val="FFFFFF"/>
        </a:solidFill>
        <a:ln w="3240">
          <a:solidFill>
            <a:srgbClr val="000000"/>
          </a:solidFill>
          <a:round/>
        </a:ln>
      </c:spPr>
      <c:txPr>
        <a:bodyPr/>
        <a:lstStyle/>
        <a:p>
          <a:pPr>
            <a:defRPr sz="200" b="0" u="none" strike="noStrike">
              <a:solidFill>
                <a:srgbClr val="000000"/>
              </a:solidFill>
              <a:latin typeface="Times New Roman Cyr"/>
              <a:ea typeface="Times New Roman Cyr"/>
            </a:defRPr>
          </a:pPr>
          <a:endParaRPr/>
        </a:p>
      </c:txPr>
    </c:legend>
    <c:plotVisOnly val="1"/>
    <c:dispBlanksAs val="gap"/>
    <c:showDLblsOverMax val="0"/>
  </c:chart>
  <c:spPr bwMode="auto">
    <a:xfrm rot="0">
      <a:off x="5239440" y="7823880"/>
      <a:ext cx="3946680" cy="360"/>
    </a:xfrm>
    <a:prstGeom prst="rect">
      <a:avLst/>
    </a:prstGeom>
    <a:solidFill>
      <a:srgbClr val="FFFFFF"/>
    </a:solidFill>
    <a:ln w="3240">
      <a:solidFill>
        <a:srgbClr val="000000"/>
      </a:solidFill>
      <a:round/>
    </a:ln>
  </c:spPr>
</c:chartSpace>
</file>

<file path=xl/charts/chart13.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250" b="1" u="none" strike="noStrike">
                <a:solidFill>
                  <a:srgbClr val="000000"/>
                </a:solidFill>
                <a:latin typeface="Times New Roman Cyr"/>
                <a:ea typeface="Times New Roman Cyr"/>
              </a:rPr>
              <a:t>Факторный анализ темпа устойчивого роста, %</a:t>
            </a:r>
            <a:endParaRPr/>
          </a:p>
        </c:rich>
      </c:tx>
      <c:layout/>
      <c:overlay val="0"/>
      <c:spPr bwMode="auto">
        <a:prstGeom prst="rect">
          <a:avLst/>
        </a:prstGeom>
        <a:noFill/>
        <a:ln w="25560">
          <a:noFill/>
        </a:ln>
      </c:spPr>
    </c:title>
    <c:autoTitleDeleted val="0"/>
    <c:plotArea>
      <c:layout/>
      <c:barChart>
        <c:barDir val="col"/>
        <c:grouping val="clustered"/>
        <c:varyColors val="0"/>
        <c:ser>
          <c:idx val="0"/>
          <c:order val="0"/>
          <c:spPr bwMode="auto">
            <a:prstGeom prst="rect">
              <a:avLst/>
            </a:prstGeom>
            <a:solidFill>
              <a:srgbClr val="FFFFFF"/>
            </a:solidFill>
            <a:ln w="25560">
              <a:solidFill>
                <a:srgbClr val="000000"/>
              </a:solidFill>
              <a:round/>
            </a:ln>
          </c:spPr>
          <c:invertIfNegative val="0"/>
          <c:dLbls>
            <c:dLblPos val="outEnd"/>
            <c:numFmt formatCode="General" sourceLinked="0"/>
            <c:separator xml:space="preserve">; </c:separator>
            <c:showBubbleSize val="0"/>
            <c:showCatName val="0"/>
            <c:showLeaderLines val="0"/>
            <c:showLegendKey val="0"/>
            <c:showPercent val="0"/>
            <c:showSerName val="0"/>
            <c:showVal val="1"/>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0</c:f>
              <c:numCache>
                <c:formatCode>General</c:formatCode>
                <c:ptCount val="1"/>
                <c:pt idx="0">
                  <c:v>1</c:v>
                </c:pt>
              </c:numCache>
            </c:numRef>
          </c:val>
        </c:ser>
        <c:dLbls>
          <c:showBubbleSize val="0"/>
          <c:showCatName val="0"/>
          <c:showLeaderLines val="0"/>
          <c:showLegendKey val="0"/>
          <c:showPercent val="0"/>
          <c:showSerName val="0"/>
          <c:showVal val="0"/>
        </c:dLbls>
        <c:gapWidth val="150"/>
        <c:overlap val="0"/>
        <c:axId val="51115704"/>
        <c:axId val="8481798"/>
      </c:barChart>
      <c:catAx>
        <c:axId val="51115704"/>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200" b="0" u="none" strike="noStrike">
                <a:solidFill>
                  <a:srgbClr val="000000"/>
                </a:solidFill>
                <a:latin typeface="Times New Roman Cyr"/>
                <a:ea typeface="Times New Roman Cyr"/>
              </a:defRPr>
            </a:pPr>
            <a:endParaRPr/>
          </a:p>
        </c:txPr>
        <c:crossAx val="8481798"/>
        <c:crosses val="autoZero"/>
        <c:auto val="1"/>
        <c:lblAlgn val="ctr"/>
        <c:lblOffset val="100"/>
        <c:noMultiLvlLbl val="0"/>
      </c:catAx>
      <c:valAx>
        <c:axId val="8481798"/>
        <c:scaling>
          <c:orientation val="minMax"/>
        </c:scaling>
        <c:delete val="0"/>
        <c:axPos val="l"/>
        <c:majorGridlines>
          <c:spPr bwMode="auto">
            <a:prstGeom prst="rect">
              <a:avLst/>
            </a:prstGeom>
            <a:ln w="3240">
              <a:solidFill>
                <a:srgbClr val="000000"/>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200" b="0" u="none" strike="noStrike">
                <a:solidFill>
                  <a:srgbClr val="000000"/>
                </a:solidFill>
                <a:latin typeface="Arial Cyr"/>
                <a:ea typeface="Arial Cyr"/>
              </a:defRPr>
            </a:pPr>
            <a:endParaRPr/>
          </a:p>
        </c:txPr>
        <c:crossAx val="51115704"/>
        <c:crosses val="autoZero"/>
        <c:crossBetween val="between"/>
      </c:valAx>
      <c:spPr bwMode="auto">
        <a:prstGeom prst="rect">
          <a:avLst/>
        </a:prstGeom>
        <a:solidFill>
          <a:srgbClr val="FFFFFF"/>
        </a:solidFill>
        <a:ln w="25560">
          <a:solidFill>
            <a:srgbClr val="000000"/>
          </a:solidFill>
          <a:round/>
        </a:ln>
      </c:spPr>
    </c:plotArea>
    <c:plotVisOnly val="1"/>
    <c:dispBlanksAs val="gap"/>
    <c:showDLblsOverMax val="0"/>
  </c:chart>
  <c:spPr bwMode="auto">
    <a:xfrm rot="0">
      <a:off x="5239440" y="7823880"/>
      <a:ext cx="3946680" cy="360"/>
    </a:xfrm>
    <a:prstGeom prst="rect">
      <a:avLst/>
    </a:prstGeom>
    <a:solidFill>
      <a:srgbClr val="FFFFFF"/>
    </a:solidFill>
    <a:ln w="3240">
      <a:solidFill>
        <a:srgbClr val="000000"/>
      </a:solidFill>
      <a:round/>
    </a:ln>
  </c:spPr>
</c:chartSpace>
</file>

<file path=xl/charts/chart14.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250" b="1" u="none" strike="noStrike">
                <a:solidFill>
                  <a:srgbClr val="000000"/>
                </a:solidFill>
                <a:latin typeface="Times New Roman Cyr"/>
                <a:ea typeface="Times New Roman Cyr"/>
              </a:rPr>
              <a:t>Анализ темпа устойчивого роста </a:t>
            </a:r>
            <a:endParaRPr/>
          </a:p>
        </c:rich>
      </c:tx>
      <c:layout/>
      <c:overlay val="0"/>
      <c:spPr bwMode="auto">
        <a:prstGeom prst="rect">
          <a:avLst/>
        </a:prstGeom>
        <a:noFill/>
        <a:ln w="25560">
          <a:noFill/>
        </a:ln>
      </c:spPr>
    </c:title>
    <c:autoTitleDeleted val="0"/>
    <c:plotArea>
      <c:layout/>
      <c:lineChart>
        <c:grouping val="standard"/>
        <c:varyColors val="0"/>
        <c:ser>
          <c:idx val="0"/>
          <c:order val="0"/>
          <c:spPr bwMode="auto">
            <a:prstGeom prst="rect">
              <a:avLst/>
            </a:prstGeom>
            <a:solidFill>
              <a:srgbClr val="000000"/>
            </a:solidFill>
            <a:ln w="25560">
              <a:solidFill>
                <a:srgbClr val="000000"/>
              </a:solidFill>
              <a:round/>
            </a:ln>
          </c:spPr>
          <c:marker>
            <c:symbol val="diamond"/>
            <c:size val="7"/>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0</c:f>
              <c:numCache>
                <c:formatCode>General</c:formatCode>
                <c:ptCount val="1"/>
                <c:pt idx="0">
                  <c:v>1</c:v>
                </c:pt>
              </c:numCache>
            </c:numRef>
          </c:val>
          <c:smooth val="0"/>
        </c:ser>
        <c:ser>
          <c:idx val="1"/>
          <c:order val="1"/>
          <c:spPr bwMode="auto">
            <a:prstGeom prst="rect">
              <a:avLst/>
            </a:prstGeom>
            <a:solidFill>
              <a:srgbClr val="000000"/>
            </a:solidFill>
            <a:ln w="12600">
              <a:solidFill>
                <a:srgbClr val="000000"/>
              </a:solidFill>
              <a:round/>
            </a:ln>
          </c:spPr>
          <c:marker>
            <c:symbol val="square"/>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1</c:f>
              <c:numCache>
                <c:formatCode>General</c:formatCode>
                <c:ptCount val="1"/>
                <c:pt idx="0">
                  <c:v>1</c:v>
                </c:pt>
              </c:numCache>
            </c:numRef>
          </c:val>
          <c:smooth val="0"/>
        </c:ser>
        <c:ser>
          <c:idx val="2"/>
          <c:order val="2"/>
          <c:spPr bwMode="auto">
            <a:prstGeom prst="rect">
              <a:avLst/>
            </a:prstGeom>
            <a:solidFill>
              <a:srgbClr val="000000"/>
            </a:solidFill>
            <a:ln w="12600">
              <a:solidFill>
                <a:srgbClr val="000000"/>
              </a:solidFill>
              <a:round/>
            </a:ln>
          </c:spPr>
          <c:marker>
            <c:symbol val="triangle"/>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2</c:f>
              <c:numCache>
                <c:formatCode>General</c:formatCode>
                <c:ptCount val="1"/>
                <c:pt idx="0">
                  <c:v>1</c:v>
                </c:pt>
              </c:numCache>
            </c:numRef>
          </c:val>
          <c:smooth val="0"/>
        </c:ser>
        <c:ser>
          <c:idx val="3"/>
          <c:order val="3"/>
          <c:spPr bwMode="auto">
            <a:prstGeom prst="rect">
              <a:avLst/>
            </a:prstGeom>
            <a:solidFill>
              <a:srgbClr val="000000"/>
            </a:solidFill>
            <a:ln w="12600">
              <a:solidFill>
                <a:srgbClr val="000000"/>
              </a:solidFill>
              <a:round/>
            </a:ln>
          </c:spPr>
          <c:marker>
            <c:symbol val="x"/>
            <c:size val="4"/>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3</c:f>
              <c:numCache>
                <c:formatCode>General</c:formatCode>
                <c:ptCount val="1"/>
                <c:pt idx="0">
                  <c:v>1</c:v>
                </c:pt>
              </c:numCache>
            </c:numRef>
          </c:val>
          <c:smooth val="0"/>
        </c:ser>
        <c:ser>
          <c:idx val="4"/>
          <c:order val="4"/>
          <c:spPr bwMode="auto">
            <a:prstGeom prst="rect">
              <a:avLst/>
            </a:prstGeom>
            <a:solidFill>
              <a:srgbClr val="000000"/>
            </a:solidFill>
            <a:ln w="12600">
              <a:solidFill>
                <a:srgbClr val="000000"/>
              </a:solidFill>
              <a:round/>
            </a:ln>
          </c:spPr>
          <c:marker>
            <c:symbol val="square"/>
            <c:size val="5"/>
            <c:spPr bwMode="auto">
              <a:prstGeom prst="rect">
                <a:avLst/>
              </a:prstGeom>
              <a:solidFill>
                <a:srgbClr val="000000"/>
              </a:solidFill>
            </c:spPr>
          </c:marker>
          <c:dLbls>
            <c:dLblPos val="r"/>
            <c:separator xml:space="preserve">; </c:separator>
            <c:showBubbleSize val="0"/>
            <c:showCatName val="0"/>
            <c:showLeaderLines val="0"/>
            <c:showLegendKey val="0"/>
            <c:showPercent val="0"/>
            <c:showSerName val="0"/>
            <c:showVal val="0"/>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4</c:f>
              <c:numCache>
                <c:formatCode>General</c:formatCode>
                <c:ptCount val="1"/>
                <c:pt idx="0">
                  <c:v>1</c:v>
                </c:pt>
              </c:numCache>
            </c:numRef>
          </c:val>
          <c:smooth val="0"/>
        </c:ser>
        <c:dLbls>
          <c:showBubbleSize val="0"/>
          <c:showCatName val="0"/>
          <c:showLeaderLines val="0"/>
          <c:showLegendKey val="0"/>
          <c:showPercent val="0"/>
          <c:showSerName val="0"/>
          <c:showVal val="0"/>
        </c:dLbls>
        <c:hiLowLines>
          <c:spPr bwMode="auto">
            <a:prstGeom prst="rect">
              <a:avLst/>
            </a:prstGeom>
            <a:ln w="0">
              <a:noFill/>
            </a:ln>
          </c:spPr>
        </c:hiLowLines>
        <c:marker val="1"/>
        <c:smooth val="0"/>
        <c:axId val="31441433"/>
        <c:axId val="42936748"/>
      </c:lineChart>
      <c:catAx>
        <c:axId val="31441433"/>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250" b="0" u="none" strike="noStrike">
                <a:solidFill>
                  <a:srgbClr val="000000"/>
                </a:solidFill>
                <a:latin typeface="Times New Roman CYR"/>
                <a:ea typeface="Times New Roman CYR"/>
              </a:defRPr>
            </a:pPr>
            <a:endParaRPr/>
          </a:p>
        </c:txPr>
        <c:crossAx val="42936748"/>
        <c:crosses val="autoZero"/>
        <c:auto val="1"/>
        <c:lblAlgn val="ctr"/>
        <c:lblOffset val="100"/>
        <c:noMultiLvlLbl val="0"/>
      </c:catAx>
      <c:valAx>
        <c:axId val="42936748"/>
        <c:scaling>
          <c:orientation val="minMax"/>
        </c:scaling>
        <c:delete val="0"/>
        <c:axPos val="l"/>
        <c:majorGridlines>
          <c:spPr bwMode="auto">
            <a:prstGeom prst="rect">
              <a:avLst/>
            </a:prstGeom>
            <a:ln w="3240">
              <a:solidFill>
                <a:srgbClr val="000000"/>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250" b="0" u="none" strike="noStrike">
                <a:solidFill>
                  <a:srgbClr val="000000"/>
                </a:solidFill>
                <a:latin typeface="Times New Roman CYR"/>
                <a:ea typeface="Times New Roman CYR"/>
              </a:defRPr>
            </a:pPr>
            <a:endParaRPr/>
          </a:p>
        </c:txPr>
        <c:crossAx val="31441433"/>
        <c:crosses val="autoZero"/>
        <c:crossBetween val="between"/>
      </c:valAx>
      <c:spPr bwMode="auto">
        <a:prstGeom prst="rect">
          <a:avLst/>
        </a:prstGeom>
        <a:solidFill>
          <a:srgbClr val="FFFFFF"/>
        </a:solidFill>
        <a:ln w="25560">
          <a:solidFill>
            <a:srgbClr val="000000"/>
          </a:solidFill>
          <a:round/>
        </a:ln>
      </c:spPr>
    </c:plotArea>
    <c:legend>
      <c:legendPos val="r"/>
      <c:layout/>
      <c:overlay val="0"/>
      <c:spPr bwMode="auto">
        <a:prstGeom prst="rect">
          <a:avLst/>
        </a:prstGeom>
        <a:solidFill>
          <a:srgbClr val="FFFFFF"/>
        </a:solidFill>
        <a:ln w="3240">
          <a:solidFill>
            <a:srgbClr val="000000"/>
          </a:solidFill>
          <a:round/>
        </a:ln>
      </c:spPr>
      <c:txPr>
        <a:bodyPr/>
        <a:lstStyle/>
        <a:p>
          <a:pPr>
            <a:defRPr sz="200" b="0" u="none" strike="noStrike">
              <a:solidFill>
                <a:srgbClr val="000000"/>
              </a:solidFill>
              <a:latin typeface="Times New Roman Cyr"/>
              <a:ea typeface="Times New Roman Cyr"/>
            </a:defRPr>
          </a:pPr>
          <a:endParaRPr/>
        </a:p>
      </c:txPr>
    </c:legend>
    <c:plotVisOnly val="1"/>
    <c:dispBlanksAs val="gap"/>
    <c:showDLblsOverMax val="0"/>
  </c:chart>
  <c:spPr bwMode="auto">
    <a:xfrm rot="0">
      <a:off x="7870680" y="7823880"/>
      <a:ext cx="3947040" cy="360"/>
    </a:xfrm>
    <a:prstGeom prst="rect">
      <a:avLst/>
    </a:prstGeom>
    <a:solidFill>
      <a:srgbClr val="FFFFFF"/>
    </a:solidFill>
    <a:ln w="3240">
      <a:solidFill>
        <a:srgbClr val="000000"/>
      </a:solidFill>
      <a:round/>
    </a:ln>
  </c:spPr>
</c:chartSpace>
</file>

<file path=xl/charts/chart15.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250" b="1" u="none" strike="noStrike">
                <a:solidFill>
                  <a:srgbClr val="000000"/>
                </a:solidFill>
                <a:latin typeface="Times New Roman Cyr"/>
                <a:ea typeface="Times New Roman Cyr"/>
              </a:rPr>
              <a:t>Факторный анализ темпа устойчивого роста, %</a:t>
            </a:r>
            <a:endParaRPr/>
          </a:p>
        </c:rich>
      </c:tx>
      <c:layout/>
      <c:overlay val="0"/>
      <c:spPr bwMode="auto">
        <a:prstGeom prst="rect">
          <a:avLst/>
        </a:prstGeom>
        <a:noFill/>
        <a:ln w="25560">
          <a:noFill/>
        </a:ln>
      </c:spPr>
    </c:title>
    <c:autoTitleDeleted val="0"/>
    <c:plotArea>
      <c:layout/>
      <c:barChart>
        <c:barDir val="col"/>
        <c:grouping val="clustered"/>
        <c:varyColors val="0"/>
        <c:ser>
          <c:idx val="0"/>
          <c:order val="0"/>
          <c:spPr bwMode="auto">
            <a:prstGeom prst="rect">
              <a:avLst/>
            </a:prstGeom>
            <a:solidFill>
              <a:srgbClr val="FFFFFF"/>
            </a:solidFill>
            <a:ln w="25560">
              <a:solidFill>
                <a:srgbClr val="000000"/>
              </a:solidFill>
              <a:round/>
            </a:ln>
          </c:spPr>
          <c:invertIfNegative val="0"/>
          <c:dLbls>
            <c:dLblPos val="outEnd"/>
            <c:numFmt formatCode="General" sourceLinked="0"/>
            <c:separator xml:space="preserve">; </c:separator>
            <c:showBubbleSize val="0"/>
            <c:showCatName val="0"/>
            <c:showLeaderLines val="0"/>
            <c:showLegendKey val="0"/>
            <c:showPercent val="0"/>
            <c:showSerName val="0"/>
            <c:showVal val="1"/>
            <c:txPr>
              <a:bodyPr wrap="square"/>
              <a:lstStyle/>
              <a:p>
                <a:pPr>
                  <a:defRPr sz="200" b="0" u="none" strike="noStrike">
                    <a:solidFill>
                      <a:srgbClr val="000000"/>
                    </a:solidFill>
                    <a:latin typeface="Times New Roman Cyr"/>
                    <a:ea typeface="Times New Roman Cyr"/>
                  </a:defRPr>
                </a:pPr>
                <a:endParaRPr/>
              </a:p>
            </c:txPr>
          </c:dLbls>
          <c:cat>
            <c:strRef>
              <c:f>categories</c:f>
              <c:strCache>
                <c:ptCount val="1"/>
                <c:pt idx="0">
                  <c:v>1</c:v>
                </c:pt>
              </c:strCache>
            </c:strRef>
          </c:cat>
          <c:val>
            <c:numRef>
              <c:f>0</c:f>
              <c:numCache>
                <c:formatCode>General</c:formatCode>
                <c:ptCount val="1"/>
                <c:pt idx="0">
                  <c:v>1</c:v>
                </c:pt>
              </c:numCache>
            </c:numRef>
          </c:val>
        </c:ser>
        <c:dLbls>
          <c:showBubbleSize val="0"/>
          <c:showCatName val="0"/>
          <c:showLeaderLines val="0"/>
          <c:showLegendKey val="0"/>
          <c:showPercent val="0"/>
          <c:showSerName val="0"/>
          <c:showVal val="0"/>
        </c:dLbls>
        <c:gapWidth val="150"/>
        <c:overlap val="0"/>
        <c:axId val="40987611"/>
        <c:axId val="19285092"/>
      </c:barChart>
      <c:catAx>
        <c:axId val="40987611"/>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200" b="0" u="none" strike="noStrike">
                <a:solidFill>
                  <a:srgbClr val="000000"/>
                </a:solidFill>
                <a:latin typeface="Times New Roman Cyr"/>
                <a:ea typeface="Times New Roman Cyr"/>
              </a:defRPr>
            </a:pPr>
            <a:endParaRPr/>
          </a:p>
        </c:txPr>
        <c:crossAx val="19285092"/>
        <c:crosses val="autoZero"/>
        <c:auto val="1"/>
        <c:lblAlgn val="ctr"/>
        <c:lblOffset val="100"/>
        <c:noMultiLvlLbl val="0"/>
      </c:catAx>
      <c:valAx>
        <c:axId val="19285092"/>
        <c:scaling>
          <c:orientation val="minMax"/>
        </c:scaling>
        <c:delete val="0"/>
        <c:axPos val="l"/>
        <c:majorGridlines>
          <c:spPr bwMode="auto">
            <a:prstGeom prst="rect">
              <a:avLst/>
            </a:prstGeom>
            <a:ln w="3240">
              <a:solidFill>
                <a:srgbClr val="000000"/>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200" b="0" u="none" strike="noStrike">
                <a:solidFill>
                  <a:srgbClr val="000000"/>
                </a:solidFill>
                <a:latin typeface="Arial Cyr"/>
                <a:ea typeface="Arial Cyr"/>
              </a:defRPr>
            </a:pPr>
            <a:endParaRPr/>
          </a:p>
        </c:txPr>
        <c:crossAx val="40987611"/>
        <c:crosses val="autoZero"/>
        <c:crossBetween val="between"/>
      </c:valAx>
      <c:spPr bwMode="auto">
        <a:prstGeom prst="rect">
          <a:avLst/>
        </a:prstGeom>
        <a:solidFill>
          <a:srgbClr val="FFFFFF"/>
        </a:solidFill>
        <a:ln w="25560">
          <a:solidFill>
            <a:srgbClr val="000000"/>
          </a:solidFill>
          <a:round/>
        </a:ln>
      </c:spPr>
    </c:plotArea>
    <c:plotVisOnly val="1"/>
    <c:dispBlanksAs val="gap"/>
    <c:showDLblsOverMax val="0"/>
  </c:chart>
  <c:spPr bwMode="auto">
    <a:xfrm rot="0">
      <a:off x="7870680" y="7823880"/>
      <a:ext cx="3947040" cy="360"/>
    </a:xfrm>
    <a:prstGeom prst="rect">
      <a:avLst/>
    </a:prstGeom>
    <a:solidFill>
      <a:srgbClr val="FFFFFF"/>
    </a:solidFill>
    <a:ln w="3240">
      <a:solidFill>
        <a:srgbClr val="000000"/>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sz="1400" b="0" u="none" strike="noStrike">
                <a:solidFill>
                  <a:schemeClr val="tx1">
                    <a:lumMod val="65000"/>
                    <a:lumOff val="35000"/>
                  </a:schemeClr>
                </a:solidFill>
                <a:latin typeface="Calibri"/>
                <a:ea typeface="Arial"/>
              </a:rPr>
              <a:t> Чистая кредитная позиция (дебиторская задолженность - кредиторская задолженность), тыс. руб. </a:t>
            </a:r>
            <a:endParaRPr/>
          </a:p>
        </c:rich>
      </c:tx>
      <c:layout/>
      <c:overlay val="0"/>
      <c:spPr bwMode="auto">
        <a:prstGeom prst="rect">
          <a:avLst/>
        </a:prstGeom>
        <a:noFill/>
        <a:ln w="0">
          <a:noFill/>
        </a:ln>
      </c:spPr>
    </c:title>
    <c:autoTitleDeleted val="0"/>
    <c:plotArea>
      <c:layout/>
      <c:lineChart>
        <c:grouping val="stacked"/>
        <c:varyColors val="0"/>
        <c:ser>
          <c:idx val="0"/>
          <c:order val="0"/>
          <c:tx>
            <c:strRef>
              <c:f>аб!$A$94</c:f>
              <c:strCache>
                <c:ptCount val="1"/>
                <c:pt idx="0">
                  <c:v xml:space="preserve"> Чистая кредитная позиция (дебиторская задолженность - кредиторская задолженность), тыс. руб. </c:v>
                </c:pt>
              </c:strCache>
            </c:strRef>
          </c:tx>
          <c:spPr bwMode="auto">
            <a:prstGeom prst="rect">
              <a:avLst/>
            </a:prstGeom>
            <a:solidFill>
              <a:srgbClr val="4472C4"/>
            </a:solidFill>
            <a:ln w="28440" cap="rnd">
              <a:solidFill>
                <a:srgbClr val="4472C4"/>
              </a:solidFill>
              <a:round/>
            </a:ln>
          </c:spPr>
          <c:marker>
            <c:symbol val="none"/>
          </c:marker>
          <c:dLbls>
            <c:dLblPos val="r"/>
            <c:separator xml:space="preserve">; </c:separator>
            <c:showBubbleSize val="0"/>
            <c:showCatName val="0"/>
            <c:showLeaderLines val="0"/>
            <c:showLegendKey val="0"/>
            <c:showPercent val="0"/>
            <c:showSerName val="0"/>
            <c:showVal val="0"/>
            <c:txPr>
              <a:bodyPr wrap="square"/>
              <a:lstStyle/>
              <a:p>
                <a:pPr>
                  <a:defRPr sz="1000" b="0" u="none" strike="noStrike">
                    <a:solidFill>
                      <a:srgbClr val="000000"/>
                    </a:solidFill>
                    <a:latin typeface="Calibri"/>
                    <a:ea typeface="Arial"/>
                  </a:defRPr>
                </a:pPr>
                <a:endParaRPr/>
              </a:p>
            </c:txPr>
          </c:dLbls>
          <c:cat>
            <c:strRef>
              <c:f>аб!$B$90:$G$90</c:f>
              <c:strCache>
                <c:ptCount val="6"/>
                <c:pt idx="0">
                  <c:v xml:space="preserve"> 2019/2018 год </c:v>
                </c:pt>
                <c:pt idx="1">
                  <c:v xml:space="preserve"> 2018/2017 год </c:v>
                </c:pt>
                <c:pt idx="2">
                  <c:v xml:space="preserve"> 2017/2016 год </c:v>
                </c:pt>
                <c:pt idx="3">
                  <c:v xml:space="preserve"> 2016/2015 год </c:v>
                </c:pt>
                <c:pt idx="4">
                  <c:v xml:space="preserve"> 2015/2014 год </c:v>
                </c:pt>
                <c:pt idx="5">
                  <c:v xml:space="preserve"> 2014/2013 год </c:v>
                </c:pt>
              </c:strCache>
            </c:strRef>
          </c:cat>
          <c:val>
            <c:numRef>
              <c:f>аб!$B$94:$G$94</c:f>
              <c:numCache>
                <c:formatCode>_(* #,##0_);_(* \(#,##0\);_(* \-??_);_(@_)</c:formatCode>
                <c:ptCount val="6"/>
                <c:pt idx="0">
                  <c:v>-2394681</c:v>
                </c:pt>
                <c:pt idx="1">
                  <c:v>187662.5</c:v>
                </c:pt>
                <c:pt idx="2">
                  <c:v>-376449</c:v>
                </c:pt>
                <c:pt idx="3">
                  <c:v>-1425982.5</c:v>
                </c:pt>
                <c:pt idx="4">
                  <c:v>-648843</c:v>
                </c:pt>
                <c:pt idx="5">
                  <c:v>192623.5</c:v>
                </c:pt>
              </c:numCache>
            </c:numRef>
          </c:val>
          <c:smooth val="0"/>
        </c:ser>
        <c:dLbls>
          <c:showBubbleSize val="0"/>
          <c:showCatName val="0"/>
          <c:showLeaderLines val="0"/>
          <c:showLegendKey val="0"/>
          <c:showPercent val="0"/>
          <c:showSerName val="0"/>
          <c:showVal val="0"/>
        </c:dLbls>
        <c:hiLowLines>
          <c:spPr bwMode="auto">
            <a:prstGeom prst="rect">
              <a:avLst/>
            </a:prstGeom>
            <a:ln w="0">
              <a:noFill/>
            </a:ln>
          </c:spPr>
        </c:hiLowLines>
        <c:marker val="0"/>
        <c:smooth val="0"/>
        <c:axId val="26701509"/>
        <c:axId val="65906721"/>
      </c:lineChart>
      <c:catAx>
        <c:axId val="26701509"/>
        <c:scaling>
          <c:orientation val="minMax"/>
        </c:scaling>
        <c:delete val="0"/>
        <c:axPos val="b"/>
        <c:numFmt formatCode="General" sourceLinked="0"/>
        <c:majorTickMark val="none"/>
        <c:minorTickMark val="none"/>
        <c:tickLblPos val="nextTo"/>
        <c:spPr bwMode="auto">
          <a:prstGeom prst="rect">
            <a:avLst/>
          </a:prstGeom>
          <a:ln w="9360">
            <a:solidFill>
              <a:schemeClr val="dk1">
                <a:lumMod val="15000"/>
                <a:lumOff val="85000"/>
              </a:schemeClr>
            </a:solidFill>
            <a:round/>
          </a:ln>
        </c:spPr>
        <c:txPr>
          <a:bodyPr/>
          <a:lstStyle/>
          <a:p>
            <a:pPr>
              <a:defRPr sz="900" b="0" u="none" strike="noStrike">
                <a:solidFill>
                  <a:schemeClr val="tx1">
                    <a:lumMod val="65000"/>
                    <a:lumOff val="35000"/>
                  </a:schemeClr>
                </a:solidFill>
                <a:latin typeface="Calibri"/>
                <a:ea typeface="Arial"/>
              </a:defRPr>
            </a:pPr>
            <a:endParaRPr/>
          </a:p>
        </c:txPr>
        <c:crossAx val="65906721"/>
        <c:crosses val="autoZero"/>
        <c:auto val="1"/>
        <c:lblAlgn val="ctr"/>
        <c:lblOffset val="100"/>
        <c:noMultiLvlLbl val="0"/>
      </c:catAx>
      <c:valAx>
        <c:axId val="65906721"/>
        <c:scaling>
          <c:orientation val="minMax"/>
        </c:scaling>
        <c:delete val="0"/>
        <c:axPos val="l"/>
        <c:majorGridlines>
          <c:spPr bwMode="auto">
            <a:prstGeom prst="rect">
              <a:avLst/>
            </a:prstGeom>
            <a:ln w="9360">
              <a:solidFill>
                <a:schemeClr val="dk1">
                  <a:lumMod val="15000"/>
                  <a:lumOff val="85000"/>
                </a:schemeClr>
              </a:solidFill>
              <a:round/>
            </a:ln>
          </c:spPr>
        </c:majorGridlines>
        <c:numFmt formatCode="_(* #\ ##0_);_(* \(#\ ##0\);_(* \-??_);_(@_)" sourceLinked="0"/>
        <c:majorTickMark val="none"/>
        <c:minorTickMark val="none"/>
        <c:tickLblPos val="nextTo"/>
        <c:spPr bwMode="auto">
          <a:prstGeom prst="rect">
            <a:avLst/>
          </a:prstGeom>
          <a:ln w="9360">
            <a:noFill/>
          </a:ln>
        </c:spPr>
        <c:txPr>
          <a:bodyPr/>
          <a:lstStyle/>
          <a:p>
            <a:pPr>
              <a:defRPr sz="900" b="0" u="none" strike="noStrike">
                <a:solidFill>
                  <a:schemeClr val="tx1">
                    <a:lumMod val="65000"/>
                    <a:lumOff val="35000"/>
                  </a:schemeClr>
                </a:solidFill>
                <a:latin typeface="Calibri"/>
                <a:ea typeface="Arial"/>
              </a:defRPr>
            </a:pPr>
            <a:endParaRPr/>
          </a:p>
        </c:txPr>
        <c:crossAx val="26701509"/>
        <c:crosses val="autoZero"/>
        <c:crossBetween val="between"/>
      </c:valAx>
      <c:spPr bwMode="auto">
        <a:prstGeom prst="rect">
          <a:avLst/>
        </a:prstGeom>
        <a:noFill/>
        <a:ln w="0">
          <a:noFill/>
        </a:ln>
      </c:spPr>
    </c:plotArea>
    <c:plotVisOnly val="1"/>
    <c:dispBlanksAs val="zero"/>
    <c:showDLblsOverMax val="0"/>
  </c:chart>
  <c:spPr bwMode="auto">
    <a:xfrm rot="0">
      <a:off x="35347320" y="17111160"/>
      <a:ext cx="6729840" cy="2552760"/>
    </a:xfrm>
    <a:prstGeom prst="rect">
      <a:avLst/>
    </a:prstGeom>
    <a:solidFill>
      <a:srgbClr val="FFFFFF"/>
    </a:solidFill>
    <a:ln w="9360">
      <a:solidFill>
        <a:schemeClr val="dk1">
          <a:lumMod val="15000"/>
          <a:lumOff val="85000"/>
        </a:schemeClr>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1400" b="1" u="none" strike="noStrike">
                <a:solidFill>
                  <a:schemeClr val="tx1">
                    <a:lumMod val="65000"/>
                    <a:lumOff val="35000"/>
                  </a:schemeClr>
                </a:solidFill>
                <a:latin typeface="Calibri"/>
                <a:ea typeface="Arial"/>
              </a:rPr>
              <a:t>ХАРАКТЕРИСТИКА ИНВЕСТИЦИОННОЙ ДЕЯТЕЛЬНОСТИ</a:t>
            </a:r>
            <a:endParaRPr/>
          </a:p>
        </c:rich>
      </c:tx>
      <c:layout/>
      <c:overlay val="0"/>
      <c:spPr bwMode="auto">
        <a:prstGeom prst="rect">
          <a:avLst/>
        </a:prstGeom>
        <a:noFill/>
        <a:ln w="0">
          <a:noFill/>
        </a:ln>
      </c:spPr>
    </c:title>
    <c:autoTitleDeleted val="0"/>
    <c:plotArea>
      <c:layout/>
      <c:lineChart>
        <c:grouping val="stacked"/>
        <c:varyColors val="0"/>
        <c:ser>
          <c:idx val="0"/>
          <c:order val="0"/>
          <c:tx>
            <c:strRef>
              <c:f>аб!$A$98</c:f>
              <c:strCache>
                <c:ptCount val="1"/>
                <c:pt idx="0">
                  <c:v xml:space="preserve"> Доля внеоборотных активов в валюте баланса, %  </c:v>
                </c:pt>
              </c:strCache>
            </c:strRef>
          </c:tx>
          <c:spPr bwMode="auto">
            <a:prstGeom prst="rect">
              <a:avLst/>
            </a:prstGeom>
            <a:solidFill>
              <a:srgbClr val="4472C4"/>
            </a:solidFill>
            <a:ln w="28440" cap="rnd">
              <a:solidFill>
                <a:srgbClr val="4472C4"/>
              </a:solidFill>
              <a:round/>
            </a:ln>
          </c:spPr>
          <c:marker>
            <c:symbol val="none"/>
          </c:marker>
          <c:dLbls>
            <c:dLblPos val="r"/>
            <c:separator xml:space="preserve">; </c:separator>
            <c:showBubbleSize val="0"/>
            <c:showCatName val="0"/>
            <c:showLeaderLines val="0"/>
            <c:showLegendKey val="0"/>
            <c:showPercent val="0"/>
            <c:showSerName val="0"/>
            <c:showVal val="0"/>
            <c:txPr>
              <a:bodyPr wrap="square"/>
              <a:lstStyle/>
              <a:p>
                <a:pPr>
                  <a:defRPr sz="1000" b="0" u="none" strike="noStrike">
                    <a:solidFill>
                      <a:srgbClr val="000000"/>
                    </a:solidFill>
                    <a:latin typeface="Calibri"/>
                    <a:ea typeface="Arial"/>
                  </a:defRPr>
                </a:pPr>
                <a:endParaRPr/>
              </a:p>
            </c:txPr>
          </c:dLbls>
          <c:cat>
            <c:strRef>
              <c:f>аб!$B$97:$H$97</c:f>
              <c:strCache>
                <c:ptCount val="7"/>
                <c:pt idx="0">
                  <c:v xml:space="preserve"> 2019 год </c:v>
                </c:pt>
                <c:pt idx="1">
                  <c:v xml:space="preserve"> 2018 год </c:v>
                </c:pt>
                <c:pt idx="2">
                  <c:v xml:space="preserve"> 2017 год </c:v>
                </c:pt>
                <c:pt idx="3">
                  <c:v xml:space="preserve"> 2016 год </c:v>
                </c:pt>
                <c:pt idx="4">
                  <c:v xml:space="preserve"> 2015 год </c:v>
                </c:pt>
                <c:pt idx="5">
                  <c:v xml:space="preserve"> 2014 год </c:v>
                </c:pt>
                <c:pt idx="6">
                  <c:v xml:space="preserve"> 2013 год </c:v>
                </c:pt>
              </c:strCache>
            </c:strRef>
          </c:cat>
          <c:val>
            <c:numRef>
              <c:f>аб!$B$98:$H$98</c:f>
              <c:numCache>
                <c:formatCode>_(* #,##0.00_);_(* \(#,##0.00\);_(* \-??_);_(@_)</c:formatCode>
                <c:ptCount val="7"/>
                <c:pt idx="0">
                  <c:v>35.2674714610046</c:v>
                </c:pt>
                <c:pt idx="1">
                  <c:v>33.792259717241</c:v>
                </c:pt>
                <c:pt idx="2">
                  <c:v>25.8137834300251</c:v>
                </c:pt>
                <c:pt idx="3">
                  <c:v>18.0328190474344</c:v>
                </c:pt>
                <c:pt idx="4">
                  <c:v>22.4834844161374</c:v>
                </c:pt>
                <c:pt idx="5">
                  <c:v>34.2407771557948</c:v>
                </c:pt>
                <c:pt idx="6">
                  <c:v>55.3088737671381</c:v>
                </c:pt>
              </c:numCache>
            </c:numRef>
          </c:val>
          <c:smooth val="0"/>
        </c:ser>
        <c:ser>
          <c:idx val="1"/>
          <c:order val="1"/>
          <c:tx>
            <c:strRef>
              <c:f>аб!$A$99</c:f>
              <c:strCache>
                <c:ptCount val="1"/>
                <c:pt idx="0">
                  <c:v xml:space="preserve"> Темп прироста внеоборотных активов, % </c:v>
                </c:pt>
              </c:strCache>
            </c:strRef>
          </c:tx>
          <c:spPr bwMode="auto">
            <a:prstGeom prst="rect">
              <a:avLst/>
            </a:prstGeom>
            <a:solidFill>
              <a:srgbClr val="ED7D31"/>
            </a:solidFill>
            <a:ln w="28440" cap="rnd">
              <a:solidFill>
                <a:srgbClr val="ED7D31"/>
              </a:solidFill>
              <a:round/>
            </a:ln>
          </c:spPr>
          <c:marker>
            <c:symbol val="none"/>
          </c:marker>
          <c:dLbls>
            <c:dLblPos val="r"/>
            <c:separator xml:space="preserve">; </c:separator>
            <c:showBubbleSize val="0"/>
            <c:showCatName val="0"/>
            <c:showLeaderLines val="0"/>
            <c:showLegendKey val="0"/>
            <c:showPercent val="0"/>
            <c:showSerName val="0"/>
            <c:showVal val="0"/>
            <c:txPr>
              <a:bodyPr wrap="square"/>
              <a:lstStyle/>
              <a:p>
                <a:pPr>
                  <a:defRPr sz="1000" b="0" u="none" strike="noStrike">
                    <a:solidFill>
                      <a:srgbClr val="000000"/>
                    </a:solidFill>
                    <a:latin typeface="Calibri"/>
                    <a:ea typeface="Arial"/>
                  </a:defRPr>
                </a:pPr>
                <a:endParaRPr/>
              </a:p>
            </c:txPr>
          </c:dLbls>
          <c:cat>
            <c:strRef>
              <c:f>аб!$B$97:$H$97</c:f>
              <c:strCache>
                <c:ptCount val="7"/>
                <c:pt idx="0">
                  <c:v xml:space="preserve"> 2019 год </c:v>
                </c:pt>
                <c:pt idx="1">
                  <c:v xml:space="preserve"> 2018 год </c:v>
                </c:pt>
                <c:pt idx="2">
                  <c:v xml:space="preserve"> 2017 год </c:v>
                </c:pt>
                <c:pt idx="3">
                  <c:v xml:space="preserve"> 2016 год </c:v>
                </c:pt>
                <c:pt idx="4">
                  <c:v xml:space="preserve"> 2015 год </c:v>
                </c:pt>
                <c:pt idx="5">
                  <c:v xml:space="preserve"> 2014 год </c:v>
                </c:pt>
                <c:pt idx="6">
                  <c:v xml:space="preserve"> 2013 год </c:v>
                </c:pt>
              </c:strCache>
            </c:strRef>
          </c:cat>
          <c:val>
            <c:numRef>
              <c:f>аб!$B$99:$H$99</c:f>
              <c:numCache>
                <c:formatCode>_(* #,##0.00_);_(* \(#,##0.00\);_(* \-??_);_(@_)</c:formatCode>
                <c:ptCount val="7"/>
                <c:pt idx="0">
                  <c:v>1.30259238693124</c:v>
                </c:pt>
                <c:pt idx="1">
                  <c:v>19.0845560122643</c:v>
                </c:pt>
                <c:pt idx="2">
                  <c:v>44.2802092121767</c:v>
                </c:pt>
                <c:pt idx="3">
                  <c:v>-9.81696509336154</c:v>
                </c:pt>
                <c:pt idx="4">
                  <c:v>-20.4473904886698</c:v>
                </c:pt>
                <c:pt idx="5">
                  <c:v>-21.7443230576271</c:v>
                </c:pt>
              </c:numCache>
            </c:numRef>
          </c:val>
          <c:smooth val="0"/>
        </c:ser>
        <c:ser>
          <c:idx val="2"/>
          <c:order val="2"/>
          <c:tx>
            <c:strRef>
              <c:f>аб!$A$100</c:f>
              <c:strCache>
                <c:ptCount val="1"/>
                <c:pt idx="0">
                  <c:v xml:space="preserve"> Коэффициент ввода основных средств </c:v>
                </c:pt>
              </c:strCache>
            </c:strRef>
          </c:tx>
          <c:spPr bwMode="auto">
            <a:prstGeom prst="rect">
              <a:avLst/>
            </a:prstGeom>
            <a:solidFill>
              <a:srgbClr val="A5A5A5"/>
            </a:solidFill>
            <a:ln w="28440" cap="rnd">
              <a:solidFill>
                <a:srgbClr val="A5A5A5"/>
              </a:solidFill>
              <a:round/>
            </a:ln>
          </c:spPr>
          <c:marker>
            <c:symbol val="none"/>
          </c:marker>
          <c:dLbls>
            <c:dLblPos val="r"/>
            <c:separator xml:space="preserve">; </c:separator>
            <c:showBubbleSize val="0"/>
            <c:showCatName val="0"/>
            <c:showLeaderLines val="0"/>
            <c:showLegendKey val="0"/>
            <c:showPercent val="0"/>
            <c:showSerName val="0"/>
            <c:showVal val="0"/>
            <c:txPr>
              <a:bodyPr wrap="square"/>
              <a:lstStyle/>
              <a:p>
                <a:pPr>
                  <a:defRPr sz="1000" b="0" u="none" strike="noStrike">
                    <a:solidFill>
                      <a:srgbClr val="000000"/>
                    </a:solidFill>
                    <a:latin typeface="Calibri"/>
                    <a:ea typeface="Arial"/>
                  </a:defRPr>
                </a:pPr>
                <a:endParaRPr/>
              </a:p>
            </c:txPr>
          </c:dLbls>
          <c:cat>
            <c:strRef>
              <c:f>аб!$B$97:$H$97</c:f>
              <c:strCache>
                <c:ptCount val="7"/>
                <c:pt idx="0">
                  <c:v xml:space="preserve"> 2019 год </c:v>
                </c:pt>
                <c:pt idx="1">
                  <c:v xml:space="preserve"> 2018 год </c:v>
                </c:pt>
                <c:pt idx="2">
                  <c:v xml:space="preserve"> 2017 год </c:v>
                </c:pt>
                <c:pt idx="3">
                  <c:v xml:space="preserve"> 2016 год </c:v>
                </c:pt>
                <c:pt idx="4">
                  <c:v xml:space="preserve"> 2015 год </c:v>
                </c:pt>
                <c:pt idx="5">
                  <c:v xml:space="preserve"> 2014 год </c:v>
                </c:pt>
                <c:pt idx="6">
                  <c:v xml:space="preserve"> 2013 год </c:v>
                </c:pt>
              </c:strCache>
            </c:strRef>
          </c:cat>
          <c:val>
            <c:numRef>
              <c:f>аб!$B$100:$H$100</c:f>
              <c:numCache>
                <c:formatCode>_(* #,##0.00_);_(* \(#,##0.00\);_(* \-??_);_(@_)</c:formatCode>
                <c:ptCount val="7"/>
                <c:pt idx="0">
                  <c:v>0.0604097349634496</c:v>
                </c:pt>
                <c:pt idx="1">
                  <c:v>0.118524117905356</c:v>
                </c:pt>
                <c:pt idx="2">
                  <c:v>0.176343887196042</c:v>
                </c:pt>
                <c:pt idx="3">
                  <c:v>0.260467507799533</c:v>
                </c:pt>
                <c:pt idx="4">
                  <c:v>0.0963817819570553</c:v>
                </c:pt>
                <c:pt idx="5">
                  <c:v>0.142822703611178</c:v>
                </c:pt>
                <c:pt idx="6">
                  <c:v>0.17326677221907</c:v>
                </c:pt>
              </c:numCache>
            </c:numRef>
          </c:val>
          <c:smooth val="0"/>
        </c:ser>
        <c:ser>
          <c:idx val="3"/>
          <c:order val="3"/>
          <c:tx>
            <c:strRef>
              <c:f>аб!$A$101</c:f>
              <c:strCache>
                <c:ptCount val="1"/>
                <c:pt idx="0">
                  <c:v xml:space="preserve"> Коэффициент годности основных средств, % </c:v>
                </c:pt>
              </c:strCache>
            </c:strRef>
          </c:tx>
          <c:spPr bwMode="auto">
            <a:prstGeom prst="rect">
              <a:avLst/>
            </a:prstGeom>
            <a:solidFill>
              <a:srgbClr val="FFC000"/>
            </a:solidFill>
            <a:ln w="28440" cap="rnd">
              <a:solidFill>
                <a:srgbClr val="FFC000"/>
              </a:solidFill>
              <a:round/>
            </a:ln>
          </c:spPr>
          <c:marker>
            <c:symbol val="none"/>
          </c:marker>
          <c:dLbls>
            <c:dLblPos val="r"/>
            <c:separator xml:space="preserve">; </c:separator>
            <c:showBubbleSize val="0"/>
            <c:showCatName val="0"/>
            <c:showLeaderLines val="0"/>
            <c:showLegendKey val="0"/>
            <c:showPercent val="0"/>
            <c:showSerName val="0"/>
            <c:showVal val="0"/>
            <c:txPr>
              <a:bodyPr wrap="square"/>
              <a:lstStyle/>
              <a:p>
                <a:pPr>
                  <a:defRPr sz="1000" b="0" u="none" strike="noStrike">
                    <a:solidFill>
                      <a:srgbClr val="000000"/>
                    </a:solidFill>
                    <a:latin typeface="Calibri"/>
                    <a:ea typeface="Arial"/>
                  </a:defRPr>
                </a:pPr>
                <a:endParaRPr/>
              </a:p>
            </c:txPr>
          </c:dLbls>
          <c:cat>
            <c:strRef>
              <c:f>аб!$B$97:$H$97</c:f>
              <c:strCache>
                <c:ptCount val="7"/>
                <c:pt idx="0">
                  <c:v xml:space="preserve"> 2019 год </c:v>
                </c:pt>
                <c:pt idx="1">
                  <c:v xml:space="preserve"> 2018 год </c:v>
                </c:pt>
                <c:pt idx="2">
                  <c:v xml:space="preserve"> 2017 год </c:v>
                </c:pt>
                <c:pt idx="3">
                  <c:v xml:space="preserve"> 2016 год </c:v>
                </c:pt>
                <c:pt idx="4">
                  <c:v xml:space="preserve"> 2015 год </c:v>
                </c:pt>
                <c:pt idx="5">
                  <c:v xml:space="preserve"> 2014 год </c:v>
                </c:pt>
                <c:pt idx="6">
                  <c:v xml:space="preserve"> 2013 год </c:v>
                </c:pt>
              </c:strCache>
            </c:strRef>
          </c:cat>
          <c:val>
            <c:numRef>
              <c:f>аб!$B$101:$H$101</c:f>
              <c:numCache>
                <c:formatCode>_(* #,##0.00_);_(* \(#,##0.00\);_(* \-??_);_(@_)</c:formatCode>
                <c:ptCount val="7"/>
                <c:pt idx="0">
                  <c:v>0.952483325733969</c:v>
                </c:pt>
                <c:pt idx="1">
                  <c:v>0.47806599398858</c:v>
                </c:pt>
                <c:pt idx="2">
                  <c:v>0.468406371655185</c:v>
                </c:pt>
                <c:pt idx="3">
                  <c:v>0.508265159130728</c:v>
                </c:pt>
                <c:pt idx="4">
                  <c:v>0.562785696935305</c:v>
                </c:pt>
                <c:pt idx="5">
                  <c:v>0.608062834246236</c:v>
                </c:pt>
                <c:pt idx="6">
                  <c:v>0.594484974207467</c:v>
                </c:pt>
              </c:numCache>
            </c:numRef>
          </c:val>
          <c:smooth val="0"/>
        </c:ser>
        <c:dLbls>
          <c:showBubbleSize val="0"/>
          <c:showCatName val="0"/>
          <c:showLeaderLines val="0"/>
          <c:showLegendKey val="0"/>
          <c:showPercent val="0"/>
          <c:showSerName val="0"/>
          <c:showVal val="0"/>
        </c:dLbls>
        <c:hiLowLines>
          <c:spPr bwMode="auto">
            <a:prstGeom prst="rect">
              <a:avLst/>
            </a:prstGeom>
            <a:ln w="0">
              <a:noFill/>
            </a:ln>
          </c:spPr>
        </c:hiLowLines>
        <c:marker val="0"/>
        <c:smooth val="0"/>
        <c:axId val="34902629"/>
        <c:axId val="61192898"/>
      </c:lineChart>
      <c:catAx>
        <c:axId val="34902629"/>
        <c:scaling>
          <c:orientation val="minMax"/>
        </c:scaling>
        <c:delete val="0"/>
        <c:axPos val="b"/>
        <c:numFmt formatCode="General" sourceLinked="0"/>
        <c:majorTickMark val="none"/>
        <c:minorTickMark val="none"/>
        <c:tickLblPos val="nextTo"/>
        <c:spPr bwMode="auto">
          <a:prstGeom prst="rect">
            <a:avLst/>
          </a:prstGeom>
          <a:ln w="9360">
            <a:solidFill>
              <a:schemeClr val="dk1">
                <a:lumMod val="15000"/>
                <a:lumOff val="85000"/>
              </a:schemeClr>
            </a:solidFill>
            <a:round/>
          </a:ln>
        </c:spPr>
        <c:txPr>
          <a:bodyPr/>
          <a:lstStyle/>
          <a:p>
            <a:pPr>
              <a:defRPr sz="900" b="0" u="none" strike="noStrike">
                <a:solidFill>
                  <a:schemeClr val="tx1">
                    <a:lumMod val="65000"/>
                    <a:lumOff val="35000"/>
                  </a:schemeClr>
                </a:solidFill>
                <a:latin typeface="Calibri"/>
                <a:ea typeface="Arial"/>
              </a:defRPr>
            </a:pPr>
            <a:endParaRPr/>
          </a:p>
        </c:txPr>
        <c:crossAx val="61192898"/>
        <c:crosses val="autoZero"/>
        <c:auto val="1"/>
        <c:lblAlgn val="ctr"/>
        <c:lblOffset val="100"/>
        <c:noMultiLvlLbl val="0"/>
      </c:catAx>
      <c:valAx>
        <c:axId val="61192898"/>
        <c:scaling>
          <c:orientation val="minMax"/>
        </c:scaling>
        <c:delete val="0"/>
        <c:axPos val="l"/>
        <c:majorGridlines>
          <c:spPr bwMode="auto">
            <a:prstGeom prst="rect">
              <a:avLst/>
            </a:prstGeom>
            <a:ln w="9360">
              <a:solidFill>
                <a:schemeClr val="dk1">
                  <a:lumMod val="15000"/>
                  <a:lumOff val="85000"/>
                </a:schemeClr>
              </a:solidFill>
              <a:round/>
            </a:ln>
          </c:spPr>
        </c:majorGridlines>
        <c:numFmt formatCode="_(* #\ ##0.00_);_(* \(#\ ##0.00\);_(* \-??_);_(@_)" sourceLinked="0"/>
        <c:majorTickMark val="none"/>
        <c:minorTickMark val="none"/>
        <c:tickLblPos val="nextTo"/>
        <c:spPr bwMode="auto">
          <a:prstGeom prst="rect">
            <a:avLst/>
          </a:prstGeom>
          <a:ln w="9360">
            <a:noFill/>
          </a:ln>
        </c:spPr>
        <c:txPr>
          <a:bodyPr/>
          <a:lstStyle/>
          <a:p>
            <a:pPr>
              <a:defRPr sz="900" b="0" u="none" strike="noStrike">
                <a:solidFill>
                  <a:schemeClr val="tx1">
                    <a:lumMod val="65000"/>
                    <a:lumOff val="35000"/>
                  </a:schemeClr>
                </a:solidFill>
                <a:latin typeface="Calibri"/>
                <a:ea typeface="Arial"/>
              </a:defRPr>
            </a:pPr>
            <a:endParaRPr/>
          </a:p>
        </c:txPr>
        <c:crossAx val="34902629"/>
        <c:crosses val="autoZero"/>
        <c:crossBetween val="between"/>
      </c:valAx>
      <c:spPr bwMode="auto">
        <a:prstGeom prst="rect">
          <a:avLst/>
        </a:prstGeom>
        <a:noFill/>
        <a:ln w="0">
          <a:noFill/>
        </a:ln>
      </c:spPr>
    </c:plotArea>
    <c:legend>
      <c:legendPos val="b"/>
      <c:layout/>
      <c:overlay val="0"/>
      <c:spPr bwMode="auto">
        <a:prstGeom prst="rect">
          <a:avLst/>
        </a:prstGeom>
        <a:noFill/>
        <a:ln w="0">
          <a:noFill/>
        </a:ln>
      </c:spPr>
      <c:txPr>
        <a:bodyPr/>
        <a:lstStyle/>
        <a:p>
          <a:pPr>
            <a:defRPr sz="900" b="0" u="none" strike="noStrike">
              <a:solidFill>
                <a:schemeClr val="tx1">
                  <a:lumMod val="65000"/>
                  <a:lumOff val="35000"/>
                </a:schemeClr>
              </a:solidFill>
              <a:latin typeface="Calibri"/>
              <a:ea typeface="Arial"/>
            </a:defRPr>
          </a:pPr>
          <a:endParaRPr/>
        </a:p>
      </c:txPr>
    </c:legend>
    <c:plotVisOnly val="1"/>
    <c:dispBlanksAs val="zero"/>
    <c:showDLblsOverMax val="0"/>
  </c:chart>
  <c:spPr bwMode="auto">
    <a:xfrm rot="0">
      <a:off x="29248920" y="20656080"/>
      <a:ext cx="8873280" cy="3967200"/>
    </a:xfrm>
    <a:prstGeom prst="rect">
      <a:avLst/>
    </a:prstGeom>
    <a:solidFill>
      <a:srgbClr val="FFFFFF"/>
    </a:solidFill>
    <a:ln w="9360">
      <a:solidFill>
        <a:schemeClr val="dk1">
          <a:lumMod val="15000"/>
          <a:lumOff val="85000"/>
        </a:schemeClr>
      </a:solidFill>
      <a:round/>
    </a:ln>
  </c:spPr>
</c:chartSpace>
</file>

<file path=xl/charts/chart4.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350" b="1" u="none" strike="noStrike">
                <a:solidFill>
                  <a:srgbClr val="000000"/>
                </a:solidFill>
                <a:latin typeface="Arial Cyr"/>
                <a:ea typeface="Arial Cyr"/>
              </a:rPr>
              <a:t>Вертикальный анализ выручки 1997 г.</a:t>
            </a:r>
            <a:endParaRPr/>
          </a:p>
        </c:rich>
      </c:tx>
      <c:layout/>
      <c:overlay val="0"/>
      <c:spPr bwMode="auto">
        <a:prstGeom prst="rect">
          <a:avLst/>
        </a:prstGeom>
        <a:noFill/>
        <a:ln w="25560">
          <a:noFill/>
        </a:ln>
      </c:spPr>
    </c:title>
    <c:autoTitleDeleted val="0"/>
    <c:view3D>
      <c:rotX val="15"/>
      <c:rotY val="20"/>
      <c:rAngAx val="1"/>
      <c:perspective val="30"/>
    </c:view3D>
    <c:floor>
      <c:spPr bwMode="auto">
        <a:prstGeom prst="rect">
          <a:avLst/>
        </a:prstGeom>
        <a:solidFill>
          <a:srgbClr val="FFFFFF"/>
        </a:solidFill>
        <a:ln w="3240">
          <a:solidFill>
            <a:srgbClr val="000000"/>
          </a:solidFill>
          <a:round/>
        </a:ln>
      </c:spPr>
    </c:floor>
    <c:sideWall>
      <c:spPr bwMode="auto">
        <a:prstGeom prst="rect">
          <a:avLst/>
        </a:prstGeom>
        <a:solidFill>
          <a:srgbClr val="FFFFFF"/>
        </a:solidFill>
        <a:ln w="12600">
          <a:solidFill>
            <a:srgbClr val="808080"/>
          </a:solidFill>
          <a:round/>
        </a:ln>
      </c:spPr>
    </c:sideWall>
    <c:backWall>
      <c:spPr bwMode="auto">
        <a:prstGeom prst="rect">
          <a:avLst/>
        </a:prstGeom>
        <a:solidFill>
          <a:srgbClr val="FFFFFF"/>
        </a:solidFill>
        <a:ln w="12600">
          <a:solidFill>
            <a:srgbClr val="808080"/>
          </a:solidFill>
          <a:round/>
        </a:ln>
      </c:spPr>
    </c:backWall>
    <c:plotArea>
      <c:layout/>
      <c:bar3DChart>
        <c:barDir val="col"/>
        <c:grouping val="clustered"/>
        <c:varyColors val="0"/>
        <c:ser>
          <c:idx val="0"/>
          <c:order val="0"/>
          <c:spPr bwMode="auto">
            <a:prstGeom prst="rect">
              <a:avLst/>
            </a:prstGeom>
            <a:blipFill rotWithShape="0">
              <a:blip r:embed="rId1"/>
              <a:stretch/>
            </a:blipFill>
            <a:ln w="12600">
              <a:solidFill>
                <a:srgbClr val="000000"/>
              </a:solidFill>
              <a:round/>
            </a:ln>
          </c:spPr>
          <c:invertIfNegative val="0"/>
          <c:dPt>
            <c:idx val="0"/>
            <c:invertIfNegative val="0"/>
            <c:spPr bwMode="auto">
              <a:prstGeom prst="rect">
                <a:avLst/>
              </a:prstGeom>
              <a:blipFill rotWithShape="0">
                <a:blip r:embed="rId1"/>
                <a:stretch/>
              </a:blipFill>
              <a:ln w="12600">
                <a:solidFill>
                  <a:srgbClr val="000000"/>
                </a:solidFill>
                <a:round/>
              </a:ln>
            </c:spPr>
          </c:dPt>
          <c:dLbls>
            <c:dLbl>
              <c:idx val="0"/>
              <c:layout/>
              <c:numFmt formatCode="General" sourceLinked="0"/>
              <c:separator xml:space="preserve">; </c:separator>
              <c:showBubbleSize val="0"/>
              <c:showCatName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
            <c:numFmt formatCode="General" sourceLinked="0"/>
            <c:separator xml:space="preserve">; </c:separator>
            <c:showBubbleSize val="0"/>
            <c:showCatName val="0"/>
            <c:showLeaderLines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s>
          <c:cat>
            <c:strRef>
              <c:f>categories</c:f>
              <c:strCache>
                <c:ptCount val="1"/>
                <c:pt idx="0">
                  <c:v>1</c:v>
                </c:pt>
              </c:strCache>
            </c:strRef>
          </c:cat>
          <c:val>
            <c:numRef>
              <c:f>0</c:f>
              <c:numCache>
                <c:formatCode>General</c:formatCode>
                <c:ptCount val="1"/>
                <c:pt idx="0">
                  <c:v>0</c:v>
                </c:pt>
              </c:numCache>
            </c:numRef>
          </c:val>
        </c:ser>
        <c:ser>
          <c:idx val="1"/>
          <c:order val="1"/>
          <c:tx>
            <c:strRef>
              <c:f>label 1</c:f>
              <c:strCache>
                <c:ptCount val="1"/>
                <c:pt idx="0">
                  <c:v>Себестоимость продаж</c:v>
                </c:pt>
              </c:strCache>
            </c:strRef>
          </c:tx>
          <c:spPr bwMode="auto">
            <a:prstGeom prst="rect">
              <a:avLst/>
            </a:prstGeom>
            <a:blipFill rotWithShape="0">
              <a:blip r:embed="rId2"/>
              <a:stretch/>
            </a:blipFill>
            <a:ln w="12600">
              <a:solidFill>
                <a:srgbClr val="000000"/>
              </a:solidFill>
              <a:round/>
            </a:ln>
          </c:spPr>
          <c:invertIfNegative val="0"/>
          <c:dPt>
            <c:idx val="0"/>
            <c:invertIfNegative val="0"/>
            <c:spPr bwMode="auto">
              <a:prstGeom prst="rect">
                <a:avLst/>
              </a:prstGeom>
              <a:blipFill rotWithShape="0">
                <a:blip r:embed="rId2"/>
                <a:stretch/>
              </a:blipFill>
              <a:ln w="12600">
                <a:solidFill>
                  <a:srgbClr val="000000"/>
                </a:solidFill>
                <a:round/>
              </a:ln>
            </c:spPr>
          </c:dPt>
          <c:dLbls>
            <c:dLbl>
              <c:idx val="0"/>
              <c:layout/>
              <c:numFmt formatCode="General" sourceLinked="0"/>
              <c:separator xml:space="preserve">; </c:separator>
              <c:showBubbleSize val="0"/>
              <c:showCatName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
            <c:numFmt formatCode="General" sourceLinked="0"/>
            <c:separator xml:space="preserve">; </c:separator>
            <c:showBubbleSize val="0"/>
            <c:showCatName val="0"/>
            <c:showLeaderLines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s>
          <c:cat>
            <c:strRef>
              <c:f>categories</c:f>
              <c:strCache>
                <c:ptCount val="1"/>
                <c:pt idx="0">
                  <c:v>1</c:v>
                </c:pt>
              </c:strCache>
            </c:strRef>
          </c:cat>
          <c:val>
            <c:numRef>
              <c:f>1</c:f>
              <c:numCache>
                <c:formatCode>General</c:formatCode>
                <c:ptCount val="1"/>
                <c:pt idx="0">
                  <c:v>0</c:v>
                </c:pt>
              </c:numCache>
            </c:numRef>
          </c:val>
        </c:ser>
        <c:ser>
          <c:idx val="2"/>
          <c:order val="2"/>
          <c:tx>
            <c:strRef>
              <c:f>label 2</c:f>
              <c:strCache>
                <c:ptCount val="1"/>
                <c:pt idx="0">
                  <c:v>Валовая прибыль</c:v>
                </c:pt>
              </c:strCache>
            </c:strRef>
          </c:tx>
          <c:spPr bwMode="auto">
            <a:prstGeom prst="rect">
              <a:avLst/>
            </a:prstGeom>
            <a:blipFill rotWithShape="0">
              <a:blip r:embed="rId3"/>
              <a:stretch/>
            </a:blipFill>
            <a:ln w="12600">
              <a:solidFill>
                <a:srgbClr val="000000"/>
              </a:solidFill>
              <a:round/>
            </a:ln>
          </c:spPr>
          <c:invertIfNegative val="0"/>
          <c:dPt>
            <c:idx val="0"/>
            <c:invertIfNegative val="0"/>
            <c:spPr bwMode="auto">
              <a:prstGeom prst="rect">
                <a:avLst/>
              </a:prstGeom>
              <a:blipFill rotWithShape="0">
                <a:blip r:embed="rId3"/>
                <a:stretch/>
              </a:blipFill>
              <a:ln w="12600">
                <a:solidFill>
                  <a:srgbClr val="000000"/>
                </a:solidFill>
                <a:round/>
              </a:ln>
            </c:spPr>
          </c:dPt>
          <c:dLbls>
            <c:dLbl>
              <c:idx val="0"/>
              <c:layout/>
              <c:numFmt formatCode="General" sourceLinked="0"/>
              <c:separator xml:space="preserve">; </c:separator>
              <c:showBubbleSize val="0"/>
              <c:showCatName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
            <c:numFmt formatCode="General" sourceLinked="0"/>
            <c:separator xml:space="preserve">; </c:separator>
            <c:showBubbleSize val="0"/>
            <c:showCatName val="0"/>
            <c:showLeaderLines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s>
          <c:cat>
            <c:strRef>
              <c:f>categories</c:f>
              <c:strCache>
                <c:ptCount val="1"/>
                <c:pt idx="0">
                  <c:v>1</c:v>
                </c:pt>
              </c:strCache>
            </c:strRef>
          </c:cat>
          <c:val>
            <c:numRef>
              <c:f>2</c:f>
              <c:numCache>
                <c:formatCode>General</c:formatCode>
                <c:ptCount val="1"/>
                <c:pt idx="0">
                  <c:v>0</c:v>
                </c:pt>
              </c:numCache>
            </c:numRef>
          </c:val>
        </c:ser>
        <c:ser>
          <c:idx val="3"/>
          <c:order val="3"/>
          <c:tx>
            <c:strRef>
              <c:f>label 3</c:f>
              <c:strCache>
                <c:ptCount val="1"/>
                <c:pt idx="0">
                  <c:v>Прибыль (убыток) от продаж</c:v>
                </c:pt>
              </c:strCache>
            </c:strRef>
          </c:tx>
          <c:spPr bwMode="auto">
            <a:prstGeom prst="rect">
              <a:avLst/>
            </a:prstGeom>
            <a:blipFill rotWithShape="0">
              <a:blip r:embed="rId4"/>
              <a:stretch/>
            </a:blipFill>
            <a:ln w="12600">
              <a:solidFill>
                <a:srgbClr val="000000"/>
              </a:solidFill>
              <a:round/>
            </a:ln>
          </c:spPr>
          <c:invertIfNegative val="0"/>
          <c:dPt>
            <c:idx val="0"/>
            <c:invertIfNegative val="0"/>
            <c:spPr bwMode="auto">
              <a:prstGeom prst="rect">
                <a:avLst/>
              </a:prstGeom>
              <a:blipFill rotWithShape="0">
                <a:blip r:embed="rId4"/>
                <a:stretch/>
              </a:blipFill>
              <a:ln w="12600">
                <a:solidFill>
                  <a:srgbClr val="000000"/>
                </a:solidFill>
                <a:round/>
              </a:ln>
            </c:spPr>
          </c:dPt>
          <c:dLbls>
            <c:dLbl>
              <c:idx val="0"/>
              <c:layout/>
              <c:numFmt formatCode="General" sourceLinked="0"/>
              <c:separator xml:space="preserve">; </c:separator>
              <c:showBubbleSize val="0"/>
              <c:showCatName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
            <c:numFmt formatCode="General" sourceLinked="0"/>
            <c:separator xml:space="preserve">; </c:separator>
            <c:showBubbleSize val="0"/>
            <c:showCatName val="0"/>
            <c:showLeaderLines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s>
          <c:cat>
            <c:strRef>
              <c:f>categories</c:f>
              <c:strCache>
                <c:ptCount val="1"/>
                <c:pt idx="0">
                  <c:v>1</c:v>
                </c:pt>
              </c:strCache>
            </c:strRef>
          </c:cat>
          <c:val>
            <c:numRef>
              <c:f>3</c:f>
              <c:numCache>
                <c:formatCode>General</c:formatCode>
                <c:ptCount val="1"/>
                <c:pt idx="0">
                  <c:v>0</c:v>
                </c:pt>
              </c:numCache>
            </c:numRef>
          </c:val>
        </c:ser>
        <c:ser>
          <c:idx val="4"/>
          <c:order val="4"/>
          <c:tx>
            <c:strRef>
              <c:f>label 4</c:f>
              <c:strCache>
                <c:ptCount val="1"/>
                <c:pt idx="0">
                  <c:v>Текущий налог на прибыль</c:v>
                </c:pt>
              </c:strCache>
            </c:strRef>
          </c:tx>
          <c:spPr bwMode="auto">
            <a:prstGeom prst="rect">
              <a:avLst/>
            </a:prstGeom>
            <a:blipFill rotWithShape="0">
              <a:blip r:embed="rId5"/>
              <a:stretch/>
            </a:blipFill>
            <a:ln w="12600">
              <a:solidFill>
                <a:srgbClr val="000000"/>
              </a:solidFill>
              <a:round/>
            </a:ln>
          </c:spPr>
          <c:invertIfNegative val="0"/>
          <c:dPt>
            <c:idx val="0"/>
            <c:invertIfNegative val="0"/>
            <c:spPr bwMode="auto">
              <a:prstGeom prst="rect">
                <a:avLst/>
              </a:prstGeom>
              <a:blipFill rotWithShape="0">
                <a:blip r:embed="rId5"/>
                <a:stretch/>
              </a:blipFill>
              <a:ln w="12600">
                <a:solidFill>
                  <a:srgbClr val="000000"/>
                </a:solidFill>
                <a:round/>
              </a:ln>
            </c:spPr>
          </c:dPt>
          <c:dLbls>
            <c:dLbl>
              <c:idx val="0"/>
              <c:layout/>
              <c:numFmt formatCode="General" sourceLinked="0"/>
              <c:separator xml:space="preserve">; </c:separator>
              <c:showBubbleSize val="0"/>
              <c:showCatName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
            <c:numFmt formatCode="General" sourceLinked="0"/>
            <c:separator xml:space="preserve">; </c:separator>
            <c:showBubbleSize val="0"/>
            <c:showCatName val="0"/>
            <c:showLeaderLines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s>
          <c:cat>
            <c:strRef>
              <c:f>categories</c:f>
              <c:strCache>
                <c:ptCount val="1"/>
                <c:pt idx="0">
                  <c:v>1</c:v>
                </c:pt>
              </c:strCache>
            </c:strRef>
          </c:cat>
          <c:val>
            <c:numRef>
              <c:f>4</c:f>
              <c:numCache>
                <c:formatCode>General</c:formatCode>
                <c:ptCount val="1"/>
                <c:pt idx="0">
                  <c:v>0</c:v>
                </c:pt>
              </c:numCache>
            </c:numRef>
          </c:val>
        </c:ser>
        <c:ser>
          <c:idx val="5"/>
          <c:order val="5"/>
          <c:tx>
            <c:strRef>
              <c:f>label 5</c:f>
              <c:strCache>
                <c:ptCount val="1"/>
                <c:pt idx="0">
                  <c:v>Изменение отложенных налоговых обязательств</c:v>
                </c:pt>
              </c:strCache>
            </c:strRef>
          </c:tx>
          <c:spPr bwMode="auto">
            <a:prstGeom prst="rect">
              <a:avLst/>
            </a:prstGeom>
            <a:blipFill rotWithShape="0">
              <a:blip r:embed="rId6"/>
              <a:stretch/>
            </a:blipFill>
            <a:ln w="12600">
              <a:solidFill>
                <a:srgbClr val="000000"/>
              </a:solidFill>
              <a:round/>
            </a:ln>
          </c:spPr>
          <c:invertIfNegative val="0"/>
          <c:dPt>
            <c:idx val="0"/>
            <c:invertIfNegative val="0"/>
            <c:spPr bwMode="auto">
              <a:prstGeom prst="rect">
                <a:avLst/>
              </a:prstGeom>
              <a:blipFill rotWithShape="0">
                <a:blip r:embed="rId6"/>
                <a:stretch/>
              </a:blipFill>
              <a:ln w="12600">
                <a:solidFill>
                  <a:srgbClr val="000000"/>
                </a:solidFill>
                <a:round/>
              </a:ln>
            </c:spPr>
          </c:dPt>
          <c:dLbls>
            <c:dLbl>
              <c:idx val="0"/>
              <c:layout/>
              <c:numFmt formatCode="General" sourceLinked="0"/>
              <c:separator xml:space="preserve">; </c:separator>
              <c:showBubbleSize val="0"/>
              <c:showCatName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
            <c:numFmt formatCode="General" sourceLinked="0"/>
            <c:separator xml:space="preserve">; </c:separator>
            <c:showBubbleSize val="0"/>
            <c:showCatName val="0"/>
            <c:showLeaderLines val="0"/>
            <c:showLegendKey val="0"/>
            <c:showPercent val="0"/>
            <c:showSerName val="0"/>
            <c:showVal val="1"/>
            <c:txPr>
              <a:bodyPr wrap="square"/>
              <a:lstStyle/>
              <a:p>
                <a:pPr>
                  <a:defRPr sz="300" b="1" i="1" u="none" strike="noStrike">
                    <a:solidFill>
                      <a:srgbClr val="000000"/>
                    </a:solidFill>
                    <a:latin typeface="Arial Cyr"/>
                    <a:ea typeface="Arial Cyr"/>
                  </a:defRPr>
                </a:pPr>
                <a:endParaRPr/>
              </a:p>
            </c:txPr>
          </c:dLbls>
          <c:cat>
            <c:strRef>
              <c:f>categories</c:f>
              <c:strCache>
                <c:ptCount val="1"/>
                <c:pt idx="0">
                  <c:v>1</c:v>
                </c:pt>
              </c:strCache>
            </c:strRef>
          </c:cat>
          <c:val>
            <c:numRef>
              <c:f>5</c:f>
              <c:numCache>
                <c:formatCode>General</c:formatCode>
                <c:ptCount val="1"/>
                <c:pt idx="0">
                  <c:v>0</c:v>
                </c:pt>
              </c:numCache>
            </c:numRef>
          </c:val>
        </c:ser>
        <c:dLbls>
          <c:showBubbleSize val="0"/>
          <c:showCatName val="0"/>
          <c:showLeaderLines val="0"/>
          <c:showLegendKey val="0"/>
          <c:showPercent val="0"/>
          <c:showSerName val="0"/>
          <c:showVal val="0"/>
        </c:dLbls>
        <c:gapWidth val="150"/>
        <c:shape val="box"/>
        <c:axId val="83054212"/>
        <c:axId val="53830699"/>
      </c:bar3DChart>
      <c:catAx>
        <c:axId val="83054212"/>
        <c:scaling>
          <c:orientation val="minMax"/>
        </c:scaling>
        <c:delete val="0"/>
        <c:axPos val="b"/>
        <c:numFmt formatCode="General" sourceLinked="0"/>
        <c:majorTickMark val="out"/>
        <c:minorTickMark val="none"/>
        <c:tickLblPos val="low"/>
        <c:spPr bwMode="auto">
          <a:prstGeom prst="rect">
            <a:avLst/>
          </a:prstGeom>
          <a:ln w="3240">
            <a:solidFill>
              <a:srgbClr val="000000"/>
            </a:solidFill>
            <a:round/>
          </a:ln>
        </c:spPr>
        <c:txPr>
          <a:bodyPr/>
          <a:lstStyle/>
          <a:p>
            <a:pPr>
              <a:defRPr sz="300" b="0" u="none" strike="noStrike">
                <a:solidFill>
                  <a:srgbClr val="000000"/>
                </a:solidFill>
                <a:latin typeface="Arial Cyr"/>
                <a:ea typeface="Arial Cyr"/>
              </a:defRPr>
            </a:pPr>
            <a:endParaRPr/>
          </a:p>
        </c:txPr>
        <c:crossAx val="53830699"/>
        <c:crosses val="autoZero"/>
        <c:auto val="1"/>
        <c:lblAlgn val="ctr"/>
        <c:lblOffset val="100"/>
        <c:noMultiLvlLbl val="0"/>
      </c:catAx>
      <c:valAx>
        <c:axId val="53830699"/>
        <c:scaling>
          <c:orientation val="minMax"/>
        </c:scaling>
        <c:delete val="0"/>
        <c:axPos val="l"/>
        <c:majorGridlines>
          <c:spPr bwMode="auto">
            <a:prstGeom prst="rect">
              <a:avLst/>
            </a:prstGeom>
            <a:ln w="3240">
              <a:solidFill>
                <a:srgbClr val="000000"/>
              </a:solidFill>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300" b="0" u="none" strike="noStrike">
                <a:solidFill>
                  <a:srgbClr val="000000"/>
                </a:solidFill>
                <a:latin typeface="Arial Cyr"/>
                <a:ea typeface="Arial Cyr"/>
              </a:defRPr>
            </a:pPr>
            <a:endParaRPr/>
          </a:p>
        </c:txPr>
        <c:crossAx val="83054212"/>
        <c:crosses val="autoZero"/>
        <c:crossBetween val="between"/>
      </c:valAx>
    </c:plotArea>
    <c:legend>
      <c:legendPos val="r"/>
      <c:layout/>
      <c:overlay val="0"/>
      <c:spPr bwMode="auto">
        <a:prstGeom prst="rect">
          <a:avLst/>
        </a:prstGeom>
        <a:solidFill>
          <a:srgbClr val="FFFFFF"/>
        </a:solidFill>
        <a:ln w="3240">
          <a:solidFill>
            <a:srgbClr val="000000"/>
          </a:solidFill>
          <a:round/>
        </a:ln>
      </c:spPr>
      <c:txPr>
        <a:bodyPr/>
        <a:lstStyle/>
        <a:p>
          <a:pPr>
            <a:defRPr sz="900" b="0" u="none" strike="noStrike">
              <a:solidFill>
                <a:srgbClr val="000000"/>
              </a:solidFill>
              <a:latin typeface="Arial Cyr"/>
              <a:ea typeface="Arial Cyr"/>
            </a:defRPr>
          </a:pPr>
          <a:endParaRPr/>
        </a:p>
      </c:txPr>
    </c:legend>
    <c:plotVisOnly val="1"/>
    <c:dispBlanksAs val="gap"/>
    <c:showDLblsOverMax val="0"/>
  </c:chart>
  <c:spPr bwMode="auto">
    <a:xfrm rot="0">
      <a:off x="17527320" y="10583640"/>
      <a:ext cx="10041480" cy="360"/>
    </a:xfrm>
    <a:prstGeom prst="rect">
      <a:avLst/>
    </a:prstGeom>
    <a:solidFill>
      <a:srgbClr val="FFFFFF"/>
    </a:solidFill>
    <a:ln w="3240">
      <a:solidFill>
        <a:srgbClr val="000000"/>
      </a:solidFill>
      <a:round/>
    </a:ln>
  </c:spPr>
</c:chartSpace>
</file>

<file path=xl/charts/chart5.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150" b="1" u="none" strike="noStrike">
                <a:solidFill>
                  <a:srgbClr val="000000"/>
                </a:solidFill>
                <a:latin typeface="Times New Roman Cyr"/>
                <a:ea typeface="Times New Roman Cyr"/>
              </a:rPr>
              <a:t>Динамика коэффициентов ликвидности</a:t>
            </a:r>
            <a:endParaRPr/>
          </a:p>
        </c:rich>
      </c:tx>
      <c:layout/>
      <c:overlay val="0"/>
      <c:spPr bwMode="auto">
        <a:prstGeom prst="rect">
          <a:avLst/>
        </a:prstGeom>
        <a:noFill/>
        <a:ln w="25560">
          <a:noFill/>
        </a:ln>
      </c:spPr>
    </c:title>
    <c:autoTitleDeleted val="0"/>
    <c:plotArea>
      <c:layout/>
      <c:barChart>
        <c:barDir val="col"/>
        <c:grouping val="clustered"/>
        <c:varyColors val="0"/>
        <c:ser>
          <c:idx val="0"/>
          <c:order val="0"/>
          <c:spPr bwMode="auto">
            <a:prstGeom prst="rect">
              <a:avLst/>
            </a:prstGeom>
            <a:solidFill>
              <a:srgbClr val="FFFFFF"/>
            </a:solidFill>
            <a:ln w="25560">
              <a:solidFill>
                <a:srgbClr val="000000"/>
              </a:solidFill>
              <a:round/>
            </a:ln>
          </c:spPr>
          <c:invertIfNegative val="0"/>
        </c:ser>
        <c:ser>
          <c:idx val="1"/>
          <c:order val="1"/>
          <c:spPr bwMode="auto">
            <a:prstGeom prst="rect">
              <a:avLst/>
            </a:prstGeom>
            <a:blipFill rotWithShape="0">
              <a:blip r:embed="rId1"/>
              <a:stretch/>
            </a:blipFill>
            <a:ln w="12600">
              <a:solidFill>
                <a:srgbClr val="000000"/>
              </a:solidFill>
              <a:round/>
            </a:ln>
          </c:spPr>
          <c:invertIfNegative val="0"/>
        </c:ser>
        <c:ser>
          <c:idx val="2"/>
          <c:order val="2"/>
          <c:spPr bwMode="auto">
            <a:prstGeom prst="rect">
              <a:avLst/>
            </a:prstGeom>
            <a:blipFill rotWithShape="0">
              <a:blip r:embed="rId2"/>
              <a:stretch/>
            </a:blipFill>
            <a:ln w="12600">
              <a:solidFill>
                <a:srgbClr val="000000"/>
              </a:solidFill>
              <a:round/>
            </a:ln>
          </c:spPr>
          <c:invertIfNegative val="0"/>
        </c:ser>
        <c:dLbls>
          <c:showBubbleSize val="0"/>
          <c:showCatName val="0"/>
          <c:showLeaderLines val="0"/>
          <c:showLegendKey val="0"/>
          <c:showPercent val="0"/>
          <c:showSerName val="0"/>
          <c:showVal val="0"/>
        </c:dLbls>
        <c:gapWidth val="150"/>
        <c:overlap val="0"/>
        <c:axId val="46775137"/>
        <c:axId val="82948384"/>
      </c:barChart>
      <c:catAx>
        <c:axId val="46775137"/>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150" b="0" u="none" strike="noStrike">
                <a:solidFill>
                  <a:srgbClr val="000000"/>
                </a:solidFill>
                <a:latin typeface="Times New Roman CYR"/>
                <a:ea typeface="Times New Roman CYR"/>
              </a:defRPr>
            </a:pPr>
            <a:endParaRPr/>
          </a:p>
        </c:txPr>
        <c:crossAx val="82948384"/>
        <c:crosses val="autoZero"/>
        <c:auto val="1"/>
        <c:lblAlgn val="ctr"/>
        <c:lblOffset val="100"/>
        <c:noMultiLvlLbl val="0"/>
      </c:catAx>
      <c:valAx>
        <c:axId val="82948384"/>
        <c:scaling>
          <c:orientation val="minMax"/>
        </c:scaling>
        <c:delete val="0"/>
        <c:axPos val="l"/>
        <c:majorGridlines>
          <c:spPr bwMode="auto">
            <a:prstGeom prst="rect">
              <a:avLst/>
            </a:prstGeom>
            <a:ln w="3240">
              <a:solidFill>
                <a:srgbClr val="FFFFFF"/>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150" b="0" u="none" strike="noStrike">
                <a:solidFill>
                  <a:srgbClr val="000000"/>
                </a:solidFill>
                <a:latin typeface="Times New Roman CYR"/>
                <a:ea typeface="Times New Roman CYR"/>
              </a:defRPr>
            </a:pPr>
            <a:endParaRPr/>
          </a:p>
        </c:txPr>
        <c:crossAx val="46775137"/>
        <c:crosses val="autoZero"/>
        <c:crossBetween val="between"/>
      </c:valAx>
      <c:spPr bwMode="auto">
        <a:prstGeom prst="rect">
          <a:avLst/>
        </a:prstGeom>
        <a:solidFill>
          <a:srgbClr val="FFFFFF"/>
        </a:solidFill>
        <a:ln w="25560">
          <a:solidFill>
            <a:srgbClr val="000000"/>
          </a:solidFill>
          <a:round/>
        </a:ln>
      </c:spPr>
    </c:plotArea>
    <c:legend>
      <c:legendPos val="r"/>
      <c:layout>
        <c:manualLayout>
          <c:xMode val="edge"/>
          <c:yMode val="edge"/>
          <c:x val="0.000000"/>
          <c:y val="0.000000"/>
        </c:manualLayout>
      </c:layout>
      <c:overlay val="0"/>
      <c:spPr bwMode="auto">
        <a:prstGeom prst="rect">
          <a:avLst/>
        </a:prstGeom>
        <a:solidFill>
          <a:srgbClr val="FFFFFF"/>
        </a:solidFill>
        <a:ln w="3240">
          <a:solidFill>
            <a:srgbClr val="000000"/>
          </a:solidFill>
          <a:round/>
        </a:ln>
      </c:spPr>
      <c:txPr>
        <a:bodyPr/>
        <a:lstStyle/>
        <a:p>
          <a:pPr>
            <a:defRPr sz="850" b="0" u="none" strike="noStrike">
              <a:solidFill>
                <a:srgbClr val="000000"/>
              </a:solidFill>
              <a:latin typeface="Courier New Cyr"/>
              <a:ea typeface="Courier New Cyr"/>
            </a:defRPr>
          </a:pPr>
          <a:endParaRPr/>
        </a:p>
      </c:txPr>
    </c:legend>
    <c:plotVisOnly val="1"/>
    <c:dispBlanksAs val="gap"/>
    <c:showDLblsOverMax val="0"/>
  </c:chart>
  <c:spPr bwMode="auto">
    <a:xfrm rot="0">
      <a:off x="0" y="23414400"/>
      <a:ext cx="0" cy="0"/>
    </a:xfrm>
    <a:prstGeom prst="rect">
      <a:avLst/>
    </a:prstGeom>
    <a:solidFill>
      <a:srgbClr val="FFFFFF"/>
    </a:solidFill>
    <a:ln w="3240">
      <a:solidFill>
        <a:srgbClr val="000000"/>
      </a:solidFill>
      <a:round/>
    </a:ln>
  </c:spPr>
</c:chartSpace>
</file>

<file path=xl/charts/chart6.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150" b="1" u="none" strike="noStrike">
                <a:solidFill>
                  <a:srgbClr val="000000"/>
                </a:solidFill>
                <a:latin typeface="Courier New Cyr"/>
                <a:ea typeface="Courier New Cyr"/>
              </a:rPr>
              <a:t>Динамика показателей структуры капитала</a:t>
            </a:r>
            <a:endParaRPr/>
          </a:p>
        </c:rich>
      </c:tx>
      <c:layout/>
      <c:overlay val="0"/>
      <c:spPr bwMode="auto">
        <a:prstGeom prst="rect">
          <a:avLst/>
        </a:prstGeom>
        <a:noFill/>
        <a:ln w="25560">
          <a:noFill/>
        </a:ln>
      </c:spPr>
    </c:title>
    <c:autoTitleDeleted val="0"/>
    <c:plotArea>
      <c:layout/>
      <c:barChart>
        <c:barDir val="col"/>
        <c:grouping val="clustered"/>
        <c:varyColors val="0"/>
        <c:ser>
          <c:idx val="0"/>
          <c:order val="0"/>
          <c:spPr bwMode="auto">
            <a:prstGeom prst="rect">
              <a:avLst/>
            </a:prstGeom>
            <a:solidFill>
              <a:srgbClr val="FFFFFF"/>
            </a:solidFill>
            <a:ln w="25560">
              <a:solidFill>
                <a:srgbClr val="000000"/>
              </a:solidFill>
              <a:round/>
            </a:ln>
          </c:spPr>
          <c:invertIfNegative val="0"/>
        </c:ser>
        <c:ser>
          <c:idx val="1"/>
          <c:order val="1"/>
          <c:spPr bwMode="auto">
            <a:prstGeom prst="rect">
              <a:avLst/>
            </a:prstGeom>
            <a:blipFill rotWithShape="0">
              <a:blip r:embed="rId1"/>
              <a:stretch/>
            </a:blipFill>
            <a:ln w="12600">
              <a:solidFill>
                <a:srgbClr val="000000"/>
              </a:solidFill>
              <a:round/>
            </a:ln>
          </c:spPr>
          <c:invertIfNegative val="0"/>
        </c:ser>
        <c:ser>
          <c:idx val="2"/>
          <c:order val="2"/>
          <c:spPr bwMode="auto">
            <a:prstGeom prst="rect">
              <a:avLst/>
            </a:prstGeom>
            <a:blipFill rotWithShape="0">
              <a:blip r:embed="rId2"/>
              <a:stretch/>
            </a:blipFill>
            <a:ln w="12600">
              <a:solidFill>
                <a:srgbClr val="000000"/>
              </a:solidFill>
              <a:round/>
            </a:ln>
          </c:spPr>
          <c:invertIfNegative val="0"/>
        </c:ser>
        <c:dLbls>
          <c:showBubbleSize val="0"/>
          <c:showCatName val="0"/>
          <c:showLeaderLines val="0"/>
          <c:showLegendKey val="0"/>
          <c:showPercent val="0"/>
          <c:showSerName val="0"/>
          <c:showVal val="0"/>
        </c:dLbls>
        <c:gapWidth val="150"/>
        <c:overlap val="0"/>
        <c:axId val="33719738"/>
        <c:axId val="71963402"/>
      </c:barChart>
      <c:catAx>
        <c:axId val="33719738"/>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100" b="0" u="none" strike="noStrike">
                <a:solidFill>
                  <a:srgbClr val="000000"/>
                </a:solidFill>
                <a:latin typeface="Times New Roman Cyr"/>
                <a:ea typeface="Times New Roman Cyr"/>
              </a:defRPr>
            </a:pPr>
            <a:endParaRPr/>
          </a:p>
        </c:txPr>
        <c:crossAx val="71963402"/>
        <c:crosses val="autoZero"/>
        <c:auto val="1"/>
        <c:lblAlgn val="ctr"/>
        <c:lblOffset val="100"/>
        <c:noMultiLvlLbl val="0"/>
      </c:catAx>
      <c:valAx>
        <c:axId val="71963402"/>
        <c:scaling>
          <c:orientation val="minMax"/>
        </c:scaling>
        <c:delete val="0"/>
        <c:axPos val="l"/>
        <c:majorGridlines>
          <c:spPr bwMode="auto">
            <a:prstGeom prst="rect">
              <a:avLst/>
            </a:prstGeom>
            <a:ln w="3240">
              <a:solidFill>
                <a:srgbClr val="FFFFFF"/>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150" b="0" u="none" strike="noStrike">
                <a:solidFill>
                  <a:srgbClr val="000000"/>
                </a:solidFill>
                <a:latin typeface="Times New Roman Cyr"/>
                <a:ea typeface="Times New Roman Cyr"/>
              </a:defRPr>
            </a:pPr>
            <a:endParaRPr/>
          </a:p>
        </c:txPr>
        <c:crossAx val="33719738"/>
        <c:crosses val="autoZero"/>
        <c:crossBetween val="between"/>
      </c:valAx>
      <c:spPr bwMode="auto">
        <a:prstGeom prst="rect">
          <a:avLst/>
        </a:prstGeom>
        <a:solidFill>
          <a:srgbClr val="FFFFFF"/>
        </a:solidFill>
        <a:ln w="25560">
          <a:solidFill>
            <a:srgbClr val="000000"/>
          </a:solidFill>
          <a:round/>
        </a:ln>
      </c:spPr>
    </c:plotArea>
    <c:legend>
      <c:legendPos val="r"/>
      <c:layout>
        <c:manualLayout>
          <c:xMode val="edge"/>
          <c:yMode val="edge"/>
          <c:x val="0.000000"/>
          <c:y val="0.000000"/>
        </c:manualLayout>
      </c:layout>
      <c:overlay val="0"/>
      <c:spPr bwMode="auto">
        <a:prstGeom prst="rect">
          <a:avLst/>
        </a:prstGeom>
        <a:solidFill>
          <a:srgbClr val="FFFFFF"/>
        </a:solidFill>
        <a:ln w="3240">
          <a:solidFill>
            <a:srgbClr val="000000"/>
          </a:solidFill>
          <a:round/>
        </a:ln>
      </c:spPr>
      <c:txPr>
        <a:bodyPr/>
        <a:lstStyle/>
        <a:p>
          <a:pPr>
            <a:defRPr sz="900" b="0" u="none" strike="noStrike">
              <a:solidFill>
                <a:srgbClr val="000000"/>
              </a:solidFill>
              <a:latin typeface="Courier New Cyr"/>
              <a:ea typeface="Courier New Cyr"/>
            </a:defRPr>
          </a:pPr>
          <a:endParaRPr/>
        </a:p>
      </c:txPr>
    </c:legend>
    <c:plotVisOnly val="1"/>
    <c:dispBlanksAs val="gap"/>
    <c:showDLblsOverMax val="0"/>
  </c:chart>
  <c:spPr bwMode="auto">
    <a:xfrm rot="0">
      <a:off x="0" y="23414400"/>
      <a:ext cx="0" cy="0"/>
    </a:xfrm>
    <a:prstGeom prst="rect">
      <a:avLst/>
    </a:prstGeom>
    <a:solidFill>
      <a:srgbClr val="FFFFFF"/>
    </a:solidFill>
    <a:ln w="3240">
      <a:solidFill>
        <a:srgbClr val="000000"/>
      </a:solidFill>
      <a:round/>
    </a:ln>
  </c:spPr>
</c:chartSpace>
</file>

<file path=xl/charts/chart7.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autoTitleDeleted val="1"/>
    <c:plotArea>
      <c:layout/>
      <c:barChart>
        <c:barDir val="col"/>
        <c:grouping val="clustered"/>
        <c:varyColors val="0"/>
        <c:ser>
          <c:idx val="0"/>
          <c:order val="0"/>
          <c:spPr bwMode="auto">
            <a:prstGeom prst="rect">
              <a:avLst/>
            </a:prstGeom>
            <a:solidFill>
              <a:srgbClr val="C0C0C0"/>
            </a:solidFill>
            <a:ln w="12600">
              <a:solidFill>
                <a:srgbClr val="000000"/>
              </a:solidFill>
              <a:round/>
            </a:ln>
          </c:spPr>
          <c:invertIfNegative val="0"/>
        </c:ser>
        <c:ser>
          <c:idx val="1"/>
          <c:order val="1"/>
          <c:spPr bwMode="auto">
            <a:prstGeom prst="rect">
              <a:avLst/>
            </a:prstGeom>
            <a:solidFill>
              <a:srgbClr val="FFFFFF"/>
            </a:solidFill>
            <a:ln w="12600">
              <a:solidFill>
                <a:srgbClr val="000000"/>
              </a:solidFill>
              <a:round/>
            </a:ln>
          </c:spPr>
          <c:invertIfNegative val="0"/>
        </c:ser>
        <c:dLbls>
          <c:showBubbleSize val="0"/>
          <c:showCatName val="0"/>
          <c:showLeaderLines val="0"/>
          <c:showLegendKey val="0"/>
          <c:showPercent val="0"/>
          <c:showSerName val="0"/>
          <c:showVal val="0"/>
        </c:dLbls>
        <c:gapWidth val="150"/>
        <c:overlap val="0"/>
        <c:axId val="74006088"/>
        <c:axId val="34705640"/>
      </c:barChart>
      <c:catAx>
        <c:axId val="74006088"/>
        <c:scaling>
          <c:orientation val="minMax"/>
        </c:scaling>
        <c:delete val="0"/>
        <c:axPos val="b"/>
        <c:numFmt formatCode="General" sourceLinked="0"/>
        <c:majorTickMark val="out"/>
        <c:minorTickMark val="none"/>
        <c:tickLblPos val="nextTo"/>
        <c:spPr bwMode="auto">
          <a:prstGeom prst="rect">
            <a:avLst/>
          </a:prstGeom>
          <a:ln w="3240">
            <a:solidFill>
              <a:srgbClr val="000000"/>
            </a:solidFill>
            <a:round/>
          </a:ln>
        </c:spPr>
        <c:txPr>
          <a:bodyPr/>
          <a:lstStyle/>
          <a:p>
            <a:pPr>
              <a:defRPr sz="1000" b="0" u="none" strike="noStrike">
                <a:solidFill>
                  <a:srgbClr val="000000"/>
                </a:solidFill>
                <a:latin typeface="Times New Roman Cyr"/>
                <a:ea typeface="Times New Roman Cyr"/>
              </a:defRPr>
            </a:pPr>
            <a:endParaRPr/>
          </a:p>
        </c:txPr>
        <c:crossAx val="34705640"/>
        <c:crosses val="autoZero"/>
        <c:auto val="1"/>
        <c:lblAlgn val="ctr"/>
        <c:lblOffset val="100"/>
        <c:noMultiLvlLbl val="0"/>
      </c:catAx>
      <c:valAx>
        <c:axId val="34705640"/>
        <c:scaling>
          <c:orientation val="minMax"/>
        </c:scaling>
        <c:delete val="0"/>
        <c:axPos val="l"/>
        <c:majorGridlines>
          <c:spPr bwMode="auto">
            <a:prstGeom prst="rect">
              <a:avLst/>
            </a:prstGeom>
            <a:ln w="3240">
              <a:solidFill>
                <a:srgbClr val="FFFFFF"/>
              </a:solidFill>
              <a:prstDash val="lgDashDotDot"/>
              <a:round/>
            </a:ln>
          </c:spPr>
        </c:majorGridlines>
        <c:numFmt formatCode="General" sourceLinked="0"/>
        <c:majorTickMark val="out"/>
        <c:minorTickMark val="none"/>
        <c:tickLblPos val="nextTo"/>
        <c:spPr bwMode="auto">
          <a:prstGeom prst="rect">
            <a:avLst/>
          </a:prstGeom>
          <a:ln w="3240">
            <a:solidFill>
              <a:srgbClr val="000000"/>
            </a:solidFill>
            <a:round/>
          </a:ln>
        </c:spPr>
        <c:txPr>
          <a:bodyPr/>
          <a:lstStyle/>
          <a:p>
            <a:pPr>
              <a:defRPr sz="1000" b="0" u="none" strike="noStrike">
                <a:solidFill>
                  <a:srgbClr val="000000"/>
                </a:solidFill>
                <a:latin typeface="Times New Roman Cyr"/>
                <a:ea typeface="Times New Roman Cyr"/>
              </a:defRPr>
            </a:pPr>
            <a:endParaRPr/>
          </a:p>
        </c:txPr>
        <c:crossAx val="74006088"/>
        <c:crosses val="autoZero"/>
        <c:crossBetween val="between"/>
      </c:valAx>
      <c:spPr bwMode="auto">
        <a:prstGeom prst="rect">
          <a:avLst/>
        </a:prstGeom>
        <a:solidFill>
          <a:srgbClr val="FFFFFF"/>
        </a:solidFill>
        <a:ln w="12600">
          <a:solidFill>
            <a:srgbClr val="808080"/>
          </a:solidFill>
          <a:round/>
        </a:ln>
      </c:spPr>
    </c:plotArea>
    <c:legend>
      <c:legendPos val="r"/>
      <c:layout>
        <c:manualLayout>
          <c:xMode val="edge"/>
          <c:yMode val="edge"/>
          <c:x val="0.000000"/>
          <c:y val="0.000000"/>
        </c:manualLayout>
      </c:layout>
      <c:overlay val="0"/>
      <c:spPr bwMode="auto">
        <a:prstGeom prst="rect">
          <a:avLst/>
        </a:prstGeom>
        <a:solidFill>
          <a:srgbClr val="FFFFFF"/>
        </a:solidFill>
        <a:ln w="3240">
          <a:solidFill>
            <a:srgbClr val="000000"/>
          </a:solidFill>
          <a:round/>
        </a:ln>
      </c:spPr>
      <c:txPr>
        <a:bodyPr/>
        <a:lstStyle/>
        <a:p>
          <a:pPr>
            <a:defRPr sz="900" b="0" u="none" strike="noStrike">
              <a:solidFill>
                <a:srgbClr val="000000"/>
              </a:solidFill>
              <a:latin typeface="Times New Roman Cyr"/>
              <a:ea typeface="Times New Roman Cyr"/>
            </a:defRPr>
          </a:pPr>
          <a:endParaRPr/>
        </a:p>
      </c:txPr>
    </c:legend>
    <c:plotVisOnly val="1"/>
    <c:dispBlanksAs val="gap"/>
    <c:showDLblsOverMax val="0"/>
  </c:chart>
  <c:spPr bwMode="auto">
    <a:xfrm rot="0">
      <a:off x="0" y="23414400"/>
      <a:ext cx="0" cy="0"/>
    </a:xfrm>
    <a:prstGeom prst="rect">
      <a:avLst/>
    </a:prstGeom>
    <a:solidFill>
      <a:srgbClr val="FFFFFF"/>
    </a:solidFill>
    <a:ln w="3240">
      <a:solidFill>
        <a:srgbClr val="000000"/>
      </a:solidFill>
      <a:round/>
    </a:ln>
  </c:spPr>
</c:chartSpace>
</file>

<file path=xl/charts/chart8.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200" b="1" u="none" strike="noStrike">
                <a:solidFill>
                  <a:srgbClr val="000000"/>
                </a:solidFill>
                <a:latin typeface="Times New Roman Cyr"/>
                <a:ea typeface="Times New Roman Cyr"/>
              </a:rPr>
              <a:t>Анализ дебиторской и кредиторской задолженности</a:t>
            </a:r>
            <a:endParaRPr/>
          </a:p>
        </c:rich>
      </c:tx>
      <c:layout/>
      <c:overlay val="0"/>
      <c:spPr bwMode="auto">
        <a:prstGeom prst="rect">
          <a:avLst/>
        </a:prstGeom>
        <a:noFill/>
        <a:ln w="25560">
          <a:noFill/>
        </a:ln>
      </c:spPr>
    </c:title>
    <c:autoTitleDeleted val="0"/>
    <c:plotArea>
      <c:layout/>
      <c:scatterChart>
        <c:scatterStyle val="lineMarker"/>
        <c:varyColors val="0"/>
        <c:ser>
          <c:idx val="0"/>
          <c:order val="0"/>
          <c:spPr bwMode="auto">
            <a:prstGeom prst="rect">
              <a:avLst/>
            </a:prstGeom>
            <a:solidFill>
              <a:srgbClr val="99CCFF"/>
            </a:solidFill>
            <a:ln w="28440">
              <a:noFill/>
            </a:ln>
          </c:spPr>
          <c:smooth val="0"/>
        </c:ser>
        <c:ser>
          <c:idx val="1"/>
          <c:order val="1"/>
          <c:spPr bwMode="auto">
            <a:prstGeom prst="rect">
              <a:avLst/>
            </a:prstGeom>
            <a:solidFill>
              <a:srgbClr val="99CCFF"/>
            </a:solidFill>
            <a:ln w="28440">
              <a:noFill/>
            </a:ln>
          </c:spPr>
          <c:smooth val="0"/>
        </c:ser>
        <c:dLbls>
          <c:showBubbleSize val="0"/>
          <c:showCatName val="0"/>
          <c:showLeaderLines val="0"/>
          <c:showLegendKey val="0"/>
          <c:showPercent val="0"/>
          <c:showSerName val="0"/>
          <c:showVal val="0"/>
        </c:dLbls>
        <c:axId val="39870580"/>
        <c:axId val="23983237"/>
      </c:scatterChart>
      <c:valAx>
        <c:axId val="39870580"/>
        <c:scaling>
          <c:orientation val="minMax"/>
        </c:scaling>
        <c:delete val="1"/>
        <c:axPos val="b"/>
        <c:title>
          <c:tx>
            <c:rich>
              <a:bodyPr rot="0"/>
              <a:lstStyle/>
              <a:p>
                <a:pPr>
                  <a:defRPr sz="1300" b="0" u="none" strike="noStrike">
                    <a:latin typeface="Arial"/>
                  </a:defRPr>
                </a:pPr>
                <a:r>
                  <a:rPr lang="ru-RU" sz="100" b="1" u="none" strike="noStrike">
                    <a:solidFill>
                      <a:srgbClr val="000000"/>
                    </a:solidFill>
                    <a:latin typeface="Arial Cyr"/>
                    <a:ea typeface="Arial Cyr"/>
                  </a:rPr>
                  <a:t>                                предыдущий год                                                 отчетный год</a:t>
                </a:r>
                <a:endParaRPr/>
              </a:p>
            </c:rich>
          </c:tx>
          <c:layout/>
          <c:overlay val="0"/>
          <c:spPr bwMode="auto">
            <a:prstGeom prst="rect">
              <a:avLst/>
            </a:prstGeom>
            <a:noFill/>
            <a:ln w="25560">
              <a:noFill/>
            </a:ln>
          </c:spPr>
        </c:title>
        <c:numFmt formatCode="General" sourceLinked="1"/>
        <c:majorTickMark val="out"/>
        <c:minorTickMark val="none"/>
        <c:tickLblPos val="nextTo"/>
        <c:spPr bwMode="auto">
          <a:prstGeom prst="rect">
            <a:avLst/>
          </a:prstGeom>
          <a:ln w="9360">
            <a:solidFill>
              <a:srgbClr val="878787"/>
            </a:solidFill>
            <a:round/>
          </a:ln>
        </c:spPr>
        <c:txPr>
          <a:bodyPr/>
          <a:lstStyle/>
          <a:p>
            <a:pPr>
              <a:defRPr sz="150" b="0" u="none" strike="noStrike">
                <a:solidFill>
                  <a:srgbClr val="000000"/>
                </a:solidFill>
                <a:latin typeface="Arial Cyr"/>
                <a:ea typeface="Arial Cyr"/>
              </a:defRPr>
            </a:pPr>
            <a:endParaRPr/>
          </a:p>
        </c:txPr>
        <c:crossAx val="23983237"/>
        <c:crosses val="autoZero"/>
        <c:crossBetween val="midCat"/>
      </c:valAx>
      <c:valAx>
        <c:axId val="23983237"/>
        <c:scaling>
          <c:orientation val="minMax"/>
        </c:scaling>
        <c:delete val="0"/>
        <c:axPos val="l"/>
        <c:majorGridlines>
          <c:spPr bwMode="auto">
            <a:prstGeom prst="rect">
              <a:avLst/>
            </a:prstGeom>
            <a:ln w="3240">
              <a:solidFill>
                <a:srgbClr val="000000"/>
              </a:solidFill>
              <a:prstDash val="lgDashDotDot"/>
              <a:round/>
            </a:ln>
          </c:spPr>
        </c:majorGridlines>
        <c:title>
          <c:tx>
            <c:rich>
              <a:bodyPr rot="-5400000"/>
              <a:lstStyle/>
              <a:p>
                <a:pPr>
                  <a:defRPr sz="1300" b="0" u="none" strike="noStrike">
                    <a:latin typeface="Arial"/>
                  </a:defRPr>
                </a:pPr>
                <a:r>
                  <a:rPr lang="ru-RU" sz="100" b="1" u="none" strike="noStrike">
                    <a:solidFill>
                      <a:srgbClr val="000000"/>
                    </a:solidFill>
                    <a:latin typeface="Arial Cyr"/>
                    <a:ea typeface="Arial Cyr"/>
                  </a:rPr>
                  <a:t>срок погашения задолженностей</a:t>
                </a:r>
                <a:endParaRPr/>
              </a:p>
            </c:rich>
          </c:tx>
          <c:layout/>
          <c:overlay val="0"/>
          <c:spPr bwMode="auto">
            <a:prstGeom prst="rect">
              <a:avLst/>
            </a:prstGeom>
            <a:noFill/>
            <a:ln w="25560">
              <a:noFill/>
            </a:ln>
          </c:spPr>
        </c:title>
        <c:numFmt formatCode="General" sourceLinked="0"/>
        <c:majorTickMark val="out"/>
        <c:minorTickMark val="none"/>
        <c:tickLblPos val="nextTo"/>
        <c:spPr bwMode="auto">
          <a:prstGeom prst="rect">
            <a:avLst/>
          </a:prstGeom>
          <a:ln w="3240">
            <a:solidFill>
              <a:srgbClr val="000000"/>
            </a:solidFill>
            <a:round/>
          </a:ln>
        </c:spPr>
        <c:txPr>
          <a:bodyPr/>
          <a:lstStyle/>
          <a:p>
            <a:pPr>
              <a:defRPr sz="200" b="0" u="none" strike="noStrike">
                <a:solidFill>
                  <a:srgbClr val="000000"/>
                </a:solidFill>
                <a:latin typeface="Times New Roman Cyr"/>
                <a:ea typeface="Times New Roman Cyr"/>
              </a:defRPr>
            </a:pPr>
            <a:endParaRPr/>
          </a:p>
        </c:txPr>
        <c:crossAx val="39870580"/>
        <c:crosses val="autoZero"/>
        <c:crossBetween val="midCat"/>
      </c:valAx>
      <c:spPr bwMode="auto">
        <a:prstGeom prst="rect">
          <a:avLst/>
        </a:prstGeom>
        <a:solidFill>
          <a:srgbClr val="FFFFFF"/>
        </a:solidFill>
        <a:ln w="25560">
          <a:solidFill>
            <a:srgbClr val="000000"/>
          </a:solidFill>
          <a:round/>
        </a:ln>
      </c:spPr>
    </c:plotArea>
    <c:legend>
      <c:legendPos val="r"/>
      <c:layout/>
      <c:overlay val="0"/>
      <c:spPr bwMode="auto">
        <a:prstGeom prst="rect">
          <a:avLst/>
        </a:prstGeom>
        <a:solidFill>
          <a:srgbClr val="FFFFFF"/>
        </a:solidFill>
        <a:ln w="3240">
          <a:solidFill>
            <a:srgbClr val="000000"/>
          </a:solidFill>
          <a:round/>
        </a:ln>
      </c:spPr>
      <c:txPr>
        <a:bodyPr/>
        <a:lstStyle/>
        <a:p>
          <a:pPr>
            <a:defRPr sz="750" b="0" u="none" strike="noStrike">
              <a:solidFill>
                <a:srgbClr val="000000"/>
              </a:solidFill>
              <a:latin typeface="Times New Roman CYR"/>
              <a:ea typeface="Times New Roman CYR"/>
            </a:defRPr>
          </a:pPr>
          <a:endParaRPr/>
        </a:p>
      </c:txPr>
    </c:legend>
    <c:plotVisOnly val="1"/>
    <c:dispBlanksAs val="gap"/>
    <c:showDLblsOverMax val="0"/>
  </c:chart>
  <c:spPr bwMode="auto">
    <a:xfrm rot="0">
      <a:off x="0" y="16474320"/>
      <a:ext cx="0" cy="0"/>
    </a:xfrm>
    <a:prstGeom prst="rect">
      <a:avLst/>
    </a:prstGeom>
    <a:solidFill>
      <a:srgbClr val="FFFFFF"/>
    </a:solidFill>
    <a:ln w="3240">
      <a:solidFill>
        <a:srgbClr val="000000"/>
      </a:solidFill>
      <a:round/>
    </a:ln>
  </c:spPr>
</c:chartSpace>
</file>

<file path=xl/charts/chart9.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en-US"/>
  <c:roundedCorners val="0"/>
  <mc:AlternateContent>
    <mc:Choice Requires="c14">
      <c14:style val="102"/>
    </mc:Choice>
    <mc:Fallback>
      <c:style val="2"/>
    </mc:Fallback>
  </mc:AlternateContent>
  <c:chart>
    <c:title>
      <c:tx>
        <c:rich>
          <a:bodyPr rot="0"/>
          <a:lstStyle/>
          <a:p>
            <a:pPr>
              <a:defRPr sz="1300" b="0" u="none" strike="noStrike">
                <a:latin typeface="Arial"/>
              </a:defRPr>
            </a:pPr>
            <a:r>
              <a:rPr lang="ru-RU" sz="200" b="1" u="none" strike="noStrike">
                <a:solidFill>
                  <a:srgbClr val="000000"/>
                </a:solidFill>
                <a:latin typeface="Times New Roman Cyr"/>
                <a:ea typeface="Times New Roman Cyr"/>
              </a:rPr>
              <a:t>Анализ чистой кредитной позиции</a:t>
            </a:r>
            <a:endParaRPr/>
          </a:p>
        </c:rich>
      </c:tx>
      <c:layout/>
      <c:overlay val="0"/>
      <c:spPr bwMode="auto">
        <a:prstGeom prst="rect">
          <a:avLst/>
        </a:prstGeom>
        <a:noFill/>
        <a:ln w="25560">
          <a:noFill/>
        </a:ln>
      </c:spPr>
    </c:title>
    <c:autoTitleDeleted val="0"/>
    <c:plotArea>
      <c:layout/>
      <c:barChart>
        <c:barDir val="col"/>
        <c:grouping val="clustered"/>
        <c:varyColors val="0"/>
        <c:ser>
          <c:idx val="0"/>
          <c:order val="0"/>
          <c:spPr bwMode="auto">
            <a:prstGeom prst="rect">
              <a:avLst/>
            </a:prstGeom>
            <a:solidFill>
              <a:srgbClr val="FFFFFF"/>
            </a:solidFill>
            <a:ln w="12600">
              <a:solidFill>
                <a:srgbClr val="000000"/>
              </a:solidFill>
              <a:round/>
            </a:ln>
          </c:spPr>
          <c:invertIfNegative val="0"/>
        </c:ser>
        <c:ser>
          <c:idx val="1"/>
          <c:order val="1"/>
          <c:spPr bwMode="auto">
            <a:prstGeom prst="rect">
              <a:avLst/>
            </a:prstGeom>
            <a:solidFill>
              <a:srgbClr val="C0C0C0"/>
            </a:solidFill>
            <a:ln w="12600">
              <a:solidFill>
                <a:srgbClr val="000000"/>
              </a:solidFill>
              <a:round/>
            </a:ln>
          </c:spPr>
          <c:invertIfNegative val="0"/>
        </c:ser>
        <c:ser>
          <c:idx val="2"/>
          <c:order val="2"/>
          <c:spPr bwMode="auto">
            <a:prstGeom prst="rect">
              <a:avLst/>
            </a:prstGeom>
            <a:blipFill rotWithShape="0">
              <a:blip r:embed="rId1"/>
              <a:stretch/>
            </a:blipFill>
            <a:ln w="12600">
              <a:solidFill>
                <a:srgbClr val="000000"/>
              </a:solidFill>
              <a:round/>
            </a:ln>
          </c:spPr>
          <c:invertIfNegative val="0"/>
        </c:ser>
        <c:dLbls>
          <c:showBubbleSize val="0"/>
          <c:showCatName val="0"/>
          <c:showLeaderLines val="0"/>
          <c:showLegendKey val="0"/>
          <c:showPercent val="0"/>
          <c:showSerName val="0"/>
          <c:showVal val="0"/>
        </c:dLbls>
        <c:gapWidth val="150"/>
        <c:overlap val="0"/>
        <c:axId val="2810809"/>
        <c:axId val="76748904"/>
      </c:barChart>
      <c:catAx>
        <c:axId val="2810809"/>
        <c:scaling>
          <c:orientation val="minMax"/>
        </c:scaling>
        <c:delete val="1"/>
        <c:axPos val="b"/>
        <c:title>
          <c:tx>
            <c:rich>
              <a:bodyPr rot="0"/>
              <a:lstStyle/>
              <a:p>
                <a:pPr>
                  <a:defRPr sz="1300" b="0" u="none" strike="noStrike">
                    <a:latin typeface="Arial"/>
                  </a:defRPr>
                </a:pPr>
                <a:r>
                  <a:rPr lang="ru-RU" sz="100" b="1" u="none" strike="noStrike">
                    <a:solidFill>
                      <a:srgbClr val="000000"/>
                    </a:solidFill>
                    <a:latin typeface="Arial Cyr"/>
                    <a:ea typeface="Arial Cyr"/>
                  </a:rPr>
                  <a:t>                                предыдущий год                                                 отчетный год</a:t>
                </a:r>
                <a:endParaRPr/>
              </a:p>
            </c:rich>
          </c:tx>
          <c:layout/>
          <c:overlay val="0"/>
          <c:spPr bwMode="auto">
            <a:prstGeom prst="rect">
              <a:avLst/>
            </a:prstGeom>
            <a:noFill/>
            <a:ln w="25560">
              <a:noFill/>
            </a:ln>
          </c:spPr>
        </c:title>
        <c:numFmt formatCode="[$-419]dd/mm/yyyy" sourceLinked="1"/>
        <c:majorTickMark val="out"/>
        <c:minorTickMark val="none"/>
        <c:tickLblPos val="nextTo"/>
        <c:spPr bwMode="auto">
          <a:prstGeom prst="rect">
            <a:avLst/>
          </a:prstGeom>
          <a:ln w="9360">
            <a:solidFill>
              <a:srgbClr val="878787"/>
            </a:solidFill>
            <a:round/>
          </a:ln>
        </c:spPr>
        <c:txPr>
          <a:bodyPr/>
          <a:lstStyle/>
          <a:p>
            <a:pPr>
              <a:defRPr sz="150" b="0" u="none" strike="noStrike">
                <a:solidFill>
                  <a:srgbClr val="000000"/>
                </a:solidFill>
                <a:latin typeface="Arial Cyr"/>
                <a:ea typeface="Arial Cyr"/>
              </a:defRPr>
            </a:pPr>
            <a:endParaRPr/>
          </a:p>
        </c:txPr>
        <c:crossAx val="76748904"/>
        <c:crosses val="autoZero"/>
        <c:auto val="1"/>
        <c:lblAlgn val="ctr"/>
        <c:lblOffset val="100"/>
        <c:noMultiLvlLbl val="0"/>
      </c:catAx>
      <c:valAx>
        <c:axId val="76748904"/>
        <c:scaling>
          <c:orientation val="minMax"/>
        </c:scaling>
        <c:delete val="0"/>
        <c:axPos val="l"/>
        <c:majorGridlines>
          <c:spPr bwMode="auto">
            <a:prstGeom prst="rect">
              <a:avLst/>
            </a:prstGeom>
            <a:ln w="3240">
              <a:solidFill>
                <a:srgbClr val="000000"/>
              </a:solidFill>
              <a:prstDash val="lgDashDotDot"/>
              <a:round/>
            </a:ln>
          </c:spPr>
        </c:majorGridlines>
        <c:title>
          <c:tx>
            <c:rich>
              <a:bodyPr rot="-5400000"/>
              <a:lstStyle/>
              <a:p>
                <a:pPr>
                  <a:defRPr sz="1300" b="0" u="none" strike="noStrike">
                    <a:latin typeface="Arial"/>
                  </a:defRPr>
                </a:pPr>
                <a:r>
                  <a:rPr lang="ru-RU" sz="100" b="1" u="none" strike="noStrike">
                    <a:solidFill>
                      <a:srgbClr val="000000"/>
                    </a:solidFill>
                    <a:latin typeface="Arial Cyr"/>
                    <a:ea typeface="Arial Cyr"/>
                  </a:rPr>
                  <a:t>срок погашения задолженностей</a:t>
                </a:r>
                <a:endParaRPr/>
              </a:p>
            </c:rich>
          </c:tx>
          <c:layout/>
          <c:overlay val="0"/>
          <c:spPr bwMode="auto">
            <a:prstGeom prst="rect">
              <a:avLst/>
            </a:prstGeom>
            <a:noFill/>
            <a:ln w="25560">
              <a:noFill/>
            </a:ln>
          </c:spPr>
        </c:title>
        <c:numFmt formatCode="General" sourceLinked="0"/>
        <c:majorTickMark val="out"/>
        <c:minorTickMark val="none"/>
        <c:tickLblPos val="nextTo"/>
        <c:spPr bwMode="auto">
          <a:prstGeom prst="rect">
            <a:avLst/>
          </a:prstGeom>
          <a:ln w="3240">
            <a:solidFill>
              <a:srgbClr val="000000"/>
            </a:solidFill>
            <a:round/>
          </a:ln>
        </c:spPr>
        <c:txPr>
          <a:bodyPr/>
          <a:lstStyle/>
          <a:p>
            <a:pPr>
              <a:defRPr sz="150" b="0" u="none" strike="noStrike">
                <a:solidFill>
                  <a:srgbClr val="000000"/>
                </a:solidFill>
                <a:latin typeface="Times New Roman CYR"/>
                <a:ea typeface="Times New Roman CYR"/>
              </a:defRPr>
            </a:pPr>
            <a:endParaRPr/>
          </a:p>
        </c:txPr>
        <c:crossAx val="2810809"/>
        <c:crosses val="autoZero"/>
        <c:crossBetween val="between"/>
      </c:valAx>
      <c:spPr bwMode="auto">
        <a:prstGeom prst="rect">
          <a:avLst/>
        </a:prstGeom>
        <a:solidFill>
          <a:srgbClr val="FFFFFF"/>
        </a:solidFill>
        <a:ln w="25560">
          <a:solidFill>
            <a:srgbClr val="000000"/>
          </a:solidFill>
          <a:round/>
        </a:ln>
      </c:spPr>
    </c:plotArea>
    <c:legend>
      <c:legendPos val="r"/>
      <c:layout/>
      <c:overlay val="0"/>
      <c:spPr bwMode="auto">
        <a:prstGeom prst="rect">
          <a:avLst/>
        </a:prstGeom>
        <a:solidFill>
          <a:srgbClr val="FFFFFF"/>
        </a:solidFill>
        <a:ln w="3240">
          <a:solidFill>
            <a:srgbClr val="000000"/>
          </a:solidFill>
          <a:round/>
        </a:ln>
      </c:spPr>
      <c:txPr>
        <a:bodyPr/>
        <a:lstStyle/>
        <a:p>
          <a:pPr>
            <a:defRPr sz="750" b="0" u="none" strike="noStrike">
              <a:solidFill>
                <a:srgbClr val="000000"/>
              </a:solidFill>
              <a:latin typeface="Times New Roman CYR"/>
              <a:ea typeface="Times New Roman CYR"/>
            </a:defRPr>
          </a:pPr>
          <a:endParaRPr/>
        </a:p>
      </c:txPr>
    </c:legend>
    <c:plotVisOnly val="1"/>
    <c:dispBlanksAs val="gap"/>
    <c:showDLblsOverMax val="0"/>
  </c:chart>
  <c:spPr bwMode="auto">
    <a:xfrm rot="0">
      <a:off x="0" y="16474320"/>
      <a:ext cx="0" cy="0"/>
    </a:xfrm>
    <a:prstGeom prst="rect">
      <a:avLst/>
    </a:prstGeom>
    <a:solidFill>
      <a:srgbClr val="FFFFFF"/>
    </a:solidFill>
    <a:ln w="3240">
      <a:solidFill>
        <a:srgbClr val="000000"/>
      </a:solidFill>
      <a:round/>
    </a:ln>
  </c:sp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colorStyle>
</file>

<file path=xl/charts/colors10.xml><?xml version="1.0" encoding="utf-8"?>
<cs:colorStyle xmlns:cs="http://schemas.microsoft.com/office/drawing/2012/chartStyle" xmlns:a="http://schemas.openxmlformats.org/drawingml/2006/main" meth="cycle" id="10">
  <a:schemeClr val="accent1"/>
</cs:colorStyle>
</file>

<file path=xl/charts/colors11.xml><?xml version="1.0" encoding="utf-8"?>
<cs:colorStyle xmlns:cs="http://schemas.microsoft.com/office/drawing/2012/chartStyle" xmlns:a="http://schemas.openxmlformats.org/drawingml/2006/main" meth="cycle" id="10">
  <a:schemeClr val="accent1"/>
</cs:colorStyle>
</file>

<file path=xl/charts/colors12.xml><?xml version="1.0" encoding="utf-8"?>
<cs:colorStyle xmlns:cs="http://schemas.microsoft.com/office/drawing/2012/chartStyle" xmlns:a="http://schemas.openxmlformats.org/drawingml/2006/main" meth="cycle" id="10">
  <a:schemeClr val="accent1"/>
</cs:colorStyle>
</file>

<file path=xl/charts/colors13.xml><?xml version="1.0" encoding="utf-8"?>
<cs:colorStyle xmlns:cs="http://schemas.microsoft.com/office/drawing/2012/chartStyle" xmlns:a="http://schemas.openxmlformats.org/drawingml/2006/main" meth="cycle" id="10">
  <a:schemeClr val="accent1"/>
</cs:colorStyle>
</file>

<file path=xl/charts/colors14.xml><?xml version="1.0" encoding="utf-8"?>
<cs:colorStyle xmlns:cs="http://schemas.microsoft.com/office/drawing/2012/chartStyle" xmlns:a="http://schemas.openxmlformats.org/drawingml/2006/main" meth="cycle" id="10">
  <a:schemeClr val="accent1"/>
</cs:colorStyle>
</file>

<file path=xl/charts/colors15.xml><?xml version="1.0" encoding="utf-8"?>
<cs:colorStyle xmlns:cs="http://schemas.microsoft.com/office/drawing/2012/chartStyle" xmlns:a="http://schemas.openxmlformats.org/drawingml/2006/main" meth="cycle" id="10">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colorStyle>
</file>

<file path=xl/charts/colors4.xml><?xml version="1.0" encoding="utf-8"?>
<cs:colorStyle xmlns:cs="http://schemas.microsoft.com/office/drawing/2012/chartStyle" xmlns:a="http://schemas.openxmlformats.org/drawingml/2006/main" meth="cycle" id="10">
  <a:schemeClr val="accent1"/>
</cs:colorStyle>
</file>

<file path=xl/charts/colors5.xml><?xml version="1.0" encoding="utf-8"?>
<cs:colorStyle xmlns:cs="http://schemas.microsoft.com/office/drawing/2012/chartStyle" xmlns:a="http://schemas.openxmlformats.org/drawingml/2006/main" meth="cycle" id="10">
  <a:schemeClr val="accent1"/>
</cs:colorStyle>
</file>

<file path=xl/charts/colors6.xml><?xml version="1.0" encoding="utf-8"?>
<cs:colorStyle xmlns:cs="http://schemas.microsoft.com/office/drawing/2012/chartStyle" xmlns:a="http://schemas.openxmlformats.org/drawingml/2006/main" meth="cycle" id="10">
  <a:schemeClr val="accent1"/>
</cs:colorStyle>
</file>

<file path=xl/charts/colors7.xml><?xml version="1.0" encoding="utf-8"?>
<cs:colorStyle xmlns:cs="http://schemas.microsoft.com/office/drawing/2012/chartStyle" xmlns:a="http://schemas.openxmlformats.org/drawingml/2006/main" meth="cycle" id="10">
  <a:schemeClr val="accent1"/>
</cs:colorStyle>
</file>

<file path=xl/charts/colors8.xml><?xml version="1.0" encoding="utf-8"?>
<cs:colorStyle xmlns:cs="http://schemas.microsoft.com/office/drawing/2012/chartStyle" xmlns:a="http://schemas.openxmlformats.org/drawingml/2006/main" meth="cycle" id="10">
  <a:schemeClr val="accent1"/>
</cs:colorStyle>
</file>

<file path=xl/charts/colors9.xml><?xml version="1.0" encoding="utf-8"?>
<cs:colorStyle xmlns:cs="http://schemas.microsoft.com/office/drawing/2012/chartStyle" xmlns:a="http://schemas.openxmlformats.org/drawingml/2006/main" meth="cycle" id="10">
  <a:schemeClr val="accent1"/>
</cs:colorStyle>
</file>

<file path=xl/charts/style1.xml><?xml version="1.0" encoding="utf-8"?>
<cs:chartStyle xmlns:cs="http://schemas.microsoft.com/office/drawing/2012/chartStyle" xmlns:a="http://schemas.openxmlformats.org/drawingml/2006/main" id="419">
  <cs:axisTitle>
    <cs:lnRef idx="0"/>
    <cs:fillRef idx="0"/>
    <cs:effectRef idx="0"/>
    <cs:fontRef idx="minor">
      <a:schemeClr val="dk1">
        <a:lumMod val="65000"/>
        <a:lumOff val="35000"/>
      </a:schemeClr>
    </cs:fontRef>
    <cs:defRPr sz="1000" b="0" u="none" strike="noStrike"/>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10.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11.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12.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13.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14.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15.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2.xml><?xml version="1.0" encoding="utf-8"?>
<cs:chartStyle xmlns:cs="http://schemas.microsoft.com/office/drawing/2012/chartStyle" xmlns:a="http://schemas.openxmlformats.org/drawingml/2006/main" id="419">
  <cs:axisTitle>
    <cs:lnRef idx="0"/>
    <cs:fillRef idx="0"/>
    <cs:effectRef idx="0"/>
    <cs:fontRef idx="minor">
      <a:schemeClr val="dk1">
        <a:lumMod val="65000"/>
        <a:lumOff val="35000"/>
      </a:schemeClr>
    </cs:fontRef>
    <cs:defRPr sz="1000" b="0" u="none" strike="noStrike"/>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3.xml><?xml version="1.0" encoding="utf-8"?>
<cs:chartStyle xmlns:cs="http://schemas.microsoft.com/office/drawing/2012/chartStyle" xmlns:a="http://schemas.openxmlformats.org/drawingml/2006/main" id="419">
  <cs:axisTitle>
    <cs:lnRef idx="0"/>
    <cs:fillRef idx="0"/>
    <cs:effectRef idx="0"/>
    <cs:fontRef idx="minor">
      <a:schemeClr val="dk1">
        <a:lumMod val="65000"/>
        <a:lumOff val="35000"/>
      </a:schemeClr>
    </cs:fontRef>
    <cs:defRPr sz="1000" b="0" u="none" strike="noStrike"/>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4.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5.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6.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7.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8.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charts/style9.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a:schemeClr val="tx1"/>
    </cs:fontRef>
    <cs:spPr bwMode="auto">
      <a:prstGeom prst="rect">
        <a:avLst/>
      </a:prstGeom>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dataPointMarkerLayout/>
</cs:chartStyle>
</file>

<file path=xl/drawings/_rels/drawing1.xml.rels><?xml version="1.0" encoding="UTF-8" standalone="yes"?><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s>
</file>

<file path=xl/drawings/_rels/drawing2.xml.rels><?xml version="1.0" encoding="UTF-8" standalone="yes"?><Relationships xmlns="http://schemas.openxmlformats.org/package/2006/relationships"><Relationship Id="rId1" Type="http://schemas.openxmlformats.org/officeDocument/2006/relationships/chart" Target="../charts/chart4.xml" /></Relationships>
</file>

<file path=xl/drawings/_rels/drawing3.xml.rels><?xml version="1.0" encoding="UTF-8" standalone="yes"?><Relationships xmlns="http://schemas.openxmlformats.org/package/2006/relationships"><Relationship Id="rId1" Type="http://schemas.openxmlformats.org/officeDocument/2006/relationships/chart" Target="../charts/chart5.xml" /><Relationship Id="rId2" Type="http://schemas.openxmlformats.org/officeDocument/2006/relationships/chart" Target="../charts/chart6.xml" /><Relationship Id="rId3" Type="http://schemas.openxmlformats.org/officeDocument/2006/relationships/chart" Target="../charts/chart7.xml" /></Relationships>
</file>

<file path=xl/drawings/_rels/drawing4.xml.rels><?xml version="1.0" encoding="UTF-8" standalone="yes"?><Relationships xmlns="http://schemas.openxmlformats.org/package/2006/relationships"><Relationship Id="rId1" Type="http://schemas.openxmlformats.org/officeDocument/2006/relationships/chart" Target="../charts/chart8.xml" /><Relationship Id="rId2" Type="http://schemas.openxmlformats.org/officeDocument/2006/relationships/chart" Target="../charts/chart9.xml" /></Relationships>
</file>

<file path=xl/drawings/_rels/drawing5.xml.rels><?xml version="1.0" encoding="UTF-8" standalone="yes"?><Relationships xmlns="http://schemas.openxmlformats.org/package/2006/relationships"><Relationship Id="rId1" Type="http://schemas.openxmlformats.org/officeDocument/2006/relationships/chart" Target="../charts/chart10.xml" /><Relationship Id="rId2" Type="http://schemas.openxmlformats.org/officeDocument/2006/relationships/chart" Target="../charts/chart11.xml" /><Relationship Id="rId3" Type="http://schemas.openxmlformats.org/officeDocument/2006/relationships/chart" Target="../charts/chart12.xml" /><Relationship Id="rId4" Type="http://schemas.openxmlformats.org/officeDocument/2006/relationships/chart" Target="../charts/chart13.xml" /><Relationship Id="rId5" Type="http://schemas.openxmlformats.org/officeDocument/2006/relationships/chart" Target="../charts/chart14.xml" /><Relationship Id="rId6" Type="http://schemas.openxmlformats.org/officeDocument/2006/relationships/chart" Target="../charts/chart15.xml" /></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22</xdr:col>
      <xdr:colOff>146879</xdr:colOff>
      <xdr:row>79</xdr:row>
      <xdr:rowOff>16200</xdr:rowOff>
    </xdr:from>
    <xdr:to>
      <xdr:col>27</xdr:col>
      <xdr:colOff>727560</xdr:colOff>
      <xdr:row>93</xdr:row>
      <xdr:rowOff>362519</xdr:rowOff>
    </xdr:to>
    <xdr:graphicFrame>
      <xdr:nvGraphicFramePr>
        <xdr:cNvPr id="1" name="Диаграмма 3"/>
        <xdr:cNvGraphicFramePr>
          <a:graphicFrameLocks xmlns:a="http://schemas.openxmlformats.org/drawingml/2006/main"/>
        </xdr:cNvGraphicFramePr>
      </xdr:nvGraphicFramePr>
      <xdr:xfrm rot="0">
        <a:off x="28565640" y="16803720"/>
        <a:ext cx="6633000" cy="31852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27</xdr:col>
      <xdr:colOff>876240</xdr:colOff>
      <xdr:row>80</xdr:row>
      <xdr:rowOff>133200</xdr:rowOff>
    </xdr:from>
    <xdr:to>
      <xdr:col>33</xdr:col>
      <xdr:colOff>466200</xdr:colOff>
      <xdr:row>93</xdr:row>
      <xdr:rowOff>37440</xdr:rowOff>
    </xdr:to>
    <xdr:graphicFrame>
      <xdr:nvGraphicFramePr>
        <xdr:cNvPr id="2" name="Диаграмма 4"/>
        <xdr:cNvGraphicFramePr>
          <a:graphicFrameLocks xmlns:a="http://schemas.openxmlformats.org/drawingml/2006/main"/>
        </xdr:cNvGraphicFramePr>
      </xdr:nvGraphicFramePr>
      <xdr:xfrm rot="0">
        <a:off x="35347320" y="17111160"/>
        <a:ext cx="6729840" cy="25527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830160</xdr:colOff>
      <xdr:row>97</xdr:row>
      <xdr:rowOff>95400</xdr:rowOff>
    </xdr:from>
    <xdr:to>
      <xdr:col>30</xdr:col>
      <xdr:colOff>81360</xdr:colOff>
      <xdr:row>115</xdr:row>
      <xdr:rowOff>271800</xdr:rowOff>
    </xdr:to>
    <xdr:graphicFrame>
      <xdr:nvGraphicFramePr>
        <xdr:cNvPr id="3" name="Диаграмма 5"/>
        <xdr:cNvGraphicFramePr>
          <a:graphicFrameLocks xmlns:a="http://schemas.openxmlformats.org/drawingml/2006/main"/>
        </xdr:cNvGraphicFramePr>
      </xdr:nvGraphicFramePr>
      <xdr:xfrm rot="0">
        <a:off x="29248920" y="20656080"/>
        <a:ext cx="8873280" cy="396720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13</xdr:col>
      <xdr:colOff>0</xdr:colOff>
      <xdr:row>44</xdr:row>
      <xdr:rowOff>0</xdr:rowOff>
    </xdr:from>
    <xdr:to>
      <xdr:col>21</xdr:col>
      <xdr:colOff>704519</xdr:colOff>
      <xdr:row>44</xdr:row>
      <xdr:rowOff>359</xdr:rowOff>
    </xdr:to>
    <xdr:graphicFrame>
      <xdr:nvGraphicFramePr>
        <xdr:cNvPr id="4" name="Chart 7"/>
        <xdr:cNvGraphicFramePr>
          <a:graphicFrameLocks xmlns:a="http://schemas.openxmlformats.org/drawingml/2006/main"/>
        </xdr:cNvGraphicFramePr>
      </xdr:nvGraphicFramePr>
      <xdr:xfrm rot="0">
        <a:off x="17527320" y="10583640"/>
        <a:ext cx="10041480" cy="3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0</xdr:col>
      <xdr:colOff>0</xdr:colOff>
      <xdr:row>92</xdr:row>
      <xdr:rowOff>71280</xdr:rowOff>
    </xdr:from>
    <xdr:to>
      <xdr:col>0</xdr:col>
      <xdr:colOff>0</xdr:colOff>
      <xdr:row>92</xdr:row>
      <xdr:rowOff>71280</xdr:rowOff>
    </xdr:to>
    <xdr:graphicFrame>
      <xdr:nvGraphicFramePr>
        <xdr:cNvPr id="5" name="Chart 5"/>
        <xdr:cNvGraphicFramePr>
          <a:graphicFrameLocks xmlns:a="http://schemas.openxmlformats.org/drawingml/2006/main"/>
        </xdr:cNvGraphicFramePr>
      </xdr:nvGraphicFramePr>
      <xdr:xfrm rot="0">
        <a:off x="0" y="2341440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92</xdr:row>
      <xdr:rowOff>71280</xdr:rowOff>
    </xdr:from>
    <xdr:to>
      <xdr:col>0</xdr:col>
      <xdr:colOff>0</xdr:colOff>
      <xdr:row>92</xdr:row>
      <xdr:rowOff>71280</xdr:rowOff>
    </xdr:to>
    <xdr:graphicFrame>
      <xdr:nvGraphicFramePr>
        <xdr:cNvPr id="6" name="Chart 6"/>
        <xdr:cNvGraphicFramePr>
          <a:graphicFrameLocks xmlns:a="http://schemas.openxmlformats.org/drawingml/2006/main"/>
        </xdr:cNvGraphicFramePr>
      </xdr:nvGraphicFramePr>
      <xdr:xfrm rot="0">
        <a:off x="0" y="2341440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92</xdr:row>
      <xdr:rowOff>71280</xdr:rowOff>
    </xdr:from>
    <xdr:to>
      <xdr:col>0</xdr:col>
      <xdr:colOff>0</xdr:colOff>
      <xdr:row>92</xdr:row>
      <xdr:rowOff>71280</xdr:rowOff>
    </xdr:to>
    <xdr:graphicFrame>
      <xdr:nvGraphicFramePr>
        <xdr:cNvPr id="7" name="Chart 7"/>
        <xdr:cNvGraphicFramePr>
          <a:graphicFrameLocks xmlns:a="http://schemas.openxmlformats.org/drawingml/2006/main"/>
        </xdr:cNvGraphicFramePr>
      </xdr:nvGraphicFramePr>
      <xdr:xfrm rot="0">
        <a:off x="0" y="2341440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0</xdr:col>
      <xdr:colOff>0</xdr:colOff>
      <xdr:row>60</xdr:row>
      <xdr:rowOff>209520</xdr:rowOff>
    </xdr:from>
    <xdr:to>
      <xdr:col>0</xdr:col>
      <xdr:colOff>0</xdr:colOff>
      <xdr:row>60</xdr:row>
      <xdr:rowOff>209520</xdr:rowOff>
    </xdr:to>
    <xdr:graphicFrame>
      <xdr:nvGraphicFramePr>
        <xdr:cNvPr id="8" name="Chart 1037"/>
        <xdr:cNvGraphicFramePr>
          <a:graphicFrameLocks xmlns:a="http://schemas.openxmlformats.org/drawingml/2006/main"/>
        </xdr:cNvGraphicFramePr>
      </xdr:nvGraphicFramePr>
      <xdr:xfrm rot="0">
        <a:off x="0" y="1647432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60</xdr:row>
      <xdr:rowOff>209520</xdr:rowOff>
    </xdr:from>
    <xdr:to>
      <xdr:col>0</xdr:col>
      <xdr:colOff>0</xdr:colOff>
      <xdr:row>60</xdr:row>
      <xdr:rowOff>209520</xdr:rowOff>
    </xdr:to>
    <xdr:graphicFrame>
      <xdr:nvGraphicFramePr>
        <xdr:cNvPr id="9" name="Chart 1038"/>
        <xdr:cNvGraphicFramePr>
          <a:graphicFrameLocks xmlns:a="http://schemas.openxmlformats.org/drawingml/2006/main"/>
        </xdr:cNvGraphicFramePr>
      </xdr:nvGraphicFramePr>
      <xdr:xfrm rot="0">
        <a:off x="0" y="1647432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0</xdr:col>
      <xdr:colOff>0</xdr:colOff>
      <xdr:row>37</xdr:row>
      <xdr:rowOff>0</xdr:rowOff>
    </xdr:from>
    <xdr:to>
      <xdr:col>2</xdr:col>
      <xdr:colOff>1315440</xdr:colOff>
      <xdr:row>37</xdr:row>
      <xdr:rowOff>359</xdr:rowOff>
    </xdr:to>
    <xdr:graphicFrame>
      <xdr:nvGraphicFramePr>
        <xdr:cNvPr id="10" name="Chart 15"/>
        <xdr:cNvGraphicFramePr>
          <a:graphicFrameLocks xmlns:a="http://schemas.openxmlformats.org/drawingml/2006/main"/>
        </xdr:cNvGraphicFramePr>
      </xdr:nvGraphicFramePr>
      <xdr:xfrm rot="0">
        <a:off x="0" y="7823880"/>
        <a:ext cx="6554880" cy="3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37</xdr:row>
      <xdr:rowOff>0</xdr:rowOff>
    </xdr:from>
    <xdr:to>
      <xdr:col>2</xdr:col>
      <xdr:colOff>1315440</xdr:colOff>
      <xdr:row>37</xdr:row>
      <xdr:rowOff>359</xdr:rowOff>
    </xdr:to>
    <xdr:graphicFrame>
      <xdr:nvGraphicFramePr>
        <xdr:cNvPr id="11" name="Chart 16"/>
        <xdr:cNvGraphicFramePr>
          <a:graphicFrameLocks xmlns:a="http://schemas.openxmlformats.org/drawingml/2006/main"/>
        </xdr:cNvGraphicFramePr>
      </xdr:nvGraphicFramePr>
      <xdr:xfrm rot="0">
        <a:off x="0" y="7823880"/>
        <a:ext cx="6554880" cy="3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0</xdr:colOff>
      <xdr:row>37</xdr:row>
      <xdr:rowOff>0</xdr:rowOff>
    </xdr:from>
    <xdr:to>
      <xdr:col>4</xdr:col>
      <xdr:colOff>1315440</xdr:colOff>
      <xdr:row>37</xdr:row>
      <xdr:rowOff>359</xdr:rowOff>
    </xdr:to>
    <xdr:graphicFrame>
      <xdr:nvGraphicFramePr>
        <xdr:cNvPr id="12" name="Chart 15"/>
        <xdr:cNvGraphicFramePr>
          <a:graphicFrameLocks xmlns:a="http://schemas.openxmlformats.org/drawingml/2006/main"/>
        </xdr:cNvGraphicFramePr>
      </xdr:nvGraphicFramePr>
      <xdr:xfrm rot="0">
        <a:off x="5239440" y="7823880"/>
        <a:ext cx="3946680" cy="36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xdr:col>
      <xdr:colOff>0</xdr:colOff>
      <xdr:row>37</xdr:row>
      <xdr:rowOff>0</xdr:rowOff>
    </xdr:from>
    <xdr:to>
      <xdr:col>4</xdr:col>
      <xdr:colOff>1315440</xdr:colOff>
      <xdr:row>37</xdr:row>
      <xdr:rowOff>359</xdr:rowOff>
    </xdr:to>
    <xdr:graphicFrame>
      <xdr:nvGraphicFramePr>
        <xdr:cNvPr id="13" name="Chart 16"/>
        <xdr:cNvGraphicFramePr>
          <a:graphicFrameLocks xmlns:a="http://schemas.openxmlformats.org/drawingml/2006/main"/>
        </xdr:cNvGraphicFramePr>
      </xdr:nvGraphicFramePr>
      <xdr:xfrm rot="0">
        <a:off x="5239440" y="7823880"/>
        <a:ext cx="3946680" cy="36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xdr:col>
      <xdr:colOff>0</xdr:colOff>
      <xdr:row>37</xdr:row>
      <xdr:rowOff>0</xdr:rowOff>
    </xdr:from>
    <xdr:to>
      <xdr:col>6</xdr:col>
      <xdr:colOff>1315440</xdr:colOff>
      <xdr:row>37</xdr:row>
      <xdr:rowOff>359</xdr:rowOff>
    </xdr:to>
    <xdr:graphicFrame>
      <xdr:nvGraphicFramePr>
        <xdr:cNvPr id="14" name="Chart 15"/>
        <xdr:cNvGraphicFramePr>
          <a:graphicFrameLocks xmlns:a="http://schemas.openxmlformats.org/drawingml/2006/main"/>
        </xdr:cNvGraphicFramePr>
      </xdr:nvGraphicFramePr>
      <xdr:xfrm rot="0">
        <a:off x="7870680" y="7823880"/>
        <a:ext cx="3947040" cy="36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4</xdr:col>
      <xdr:colOff>0</xdr:colOff>
      <xdr:row>37</xdr:row>
      <xdr:rowOff>0</xdr:rowOff>
    </xdr:from>
    <xdr:to>
      <xdr:col>6</xdr:col>
      <xdr:colOff>1315440</xdr:colOff>
      <xdr:row>37</xdr:row>
      <xdr:rowOff>359</xdr:rowOff>
    </xdr:to>
    <xdr:graphicFrame>
      <xdr:nvGraphicFramePr>
        <xdr:cNvPr id="15" name="Chart 16"/>
        <xdr:cNvGraphicFramePr>
          <a:graphicFrameLocks xmlns:a="http://schemas.openxmlformats.org/drawingml/2006/main"/>
        </xdr:cNvGraphicFramePr>
      </xdr:nvGraphicFramePr>
      <xdr:xfrm rot="0">
        <a:off x="7870680" y="7823880"/>
        <a:ext cx="3947040" cy="36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server3/other/&#1052;&#1086;&#1080;%20&#1076;&#1086;&#1082;&#1091;&#1084;&#1077;&#1085;&#1090;&#1099;/&#1072;&#1085;&#1072;&#1083;&#1080;&#1079;/am_stud/AM.xls" TargetMode="External"/></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O:/&#1053;&#1086;&#1074;&#1072;&#1103;%20&#1087;&#1072;&#1087;&#1082;&#1072;1/&#1052;&#1048;&#1060;&#1048;/&#1083;&#1077;&#1082;&#1094;&#1080;&#1080;/&#1050;&#1069;&#1040;&#1061;&#1044;%20-%20&#1084;&#1086;&#1081;%20&#1074;&#1072;&#1088;&#1080;&#1072;&#1085;&#1090;/&#1050;&#1040;&#1061;&#1044;-2020/&#1088;&#1072;&#1073;&#1086;&#1095;&#1072;&#1103;%20&#1090;&#1077;&#1090;&#1088;&#1072;&#1076;&#1100;%20-%20&#1076;&#1086;&#1088;&#1086;&#1075;&#1086;&#1073;&#1091;&#1078;%20-%20&#1089;%20&#1088;&#1077;&#1096;&#1077;&#1085;&#1080;&#1077;&#1084;%20-%20&#1080;&#1089;&#1090;&#1086;&#1095;&#1085;&#108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лавное меню"/>
      <sheetName val="Карточка"/>
      <sheetName val="Nulic"/>
      <sheetName val="Баланс"/>
      <sheetName val="ОПУ"/>
      <sheetName val="Доп"/>
      <sheetName val="ф1 инвалюта"/>
      <sheetName val="ф2 инвалюта"/>
      <sheetName val="групп"/>
      <sheetName val="Ковалев"/>
      <sheetName val="ФУ1"/>
      <sheetName val="ЧА"/>
      <sheetName val="ликвФ1"/>
      <sheetName val="банкрот"/>
      <sheetName val="Стр-ра ОА"/>
      <sheetName val="Стр-ра КП"/>
      <sheetName val="Стр-ра актива"/>
      <sheetName val="Стр-ра пассива"/>
      <sheetName val="Стр-ра ВА"/>
      <sheetName val="Стр-ра СК"/>
      <sheetName val="Стр-ра дох"/>
      <sheetName val="Стр-ра расх"/>
      <sheetName val="Курсы"/>
      <sheetName val="Регрессии"/>
      <sheetName val="Валюта"/>
      <sheetName val="Сравн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row r="35">
          <cell r="C35">
            <v>26135480</v>
          </cell>
          <cell r="D35">
            <v>25906082</v>
          </cell>
        </row>
      </sheetData>
      <sheetData sheetId="2">
        <row r="7">
          <cell r="A7" t="str">
            <v xml:space="preserve">Доходы и расходы по обычным видам деятельности</v>
          </cell>
        </row>
        <row r="8">
          <cell r="A8" t="str">
            <v>Выручка</v>
          </cell>
        </row>
        <row r="9">
          <cell r="A9" t="str">
            <v xml:space="preserve">Себестоимость продаж</v>
          </cell>
        </row>
        <row r="10">
          <cell r="A10" t="str">
            <v xml:space="preserve">Валовая прибыль</v>
          </cell>
        </row>
        <row r="11">
          <cell r="A11" t="str">
            <v xml:space="preserve">Коммерческие расходы</v>
          </cell>
        </row>
        <row r="12">
          <cell r="A12" t="str">
            <v xml:space="preserve">Управленческие расходы</v>
          </cell>
        </row>
        <row r="13">
          <cell r="A13" t="str">
            <v xml:space="preserve">Прибыль (убыток) от продаж</v>
          </cell>
        </row>
        <row r="14">
          <cell r="A14" t="str">
            <v xml:space="preserve">Прочие доходы и расходы</v>
          </cell>
        </row>
        <row r="15">
          <cell r="A15" t="str">
            <v xml:space="preserve">Доходы от участия в других организациях</v>
          </cell>
        </row>
        <row r="16">
          <cell r="A16" t="str">
            <v xml:space="preserve">Проценты к получению</v>
          </cell>
        </row>
        <row r="17">
          <cell r="A17" t="str">
            <v xml:space="preserve">Проценты к уплате</v>
          </cell>
        </row>
        <row r="18">
          <cell r="A18" t="str">
            <v xml:space="preserve">Прочие доходы</v>
          </cell>
        </row>
        <row r="19">
          <cell r="A19" t="str">
            <v xml:space="preserve">Прочие  расходы</v>
          </cell>
        </row>
        <row r="20">
          <cell r="A20" t="str">
            <v xml:space="preserve">Прибыль (убыток) до налогообложения</v>
          </cell>
        </row>
        <row r="21">
          <cell r="A21" t="str">
            <v xml:space="preserve">Текущий налог на прибыль</v>
          </cell>
        </row>
        <row r="22">
          <cell r="A22" t="str">
            <v xml:space="preserve">в т.ч. постоянные налоговые обязательства (активы)</v>
          </cell>
        </row>
        <row r="23">
          <cell r="A23" t="str">
            <v xml:space="preserve">Изменение отложенных налоговых обязательств</v>
          </cell>
        </row>
        <row r="24">
          <cell r="A24" t="str">
            <v xml:space="preserve">Изменение отложенных налоговых активов</v>
          </cell>
        </row>
        <row r="25">
          <cell r="A25" t="str">
            <v>Прочее</v>
          </cell>
        </row>
        <row r="26">
          <cell r="A26" t="str">
            <v xml:space="preserve">Чистая прибыль (убыток)</v>
          </cell>
        </row>
      </sheetData>
      <sheetData sheetId="3"/>
      <sheetData sheetId="4"/>
      <sheetData sheetId="5"/>
      <sheetData sheetId="6"/>
      <sheetData sheetId="7"/>
      <sheetData sheetId="8"/>
      <sheetData sheetId="9"/>
      <sheetData sheetId="10"/>
      <sheetData sheetId="11"/>
      <sheetData sheetId="12"/>
      <sheetData sheetId="13">
        <row r="30">
          <cell r="D30">
            <v>25906082</v>
          </cell>
        </row>
        <row r="30">
          <cell r="F30">
            <v>26135480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mbria"/>
        <a:ea typeface="Arial"/>
        <a:cs typeface="Arial"/>
      </a:majorFont>
      <a:minorFont>
        <a:latin typeface="Calibri"/>
        <a:ea typeface="Arial"/>
        <a:cs typeface="Arial"/>
      </a:minorFont>
    </a:fontScheme>
    <a:fmtScheme na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gradFill>
        <a:gradFill>
          <a:gsLst>
            <a:gs pos="0">
              <a:schemeClr val="phClr">
                <a:shade val="51000"/>
              </a:schemeClr>
            </a:gs>
            <a:gs pos="80000">
              <a:schemeClr val="phClr">
                <a:shade val="93000"/>
              </a:schemeClr>
            </a:gs>
            <a:gs pos="100000">
              <a:schemeClr val="phClr">
                <a:shade val="94000"/>
              </a:schemeClr>
            </a:gs>
          </a:gsLst>
          <a:lin ang="16200000" scaled="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gradFill>
        <a:gradFill>
          <a:gsLst>
            <a:gs pos="0">
              <a:schemeClr val="phClr">
                <a:tint val="80000"/>
              </a:schemeClr>
            </a:gs>
            <a:gs pos="100000">
              <a:schemeClr val="phClr">
                <a:shade val="30000"/>
              </a:schemeClr>
            </a:gs>
          </a:gsLst>
          <a:path path="circle"/>
        </a:gradFill>
      </a:bgFillStyleLst>
    </a:fmtScheme>
  </a:themeElements>
  <a:objectDefaults/>
</a:theme>
</file>

<file path=xl/worksheets/_rels/sheet10.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indexed="45"/>
    <outlinePr applyStyles="0" summaryBelow="1" summaryRight="1" showOutlineSymbols="1"/>
    <pageSetUpPr autoPageBreaks="1" fitToPage="1"/>
  </sheetPr>
  <sheetViews>
    <sheetView showFormulas="0" showGridLines="1" showRowColHeaders="1" showZeros="1" rightToLeft="0" view="normal" topLeftCell="A25" zoomScale="100" workbookViewId="0">
      <pane xSplit="1" topLeftCell="B1" activePane="topRight" state="frozen"/>
      <selection activeCell="A25" activeCellId="0" sqref="A25"/>
    </sheetView>
  </sheetViews>
  <sheetFormatPr defaultColWidth="9.109375" defaultRowHeight="15.6"/>
  <cols>
    <col customWidth="1" min="1" max="1" style="1" width="49"/>
    <col customWidth="1" min="2" max="2" style="2" width="10.880000000000001"/>
    <col customWidth="1" min="3" max="4" style="0" width="17.440000000000001"/>
    <col customWidth="1" min="5" max="5" style="3" width="17.440000000000001"/>
    <col customWidth="1" min="6" max="6" style="4" width="17.440000000000001"/>
    <col customWidth="1" min="7" max="7" style="2" width="17.440000000000001"/>
    <col customWidth="1" min="8" max="8" style="1" width="17.440000000000001"/>
    <col customWidth="1" min="9" max="9" style="5" width="17.440000000000001"/>
    <col customWidth="1" min="10" max="10" style="1" width="17.440000000000001"/>
    <col customWidth="1" min="11" max="11" style="1" width="11.44"/>
    <col customWidth="0" min="12" max="16384" style="1" width="9.1099999999999994"/>
  </cols>
  <sheetData>
    <row r="1" ht="15.6">
      <c r="A1" s="1" t="s">
        <v>0</v>
      </c>
      <c r="B1" s="1"/>
      <c r="G1" s="1"/>
    </row>
    <row r="2" ht="15.6">
      <c r="A2" s="6" t="s">
        <v>1</v>
      </c>
      <c r="B2" s="7"/>
      <c r="G2" s="1"/>
    </row>
    <row r="3" ht="15.6">
      <c r="A3" s="6" t="s">
        <v>2</v>
      </c>
      <c r="B3" s="8" t="s">
        <v>3</v>
      </c>
      <c r="F3" s="9"/>
      <c r="G3" s="1"/>
    </row>
    <row r="4" ht="15.6">
      <c r="A4" s="6" t="s">
        <v>4</v>
      </c>
      <c r="B4" s="8" t="s">
        <v>5</v>
      </c>
      <c r="G4" s="1"/>
    </row>
    <row r="5" s="6" customFormat="1" ht="28.550000000000001">
      <c r="A5" s="10" t="s">
        <v>6</v>
      </c>
      <c r="B5" s="11" t="s">
        <v>7</v>
      </c>
      <c r="C5" s="12" t="s">
        <v>8</v>
      </c>
      <c r="D5" s="12" t="s">
        <v>9</v>
      </c>
      <c r="E5" s="12" t="s">
        <v>10</v>
      </c>
      <c r="F5" s="12" t="s">
        <v>11</v>
      </c>
      <c r="G5" s="12" t="s">
        <v>12</v>
      </c>
      <c r="H5" s="12" t="s">
        <v>13</v>
      </c>
      <c r="I5" s="12" t="s">
        <v>14</v>
      </c>
      <c r="J5" s="12" t="s">
        <v>15</v>
      </c>
    </row>
    <row r="6" s="6" customFormat="1" ht="15.6">
      <c r="A6" s="13">
        <v>1</v>
      </c>
      <c r="B6" s="14">
        <v>2</v>
      </c>
      <c r="C6" s="15">
        <v>3</v>
      </c>
      <c r="D6" s="15">
        <v>4</v>
      </c>
      <c r="E6" s="15">
        <v>5</v>
      </c>
      <c r="F6" s="15">
        <v>6</v>
      </c>
      <c r="G6" s="15">
        <v>7</v>
      </c>
      <c r="H6" s="15">
        <v>8</v>
      </c>
      <c r="I6" s="15">
        <v>9</v>
      </c>
      <c r="J6" s="15">
        <v>10</v>
      </c>
    </row>
    <row r="7" ht="15.6">
      <c r="A7" s="16" t="s">
        <v>16</v>
      </c>
      <c r="B7" s="17"/>
      <c r="C7" s="18"/>
      <c r="D7" s="18"/>
      <c r="E7" s="18"/>
      <c r="F7" s="18"/>
      <c r="G7" s="18"/>
      <c r="H7" s="18"/>
      <c r="I7" s="18"/>
      <c r="J7" s="18"/>
    </row>
    <row r="8" ht="15.6">
      <c r="A8" s="16" t="s">
        <v>17</v>
      </c>
      <c r="B8" s="19">
        <v>1110</v>
      </c>
      <c r="C8" s="20">
        <v>0</v>
      </c>
      <c r="D8" s="20">
        <v>0</v>
      </c>
      <c r="E8" s="20">
        <v>0</v>
      </c>
      <c r="F8" s="20">
        <v>0</v>
      </c>
      <c r="G8" s="20">
        <v>0</v>
      </c>
      <c r="H8" s="20">
        <v>0</v>
      </c>
      <c r="I8" s="20">
        <v>74</v>
      </c>
      <c r="J8" s="20">
        <v>241</v>
      </c>
    </row>
    <row r="9" ht="15.6">
      <c r="A9" s="16" t="s">
        <v>18</v>
      </c>
      <c r="B9" s="19">
        <v>1120</v>
      </c>
      <c r="C9" s="20">
        <v>0</v>
      </c>
      <c r="D9" s="20">
        <v>0</v>
      </c>
      <c r="E9" s="20">
        <v>0</v>
      </c>
      <c r="F9" s="20">
        <v>0</v>
      </c>
      <c r="G9" s="20">
        <v>0</v>
      </c>
      <c r="H9" s="20">
        <v>0</v>
      </c>
      <c r="I9" s="20">
        <v>0</v>
      </c>
      <c r="J9" s="20">
        <v>0</v>
      </c>
    </row>
    <row r="10" ht="18" customHeight="1">
      <c r="A10" s="16" t="s">
        <v>19</v>
      </c>
      <c r="B10" s="19">
        <v>1130</v>
      </c>
      <c r="C10" s="20">
        <v>8002783</v>
      </c>
      <c r="D10" s="20">
        <v>3835076</v>
      </c>
      <c r="E10" s="20">
        <v>3893835</v>
      </c>
      <c r="F10" s="20">
        <v>3942223</v>
      </c>
      <c r="G10" s="20">
        <v>3832135</v>
      </c>
      <c r="H10" s="20">
        <v>3944835</v>
      </c>
      <c r="I10" s="20">
        <v>3571054</v>
      </c>
      <c r="J10" s="20">
        <v>3621106</v>
      </c>
    </row>
    <row r="11" ht="16.5" customHeight="1">
      <c r="A11" s="16" t="s">
        <v>20</v>
      </c>
      <c r="B11" s="19">
        <v>1140</v>
      </c>
      <c r="C11" s="20">
        <v>0</v>
      </c>
      <c r="D11" s="20">
        <v>0</v>
      </c>
      <c r="E11" s="20">
        <v>0</v>
      </c>
      <c r="F11" s="20">
        <v>0</v>
      </c>
      <c r="G11" s="20">
        <v>0</v>
      </c>
      <c r="H11" s="20">
        <v>0</v>
      </c>
      <c r="I11" s="20">
        <v>0</v>
      </c>
      <c r="J11" s="20">
        <v>0</v>
      </c>
    </row>
    <row r="12" ht="15.6">
      <c r="A12" s="16" t="s">
        <v>21</v>
      </c>
      <c r="B12" s="19">
        <v>1150</v>
      </c>
      <c r="C12" s="20">
        <v>10139182</v>
      </c>
      <c r="D12" s="20">
        <v>8392766</v>
      </c>
      <c r="E12" s="20">
        <v>14629278</v>
      </c>
      <c r="F12" s="20">
        <v>4566241</v>
      </c>
      <c r="G12" s="20">
        <v>6479088</v>
      </c>
      <c r="H12" s="20">
        <v>7103849</v>
      </c>
      <c r="I12" s="20">
        <v>12356799</v>
      </c>
      <c r="J12" s="20">
        <v>15086882</v>
      </c>
    </row>
    <row r="13" ht="15.6">
      <c r="A13" s="16" t="s">
        <v>22</v>
      </c>
      <c r="B13" s="19">
        <v>1160</v>
      </c>
      <c r="C13" s="20">
        <v>165840</v>
      </c>
      <c r="D13" s="20">
        <v>159685</v>
      </c>
      <c r="E13" s="20">
        <v>159055</v>
      </c>
      <c r="F13" s="20">
        <v>162155</v>
      </c>
      <c r="G13" s="20">
        <v>152200</v>
      </c>
      <c r="H13" s="20">
        <v>141399</v>
      </c>
      <c r="I13" s="20">
        <v>66139</v>
      </c>
      <c r="J13" s="20">
        <v>55032</v>
      </c>
    </row>
    <row r="14" ht="15.6">
      <c r="A14" s="16" t="s">
        <v>23</v>
      </c>
      <c r="B14" s="19">
        <v>1170</v>
      </c>
      <c r="C14" s="20">
        <v>1345294</v>
      </c>
      <c r="D14" s="20">
        <v>2083522</v>
      </c>
      <c r="E14" s="20">
        <v>532148</v>
      </c>
      <c r="F14" s="20">
        <v>401995</v>
      </c>
      <c r="G14" s="20">
        <v>69514</v>
      </c>
      <c r="H14" s="20">
        <v>16713</v>
      </c>
      <c r="I14" s="20">
        <v>126630</v>
      </c>
      <c r="J14" s="20">
        <v>36822</v>
      </c>
    </row>
    <row r="15" s="6" customFormat="1" ht="15.6">
      <c r="A15" s="21" t="s">
        <v>24</v>
      </c>
      <c r="B15" s="22">
        <v>1100</v>
      </c>
      <c r="C15" s="23">
        <f>SUM(C8:C14)</f>
        <v>19653099</v>
      </c>
      <c r="D15" s="23">
        <f>SUM(D8:D14)</f>
        <v>14471049</v>
      </c>
      <c r="E15" s="23">
        <f>SUM(E8:E14)</f>
        <v>19214316</v>
      </c>
      <c r="F15" s="23">
        <f>SUM(F8:F14)</f>
        <v>9072614</v>
      </c>
      <c r="G15" s="23">
        <f>SUM(G8:G14)</f>
        <v>10532937</v>
      </c>
      <c r="H15" s="23">
        <f>SUM(H8:H14)</f>
        <v>11206796</v>
      </c>
      <c r="I15" s="23">
        <f>SUM(I8:I14)</f>
        <v>16120696</v>
      </c>
      <c r="J15" s="23">
        <f>SUM(J8:J14)</f>
        <v>18800083</v>
      </c>
    </row>
    <row r="16" ht="15.6">
      <c r="A16" s="16" t="s">
        <v>25</v>
      </c>
      <c r="B16" s="17"/>
      <c r="C16" s="18"/>
      <c r="D16" s="18"/>
      <c r="E16" s="18"/>
      <c r="F16" s="18"/>
      <c r="G16" s="18"/>
      <c r="H16" s="18"/>
      <c r="I16" s="18"/>
      <c r="J16" s="18"/>
    </row>
    <row r="17" ht="15.6">
      <c r="A17" s="16" t="s">
        <v>26</v>
      </c>
      <c r="B17" s="19">
        <v>1210</v>
      </c>
      <c r="C17" s="20">
        <v>3359236</v>
      </c>
      <c r="D17" s="20">
        <v>2454097</v>
      </c>
      <c r="E17" s="24">
        <v>2594147</v>
      </c>
      <c r="F17" s="20">
        <v>2183513</v>
      </c>
      <c r="G17" s="20">
        <v>1971564</v>
      </c>
      <c r="H17" s="24">
        <v>1667298</v>
      </c>
      <c r="I17" s="20">
        <v>1505696</v>
      </c>
      <c r="J17" s="24">
        <v>1811263</v>
      </c>
    </row>
    <row r="18" ht="28.550000000000001">
      <c r="A18" s="16" t="s">
        <v>27</v>
      </c>
      <c r="B18" s="19">
        <v>1220</v>
      </c>
      <c r="C18" s="20">
        <v>33290</v>
      </c>
      <c r="D18" s="20">
        <v>16327</v>
      </c>
      <c r="E18" s="20">
        <v>549766</v>
      </c>
      <c r="F18" s="20">
        <v>186218</v>
      </c>
      <c r="G18" s="20">
        <v>432921</v>
      </c>
      <c r="H18" s="20">
        <v>212888</v>
      </c>
      <c r="I18" s="20">
        <v>196713</v>
      </c>
      <c r="J18" s="20">
        <v>43321</v>
      </c>
    </row>
    <row r="19" ht="15.6">
      <c r="A19" s="16" t="s">
        <v>28</v>
      </c>
      <c r="B19" s="19">
        <v>1230</v>
      </c>
      <c r="C19" s="20">
        <f>SUM(C20:C21)</f>
        <v>2703825</v>
      </c>
      <c r="D19" s="20">
        <f>SUM(D20:D21)</f>
        <v>3097566</v>
      </c>
      <c r="E19" s="20">
        <f>SUM(E20:E21)</f>
        <v>3241082</v>
      </c>
      <c r="F19" s="20">
        <f>SUM(F20:F21)</f>
        <v>3705802</v>
      </c>
      <c r="G19" s="20">
        <f>SUM(G20:G21)</f>
        <v>5380410</v>
      </c>
      <c r="H19" s="20">
        <f>SUM(H20:H21)</f>
        <v>5548340</v>
      </c>
      <c r="I19" s="20">
        <f>SUM(I20:I21)</f>
        <v>4398970</v>
      </c>
      <c r="J19" s="20">
        <f>SUM(J20:J21)</f>
        <v>4598730</v>
      </c>
    </row>
    <row r="20" ht="15.6">
      <c r="A20" s="25" t="s">
        <v>29</v>
      </c>
      <c r="B20" s="19">
        <v>1231</v>
      </c>
      <c r="C20" s="20">
        <v>0</v>
      </c>
      <c r="D20" s="20">
        <v>0</v>
      </c>
      <c r="E20" s="20">
        <v>101369</v>
      </c>
      <c r="F20" s="20">
        <v>0</v>
      </c>
      <c r="G20" s="20">
        <v>206724</v>
      </c>
      <c r="H20" s="20">
        <v>295395</v>
      </c>
      <c r="I20" s="20">
        <v>1780926</v>
      </c>
      <c r="J20" s="20">
        <v>2720474</v>
      </c>
    </row>
    <row r="21" ht="15.6">
      <c r="A21" s="25" t="s">
        <v>30</v>
      </c>
      <c r="B21" s="19">
        <v>1232</v>
      </c>
      <c r="C21" s="20">
        <f>3124548-420723</f>
        <v>2703825</v>
      </c>
      <c r="D21" s="20">
        <f>3524467-426901</f>
        <v>3097566</v>
      </c>
      <c r="E21" s="20">
        <f>3579097-439384</f>
        <v>3139713</v>
      </c>
      <c r="F21" s="20">
        <f>4144082-438280</f>
        <v>3705802</v>
      </c>
      <c r="G21" s="20">
        <f>5602624-428938</f>
        <v>5173686</v>
      </c>
      <c r="H21" s="20">
        <v>5252945</v>
      </c>
      <c r="I21" s="20">
        <v>2618044</v>
      </c>
      <c r="J21" s="20">
        <v>1878256</v>
      </c>
    </row>
    <row r="22" ht="28.550000000000001">
      <c r="A22" s="16" t="s">
        <v>31</v>
      </c>
      <c r="B22" s="19">
        <v>1240</v>
      </c>
      <c r="C22" s="20">
        <v>18308260</v>
      </c>
      <c r="D22" s="20">
        <v>27313352</v>
      </c>
      <c r="E22" s="20">
        <v>22234137</v>
      </c>
      <c r="F22" s="20">
        <v>38591144</v>
      </c>
      <c r="G22" s="20">
        <v>24929179</v>
      </c>
      <c r="H22" s="20">
        <v>23956588</v>
      </c>
      <c r="I22" s="20">
        <v>10536852</v>
      </c>
      <c r="J22" s="20">
        <v>3602536</v>
      </c>
    </row>
    <row r="23" ht="15.6">
      <c r="A23" s="16" t="s">
        <v>32</v>
      </c>
      <c r="B23" s="19">
        <v>1250</v>
      </c>
      <c r="C23" s="20">
        <v>3397538</v>
      </c>
      <c r="D23" s="20">
        <v>1007422</v>
      </c>
      <c r="E23" s="20">
        <v>3121333</v>
      </c>
      <c r="F23" s="20">
        <v>4548134</v>
      </c>
      <c r="G23" s="20">
        <v>6655180</v>
      </c>
      <c r="H23" s="20">
        <v>3728021</v>
      </c>
      <c r="I23" s="20">
        <v>509947</v>
      </c>
      <c r="J23" s="20">
        <v>831112</v>
      </c>
    </row>
    <row r="24" ht="15.6">
      <c r="A24" s="16" t="s">
        <v>33</v>
      </c>
      <c r="B24" s="19">
        <v>1260</v>
      </c>
      <c r="C24" s="20">
        <v>726358</v>
      </c>
      <c r="D24" s="20">
        <v>216717</v>
      </c>
      <c r="E24" s="20">
        <v>152360</v>
      </c>
      <c r="F24" s="20">
        <v>186155</v>
      </c>
      <c r="G24" s="20">
        <v>345727</v>
      </c>
      <c r="H24" s="20">
        <v>124161</v>
      </c>
      <c r="I24" s="20">
        <v>96823</v>
      </c>
      <c r="J24" s="20">
        <v>85009</v>
      </c>
    </row>
    <row r="25" s="6" customFormat="1" ht="15.6">
      <c r="A25" s="21" t="s">
        <v>34</v>
      </c>
      <c r="B25" s="22">
        <v>1200</v>
      </c>
      <c r="C25" s="23">
        <f>SUM(C17:C19,C22,C23,C24)</f>
        <v>28528507</v>
      </c>
      <c r="D25" s="23">
        <f>SUM(D17:D19,D22,D23,D24)</f>
        <v>34105481</v>
      </c>
      <c r="E25" s="23">
        <f>SUM(E17:E19,E22,E23,E24)</f>
        <v>31892825</v>
      </c>
      <c r="F25" s="23">
        <f>SUM(F17:F19,F22,F23,F24)</f>
        <v>49400966</v>
      </c>
      <c r="G25" s="23">
        <f>SUM(G17:G19,G22,G23,G24)</f>
        <v>39714981</v>
      </c>
      <c r="H25" s="23">
        <f>SUM(H17:H19,H22,H23,H24)</f>
        <v>35237296</v>
      </c>
      <c r="I25" s="23">
        <f>SUM(I17:I19,I22,I23,I24)</f>
        <v>17245001</v>
      </c>
      <c r="J25" s="23">
        <f>SUM(J17:J19,J22,J23,J24)</f>
        <v>10971971</v>
      </c>
    </row>
    <row r="26" s="6" customFormat="1" ht="15.6">
      <c r="A26" s="21" t="s">
        <v>35</v>
      </c>
      <c r="B26" s="22">
        <v>1600</v>
      </c>
      <c r="C26" s="23">
        <f>C15+C25</f>
        <v>48181606</v>
      </c>
      <c r="D26" s="23">
        <f>D15+D25</f>
        <v>48576530</v>
      </c>
      <c r="E26" s="23">
        <f>E15+E25</f>
        <v>51107141</v>
      </c>
      <c r="F26" s="23">
        <f>F15+F25</f>
        <v>58473580</v>
      </c>
      <c r="G26" s="23">
        <f>G15+G25</f>
        <v>50247918</v>
      </c>
      <c r="H26" s="23">
        <f>H15+H25</f>
        <v>46444092</v>
      </c>
      <c r="I26" s="23">
        <f>I15+I25</f>
        <v>33365697</v>
      </c>
      <c r="J26" s="23">
        <f>J15+J25</f>
        <v>29772054</v>
      </c>
    </row>
    <row r="27" ht="15.6">
      <c r="A27" s="26"/>
      <c r="B27" s="26"/>
      <c r="C27" s="27"/>
      <c r="D27" s="27"/>
      <c r="E27" s="27"/>
      <c r="F27" s="27"/>
      <c r="G27" s="27"/>
      <c r="H27" s="27"/>
      <c r="I27" s="27"/>
      <c r="J27" s="27"/>
    </row>
    <row r="28" s="6" customFormat="1" ht="28.550000000000001">
      <c r="A28" s="10" t="s">
        <v>36</v>
      </c>
      <c r="B28" s="11" t="s">
        <v>7</v>
      </c>
      <c r="C28" s="28" t="str">
        <f>C5</f>
        <v xml:space="preserve">на 31 декабря 2019 года</v>
      </c>
      <c r="D28" s="28" t="str">
        <f>D5</f>
        <v xml:space="preserve">на 31 декабря 2018 года</v>
      </c>
      <c r="E28" s="28" t="str">
        <f>E5</f>
        <v xml:space="preserve">на 31 декабря 2017 года</v>
      </c>
      <c r="F28" s="28" t="str">
        <f>F5</f>
        <v xml:space="preserve">на 31 декабря 2016 года</v>
      </c>
      <c r="G28" s="28" t="str">
        <f>G5</f>
        <v xml:space="preserve">на 31 декабря 2015 года</v>
      </c>
      <c r="H28" s="28" t="str">
        <f>H5</f>
        <v xml:space="preserve">на 31 декабря 2014 года</v>
      </c>
      <c r="I28" s="28" t="str">
        <f>I5</f>
        <v xml:space="preserve">на 31 декабря 2013 года</v>
      </c>
      <c r="J28" s="28" t="str">
        <f>J5</f>
        <v xml:space="preserve">на 31 декабря 2012 года</v>
      </c>
    </row>
    <row r="29" s="6" customFormat="1" ht="15.6">
      <c r="A29" s="13">
        <v>1</v>
      </c>
      <c r="B29" s="14">
        <v>2</v>
      </c>
      <c r="C29" s="29">
        <v>3</v>
      </c>
      <c r="D29" s="29">
        <v>4</v>
      </c>
      <c r="E29" s="29">
        <v>5</v>
      </c>
      <c r="F29" s="29">
        <v>6</v>
      </c>
      <c r="G29" s="29">
        <v>7</v>
      </c>
      <c r="H29" s="29">
        <v>8</v>
      </c>
      <c r="I29" s="29">
        <v>9</v>
      </c>
      <c r="J29" s="29">
        <v>10</v>
      </c>
    </row>
    <row r="30" ht="15.6">
      <c r="A30" s="16" t="s">
        <v>37</v>
      </c>
      <c r="B30" s="17"/>
      <c r="C30" s="18"/>
      <c r="D30" s="18"/>
      <c r="E30" s="18"/>
      <c r="F30" s="18"/>
      <c r="G30" s="18"/>
      <c r="H30" s="18"/>
      <c r="I30" s="18"/>
      <c r="J30" s="18"/>
    </row>
    <row r="31" ht="15" customHeight="1">
      <c r="A31" s="16" t="s">
        <v>38</v>
      </c>
      <c r="B31" s="19">
        <v>1310</v>
      </c>
      <c r="C31" s="20">
        <v>218860</v>
      </c>
      <c r="D31" s="20">
        <v>218860</v>
      </c>
      <c r="E31" s="20">
        <v>218860</v>
      </c>
      <c r="F31" s="20">
        <v>218860</v>
      </c>
      <c r="G31" s="20">
        <v>218860</v>
      </c>
      <c r="H31" s="20">
        <v>218860</v>
      </c>
      <c r="I31" s="20">
        <v>218860</v>
      </c>
      <c r="J31" s="20">
        <v>218860</v>
      </c>
    </row>
    <row r="32" ht="18.75" customHeight="1">
      <c r="A32" s="16" t="s">
        <v>39</v>
      </c>
      <c r="B32" s="19">
        <v>1320</v>
      </c>
      <c r="C32" s="20">
        <v>0</v>
      </c>
      <c r="D32" s="20">
        <v>0</v>
      </c>
      <c r="E32" s="20">
        <v>-96647</v>
      </c>
      <c r="F32" s="20">
        <v>0</v>
      </c>
      <c r="G32" s="20">
        <v>-20847</v>
      </c>
      <c r="H32" s="20">
        <v>0</v>
      </c>
      <c r="I32" s="20">
        <v>0</v>
      </c>
      <c r="J32" s="20">
        <v>0</v>
      </c>
    </row>
    <row r="33" ht="15.6">
      <c r="A33" s="16" t="s">
        <v>40</v>
      </c>
      <c r="B33" s="19">
        <v>1340</v>
      </c>
      <c r="C33" s="30">
        <v>417269</v>
      </c>
      <c r="D33" s="30">
        <v>418860</v>
      </c>
      <c r="E33" s="20">
        <v>420686</v>
      </c>
      <c r="F33" s="30">
        <v>484791</v>
      </c>
      <c r="G33" s="30">
        <v>518210</v>
      </c>
      <c r="H33" s="20">
        <v>531553</v>
      </c>
      <c r="I33" s="30">
        <v>543121</v>
      </c>
      <c r="J33" s="20">
        <v>563922</v>
      </c>
    </row>
    <row r="34" ht="15.6">
      <c r="A34" s="16" t="s">
        <v>41</v>
      </c>
      <c r="B34" s="19">
        <v>1350</v>
      </c>
      <c r="C34" s="20">
        <v>84000</v>
      </c>
      <c r="D34" s="20">
        <v>84000</v>
      </c>
      <c r="E34" s="20">
        <v>84000</v>
      </c>
      <c r="F34" s="20">
        <v>84000</v>
      </c>
      <c r="G34" s="20">
        <v>84000</v>
      </c>
      <c r="H34" s="20">
        <v>84000</v>
      </c>
      <c r="I34" s="20">
        <v>84000</v>
      </c>
      <c r="J34" s="20">
        <v>84000</v>
      </c>
    </row>
    <row r="35" ht="15.6">
      <c r="A35" s="16" t="s">
        <v>42</v>
      </c>
      <c r="B35" s="19">
        <v>1360</v>
      </c>
      <c r="C35" s="20">
        <v>32829</v>
      </c>
      <c r="D35" s="20">
        <v>32829</v>
      </c>
      <c r="E35" s="20">
        <v>32829</v>
      </c>
      <c r="F35" s="20">
        <v>32829</v>
      </c>
      <c r="G35" s="20">
        <v>32829</v>
      </c>
      <c r="H35" s="20">
        <v>32829</v>
      </c>
      <c r="I35" s="20">
        <v>32829</v>
      </c>
      <c r="J35" s="20">
        <v>32829</v>
      </c>
    </row>
    <row r="36" ht="15.6">
      <c r="A36" s="16" t="s">
        <v>43</v>
      </c>
      <c r="B36" s="19">
        <v>1370</v>
      </c>
      <c r="C36" s="20">
        <v>39665734</v>
      </c>
      <c r="D36" s="20">
        <v>44989485</v>
      </c>
      <c r="E36" s="20">
        <v>46368906</v>
      </c>
      <c r="F36" s="20">
        <v>40435274</v>
      </c>
      <c r="G36" s="20">
        <v>34077800</v>
      </c>
      <c r="H36" s="20">
        <v>25268238</v>
      </c>
      <c r="I36" s="20">
        <v>25027272</v>
      </c>
      <c r="J36" s="20">
        <v>21162720</v>
      </c>
    </row>
    <row r="37" s="6" customFormat="1" ht="19.949999999999999" customHeight="1">
      <c r="A37" s="21" t="s">
        <v>44</v>
      </c>
      <c r="B37" s="22">
        <v>1300</v>
      </c>
      <c r="C37" s="23">
        <f>SUM(C31:C36)</f>
        <v>40418692</v>
      </c>
      <c r="D37" s="23">
        <f>SUM(D31:D36)</f>
        <v>45744034</v>
      </c>
      <c r="E37" s="23">
        <f>SUM(E31:E36)</f>
        <v>47028634</v>
      </c>
      <c r="F37" s="23">
        <f>SUM(F31:F36)</f>
        <v>41255754</v>
      </c>
      <c r="G37" s="23">
        <f>SUM(G31:G36)</f>
        <v>34910852</v>
      </c>
      <c r="H37" s="23">
        <f>SUM(H31:H36)</f>
        <v>26135480</v>
      </c>
      <c r="I37" s="23">
        <f>SUM(I31:I36)</f>
        <v>25906082</v>
      </c>
      <c r="J37" s="23">
        <f>SUM(J31:J36)</f>
        <v>22062331</v>
      </c>
    </row>
    <row r="38" ht="17.399999999999999" customHeight="1">
      <c r="A38" s="16" t="s">
        <v>45</v>
      </c>
      <c r="B38" s="17"/>
      <c r="C38" s="18"/>
      <c r="D38" s="18"/>
      <c r="E38" s="18"/>
      <c r="F38" s="18"/>
      <c r="G38" s="18"/>
      <c r="H38" s="18"/>
      <c r="I38" s="18"/>
      <c r="J38" s="18"/>
    </row>
    <row r="39" ht="15.6">
      <c r="A39" s="16" t="s">
        <v>46</v>
      </c>
      <c r="B39" s="19">
        <v>1410</v>
      </c>
      <c r="C39" s="20">
        <v>0</v>
      </c>
      <c r="D39" s="20">
        <v>0</v>
      </c>
      <c r="E39" s="20">
        <v>0</v>
      </c>
      <c r="F39" s="20">
        <v>3000000</v>
      </c>
      <c r="G39" s="20">
        <v>10932405</v>
      </c>
      <c r="H39" s="20">
        <v>8438760</v>
      </c>
      <c r="I39" s="20">
        <v>4909380</v>
      </c>
      <c r="J39" s="20">
        <v>5454937</v>
      </c>
    </row>
    <row r="40" ht="15.6">
      <c r="A40" s="16" t="s">
        <v>47</v>
      </c>
      <c r="B40" s="19">
        <v>1420</v>
      </c>
      <c r="C40" s="20">
        <v>675161</v>
      </c>
      <c r="D40" s="20">
        <v>551941</v>
      </c>
      <c r="E40" s="20">
        <v>419734</v>
      </c>
      <c r="F40" s="20">
        <v>261403</v>
      </c>
      <c r="G40" s="20">
        <v>275358</v>
      </c>
      <c r="H40" s="20">
        <v>161590</v>
      </c>
      <c r="I40" s="20">
        <v>124369</v>
      </c>
      <c r="J40" s="20">
        <v>113141</v>
      </c>
    </row>
    <row r="41" ht="15.6">
      <c r="A41" s="16" t="s">
        <v>48</v>
      </c>
      <c r="B41" s="19">
        <v>1430</v>
      </c>
      <c r="C41" s="20">
        <v>0</v>
      </c>
      <c r="D41" s="20">
        <v>0</v>
      </c>
      <c r="E41" s="20">
        <v>0</v>
      </c>
      <c r="F41" s="20">
        <v>0</v>
      </c>
      <c r="G41" s="20">
        <v>0</v>
      </c>
      <c r="H41" s="20">
        <v>0</v>
      </c>
      <c r="I41" s="20">
        <v>0</v>
      </c>
      <c r="J41" s="20">
        <v>0</v>
      </c>
    </row>
    <row r="42" ht="15.6">
      <c r="A42" s="16" t="s">
        <v>49</v>
      </c>
      <c r="B42" s="19">
        <v>1450</v>
      </c>
      <c r="C42" s="20">
        <v>0</v>
      </c>
      <c r="D42" s="20">
        <v>0</v>
      </c>
      <c r="E42" s="20">
        <v>0</v>
      </c>
      <c r="F42" s="20">
        <v>0</v>
      </c>
      <c r="G42" s="20">
        <v>0</v>
      </c>
      <c r="H42" s="20">
        <v>29937</v>
      </c>
      <c r="I42" s="20">
        <v>0</v>
      </c>
      <c r="J42" s="20">
        <v>0</v>
      </c>
    </row>
    <row r="43" s="6" customFormat="1" ht="15.6">
      <c r="A43" s="21" t="s">
        <v>50</v>
      </c>
      <c r="B43" s="22">
        <v>1400</v>
      </c>
      <c r="C43" s="23">
        <f>SUM(C39:C42)</f>
        <v>675161</v>
      </c>
      <c r="D43" s="23">
        <f>SUM(D39:D42)</f>
        <v>551941</v>
      </c>
      <c r="E43" s="23">
        <f>SUM(E39:E42)</f>
        <v>419734</v>
      </c>
      <c r="F43" s="23">
        <f>SUM(F39:F42)</f>
        <v>3261403</v>
      </c>
      <c r="G43" s="23">
        <f>SUM(G39:G42)</f>
        <v>11207763</v>
      </c>
      <c r="H43" s="23">
        <f>SUM(H39:H42)</f>
        <v>8630287</v>
      </c>
      <c r="I43" s="23">
        <f>SUM(I39:I42)</f>
        <v>5033749</v>
      </c>
      <c r="J43" s="23">
        <f>SUM(J39:J42)</f>
        <v>5568078</v>
      </c>
    </row>
    <row r="44" ht="15.6">
      <c r="A44" s="16" t="s">
        <v>51</v>
      </c>
      <c r="B44" s="17"/>
      <c r="C44" s="18"/>
      <c r="D44" s="18"/>
      <c r="E44" s="18"/>
      <c r="F44" s="18"/>
      <c r="G44" s="18"/>
      <c r="H44" s="18"/>
      <c r="I44" s="18"/>
      <c r="J44" s="18"/>
    </row>
    <row r="45" ht="15.6">
      <c r="A45" s="16" t="s">
        <v>46</v>
      </c>
      <c r="B45" s="19">
        <v>1510</v>
      </c>
      <c r="C45" s="20">
        <v>0</v>
      </c>
      <c r="D45" s="20">
        <v>0</v>
      </c>
      <c r="E45" s="20">
        <v>866541</v>
      </c>
      <c r="F45" s="20">
        <v>10726608</v>
      </c>
      <c r="G45" s="20">
        <v>15345</v>
      </c>
      <c r="H45" s="20">
        <v>9580010</v>
      </c>
      <c r="I45" s="20">
        <v>657754</v>
      </c>
      <c r="J45" s="20">
        <v>597056</v>
      </c>
    </row>
    <row r="46" ht="15.6">
      <c r="A46" s="16" t="s">
        <v>52</v>
      </c>
      <c r="B46" s="19">
        <v>1520</v>
      </c>
      <c r="C46" s="20">
        <v>6817353</v>
      </c>
      <c r="D46" s="20">
        <v>2027319</v>
      </c>
      <c r="E46" s="20">
        <v>2565248</v>
      </c>
      <c r="F46" s="20">
        <v>3010880</v>
      </c>
      <c r="G46" s="20">
        <v>3951678</v>
      </c>
      <c r="H46" s="20">
        <v>2001453</v>
      </c>
      <c r="I46" s="20">
        <v>1672552</v>
      </c>
      <c r="J46" s="20">
        <v>1437090</v>
      </c>
    </row>
    <row r="47" ht="15.6">
      <c r="A47" s="16" t="s">
        <v>53</v>
      </c>
      <c r="B47" s="19">
        <v>1530</v>
      </c>
      <c r="C47" s="20">
        <v>7661</v>
      </c>
      <c r="D47" s="20">
        <v>926</v>
      </c>
      <c r="E47" s="20">
        <v>1085</v>
      </c>
      <c r="F47" s="20">
        <v>1244</v>
      </c>
      <c r="G47" s="20">
        <v>1403</v>
      </c>
      <c r="H47" s="20">
        <v>1562</v>
      </c>
      <c r="I47" s="20">
        <v>1722</v>
      </c>
      <c r="J47" s="20">
        <v>2168</v>
      </c>
    </row>
    <row r="48" ht="15.6">
      <c r="A48" s="16" t="s">
        <v>48</v>
      </c>
      <c r="B48" s="19">
        <v>1540</v>
      </c>
      <c r="C48" s="20">
        <v>249890</v>
      </c>
      <c r="D48" s="20">
        <v>208416</v>
      </c>
      <c r="E48" s="20">
        <v>190774</v>
      </c>
      <c r="F48" s="20">
        <v>211683</v>
      </c>
      <c r="G48" s="20">
        <v>159709</v>
      </c>
      <c r="H48" s="20">
        <v>94742</v>
      </c>
      <c r="I48" s="20">
        <v>85327</v>
      </c>
      <c r="J48" s="20">
        <v>102181</v>
      </c>
    </row>
    <row r="49" ht="15.6">
      <c r="A49" s="16" t="s">
        <v>49</v>
      </c>
      <c r="B49" s="19">
        <v>1550</v>
      </c>
      <c r="C49" s="20">
        <v>12849</v>
      </c>
      <c r="D49" s="20">
        <v>43894</v>
      </c>
      <c r="E49" s="20">
        <v>35125</v>
      </c>
      <c r="F49" s="20">
        <v>6008</v>
      </c>
      <c r="G49" s="20">
        <v>1168</v>
      </c>
      <c r="H49" s="20">
        <v>558</v>
      </c>
      <c r="I49" s="20">
        <v>8511</v>
      </c>
      <c r="J49" s="20">
        <v>3150</v>
      </c>
    </row>
    <row r="50" s="6" customFormat="1" ht="15.6">
      <c r="A50" s="21" t="s">
        <v>54</v>
      </c>
      <c r="B50" s="22">
        <v>1500</v>
      </c>
      <c r="C50" s="23">
        <f>SUM(C45:C49)</f>
        <v>7087753</v>
      </c>
      <c r="D50" s="23">
        <f>SUM(D45:D49)</f>
        <v>2280555</v>
      </c>
      <c r="E50" s="23">
        <f>SUM(E45:E49)</f>
        <v>3658773</v>
      </c>
      <c r="F50" s="23">
        <f>SUM(F45:F49)</f>
        <v>13956423</v>
      </c>
      <c r="G50" s="23">
        <f>SUM(G45:G49)</f>
        <v>4129303</v>
      </c>
      <c r="H50" s="23">
        <f>SUM(H45:H49)</f>
        <v>11678325</v>
      </c>
      <c r="I50" s="23">
        <f>SUM(I45:I49)</f>
        <v>2425866</v>
      </c>
      <c r="J50" s="23">
        <f>SUM(J45:J49)</f>
        <v>2141645</v>
      </c>
    </row>
    <row r="51" s="6" customFormat="1" ht="15.6">
      <c r="A51" s="21" t="s">
        <v>55</v>
      </c>
      <c r="B51" s="22">
        <v>1700</v>
      </c>
      <c r="C51" s="23">
        <f>C37+C43+C50</f>
        <v>48181606</v>
      </c>
      <c r="D51" s="23">
        <f>D37+D43+D50</f>
        <v>48576530</v>
      </c>
      <c r="E51" s="23">
        <f>E37+E43+E50</f>
        <v>51107141</v>
      </c>
      <c r="F51" s="23">
        <f>F37+F43+F50</f>
        <v>58473580</v>
      </c>
      <c r="G51" s="23">
        <f>G37+G43+G50</f>
        <v>50247918</v>
      </c>
      <c r="H51" s="23">
        <f>H37+H43+H50</f>
        <v>46444092</v>
      </c>
      <c r="I51" s="23">
        <f>I37+I43+I50</f>
        <v>33365697</v>
      </c>
      <c r="J51" s="23">
        <f>J37+J43+J50</f>
        <v>29772054</v>
      </c>
    </row>
    <row r="52" ht="15.6">
      <c r="C52" s="4">
        <f>C26-C51</f>
        <v>0</v>
      </c>
      <c r="D52" s="4">
        <f>D26-D51</f>
        <v>0</v>
      </c>
      <c r="E52" s="4">
        <f>E26-E51</f>
        <v>0</v>
      </c>
      <c r="F52" s="4">
        <f>F26-F51</f>
        <v>0</v>
      </c>
      <c r="G52" s="4">
        <f>G26-G51</f>
        <v>0</v>
      </c>
      <c r="H52" s="4">
        <f>H26-H51</f>
        <v>0</v>
      </c>
      <c r="I52" s="4">
        <f>I26-I51</f>
        <v>0</v>
      </c>
      <c r="J52" s="4">
        <f>J26-J51</f>
        <v>0</v>
      </c>
    </row>
    <row r="53" ht="15.6">
      <c r="D53" s="3"/>
      <c r="E53" s="1"/>
      <c r="G53" s="4"/>
      <c r="I53" s="1"/>
    </row>
  </sheetData>
  <printOptions headings="0" gridLines="0" horizontalCentered="0" verticalCentered="0"/>
  <pageMargins left="0.75" right="0.75" top="0.50972222222222197" bottom="0.52013888888888904"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F4B183"/>
    <outlinePr applyStyles="0" summaryBelow="1" summaryRight="1" showOutlineSymbols="1"/>
    <pageSetUpPr autoPageBreaks="1" fitToPage="0"/>
  </sheetPr>
  <sheetViews>
    <sheetView showFormulas="0" showGridLines="1" showRowColHeaders="1" showZeros="1" rightToLeft="0" view="normal" topLeftCell="A1" zoomScale="80" workbookViewId="0">
      <pane xSplit="2" topLeftCell="C1" activePane="topRight" state="frozen"/>
      <selection activeCell="J36" activeCellId="0" sqref="J36"/>
    </sheetView>
  </sheetViews>
  <sheetFormatPr defaultColWidth="9.109375" defaultRowHeight="12.75"/>
  <cols>
    <col bestFit="1" customWidth="1" min="1" max="1" style="183" width="129.69140625"/>
    <col customWidth="1" min="2" max="2" style="193" width="16.879999999999999"/>
    <col customWidth="1" min="3" max="3" style="193" width="20.280000000000001"/>
    <col customWidth="1" min="4" max="4" style="193" width="22"/>
    <col customWidth="1" min="5" max="5" style="193" width="21.710000000000001"/>
    <col customWidth="1" min="6" max="33" style="193" width="16.559999999999999"/>
    <col customWidth="0" min="34" max="16384" style="183" width="9.1099999999999994"/>
  </cols>
  <sheetData>
    <row r="1" ht="15">
      <c r="A1" s="192" t="s">
        <v>515</v>
      </c>
    </row>
    <row r="2" ht="15" customHeight="1">
      <c r="A2" s="168" t="s">
        <v>177</v>
      </c>
      <c r="B2" s="168" t="s">
        <v>421</v>
      </c>
      <c r="C2" s="168"/>
      <c r="D2" s="168"/>
      <c r="E2" s="168"/>
      <c r="F2" s="168"/>
      <c r="G2" s="168"/>
      <c r="H2" s="168"/>
      <c r="I2" s="274" t="s">
        <v>422</v>
      </c>
      <c r="J2" s="274"/>
      <c r="K2" s="274"/>
      <c r="L2" s="274"/>
      <c r="M2" s="274"/>
      <c r="N2" s="274"/>
      <c r="O2" s="274"/>
      <c r="P2" s="274" t="s">
        <v>516</v>
      </c>
      <c r="Q2" s="274"/>
      <c r="R2" s="274"/>
      <c r="S2" s="274"/>
      <c r="T2" s="274"/>
      <c r="U2" s="274"/>
      <c r="V2" s="274"/>
      <c r="W2" s="274"/>
      <c r="X2" s="274"/>
      <c r="Y2" s="274"/>
      <c r="Z2" s="274"/>
      <c r="AA2" s="274"/>
      <c r="AB2" s="274"/>
      <c r="AC2" s="274"/>
      <c r="AD2" s="274"/>
      <c r="AE2" s="274"/>
      <c r="AF2" s="274"/>
      <c r="AG2" s="274"/>
    </row>
    <row r="3" s="199" customFormat="1" ht="15">
      <c r="A3" s="168"/>
      <c r="B3" s="168"/>
      <c r="C3" s="168"/>
      <c r="D3" s="168"/>
      <c r="E3" s="168"/>
      <c r="F3" s="168"/>
      <c r="G3" s="168"/>
      <c r="H3" s="168"/>
      <c r="I3" s="274"/>
      <c r="J3" s="274"/>
      <c r="K3" s="274"/>
      <c r="L3" s="274"/>
      <c r="M3" s="274"/>
      <c r="N3" s="274"/>
      <c r="O3" s="274"/>
      <c r="P3" s="195" t="str">
        <f>аб!Q22</f>
        <v>2019/2018</v>
      </c>
      <c r="Q3" s="195"/>
      <c r="R3" s="195"/>
      <c r="S3" s="195" t="str">
        <f>аб!T22</f>
        <v>2018/2017</v>
      </c>
      <c r="T3" s="195"/>
      <c r="U3" s="195"/>
      <c r="V3" s="195" t="str">
        <f>аб!W22</f>
        <v>2017/2016</v>
      </c>
      <c r="W3" s="195"/>
      <c r="X3" s="195"/>
      <c r="Y3" s="195" t="str">
        <f>аб!Z22</f>
        <v>2016/2015</v>
      </c>
      <c r="Z3" s="195"/>
      <c r="AA3" s="195"/>
      <c r="AB3" s="195" t="str">
        <f>аб!AC22</f>
        <v>2015/2014</v>
      </c>
      <c r="AC3" s="195"/>
      <c r="AD3" s="195"/>
      <c r="AE3" s="195" t="str">
        <f>аб!AF22</f>
        <v>2014/2013</v>
      </c>
      <c r="AF3" s="195"/>
      <c r="AG3" s="195"/>
    </row>
    <row r="4" s="199" customFormat="1" ht="30">
      <c r="A4" s="168"/>
      <c r="B4" s="274" t="s">
        <v>320</v>
      </c>
      <c r="C4" s="274" t="s">
        <v>321</v>
      </c>
      <c r="D4" s="274" t="s">
        <v>322</v>
      </c>
      <c r="E4" s="274" t="s">
        <v>323</v>
      </c>
      <c r="F4" s="274" t="s">
        <v>324</v>
      </c>
      <c r="G4" s="274" t="s">
        <v>325</v>
      </c>
      <c r="H4" s="274" t="s">
        <v>326</v>
      </c>
      <c r="I4" s="274" t="str">
        <f>B4</f>
        <v xml:space="preserve">2019 год</v>
      </c>
      <c r="J4" s="274" t="str">
        <f>C4</f>
        <v xml:space="preserve">2018 год</v>
      </c>
      <c r="K4" s="274" t="str">
        <f>D4</f>
        <v xml:space="preserve">2017 год</v>
      </c>
      <c r="L4" s="274" t="str">
        <f>E4</f>
        <v xml:space="preserve">2016 год</v>
      </c>
      <c r="M4" s="274" t="str">
        <f>F4</f>
        <v xml:space="preserve">2015 год</v>
      </c>
      <c r="N4" s="274" t="str">
        <f>G4</f>
        <v xml:space="preserve">2014 год</v>
      </c>
      <c r="O4" s="274" t="str">
        <f>H4</f>
        <v xml:space="preserve">2013 год</v>
      </c>
      <c r="P4" s="274" t="str">
        <f>аб!Q23</f>
        <v xml:space="preserve">в тыс. руб.</v>
      </c>
      <c r="Q4" s="274" t="str">
        <f>аб!R23</f>
        <v xml:space="preserve">темп прироста, %</v>
      </c>
      <c r="R4" s="274" t="str">
        <f>аб!S23</f>
        <v xml:space="preserve">в структуре, %</v>
      </c>
      <c r="S4" s="274" t="str">
        <f>аб!T23</f>
        <v xml:space="preserve">в тыс. руб.</v>
      </c>
      <c r="T4" s="274" t="str">
        <f>аб!U23</f>
        <v xml:space="preserve">темп прироста, %</v>
      </c>
      <c r="U4" s="274" t="str">
        <f>аб!V23</f>
        <v xml:space="preserve">в структуре, %</v>
      </c>
      <c r="V4" s="274" t="str">
        <f>аб!W23</f>
        <v xml:space="preserve">в тыс. руб.</v>
      </c>
      <c r="W4" s="274" t="str">
        <f>аб!X23</f>
        <v xml:space="preserve">темп прироста, %</v>
      </c>
      <c r="X4" s="274" t="str">
        <f>аб!Y23</f>
        <v xml:space="preserve">в структуре, %</v>
      </c>
      <c r="Y4" s="274" t="str">
        <f>аб!Z23</f>
        <v xml:space="preserve">в тыс. руб.</v>
      </c>
      <c r="Z4" s="274" t="str">
        <f>аб!AA23</f>
        <v xml:space="preserve">темп прироста, %</v>
      </c>
      <c r="AA4" s="274" t="str">
        <f>аб!AB23</f>
        <v xml:space="preserve">в структуре, %</v>
      </c>
      <c r="AB4" s="274" t="str">
        <f>аб!AC23</f>
        <v xml:space="preserve">в тыс. руб.</v>
      </c>
      <c r="AC4" s="274" t="str">
        <f>аб!AD23</f>
        <v xml:space="preserve">темп прироста, %</v>
      </c>
      <c r="AD4" s="274" t="str">
        <f>аб!AE23</f>
        <v xml:space="preserve">в структуре, %</v>
      </c>
      <c r="AE4" s="274" t="str">
        <f>аб!AF23</f>
        <v xml:space="preserve">в тыс. руб.</v>
      </c>
      <c r="AF4" s="274" t="str">
        <f>аб!AG23</f>
        <v xml:space="preserve">темп прироста, %</v>
      </c>
      <c r="AG4" s="274" t="str">
        <f>аб!AH23</f>
        <v xml:space="preserve">в структуре, %</v>
      </c>
    </row>
    <row r="5" ht="15">
      <c r="A5" s="275" t="s">
        <v>517</v>
      </c>
      <c r="B5" s="276">
        <f>'2'!C7</f>
        <v>21650314</v>
      </c>
      <c r="C5" s="276">
        <f>'2'!D7</f>
        <v>27154819</v>
      </c>
      <c r="D5" s="276">
        <f>'2'!E7</f>
        <v>24000677</v>
      </c>
      <c r="E5" s="276">
        <f>'2'!F7</f>
        <v>23253619</v>
      </c>
      <c r="F5" s="276">
        <f>'2'!G7</f>
        <v>26654915</v>
      </c>
      <c r="G5" s="276">
        <f>'2'!H7</f>
        <v>16131092</v>
      </c>
      <c r="H5" s="276">
        <f>'2'!I7</f>
        <v>17359621</v>
      </c>
      <c r="I5" s="277">
        <f t="shared" ref="I5:I9" si="174">(B5/B$5)*100</f>
        <v>100</v>
      </c>
      <c r="J5" s="277">
        <f t="shared" ref="J5:J9" si="175">(C5/C$5)*100</f>
        <v>100</v>
      </c>
      <c r="K5" s="277">
        <f t="shared" ref="K5:K9" si="176">(D5/D$5)*100</f>
        <v>100</v>
      </c>
      <c r="L5" s="277">
        <f t="shared" ref="L5:L9" si="177">(E5/E$5)*100</f>
        <v>100</v>
      </c>
      <c r="M5" s="277">
        <f t="shared" ref="M5:M9" si="178">(F5/F$5)*100</f>
        <v>100</v>
      </c>
      <c r="N5" s="277">
        <f t="shared" ref="N5:N9" si="179">(G5/G$5)*100</f>
        <v>100</v>
      </c>
      <c r="O5" s="277">
        <f t="shared" ref="O5:O9" si="180">(H5/H$5)*100</f>
        <v>100</v>
      </c>
      <c r="P5" s="278">
        <f t="shared" ref="P5:P9" si="181">B5-C5</f>
        <v>-5504505</v>
      </c>
      <c r="Q5" s="279">
        <f t="shared" ref="Q5:Q9" si="182">((B5-C5)/C5)*100</f>
        <v>-20.270821911941301</v>
      </c>
      <c r="R5" s="279">
        <f t="shared" ref="R5:R9" si="183">((B5/$B$5)-(C5/$C$5))*100</f>
        <v>0</v>
      </c>
      <c r="S5" s="278">
        <f t="shared" ref="S5:S9" si="184">C5-D5</f>
        <v>3154142</v>
      </c>
      <c r="T5" s="279">
        <f t="shared" ref="T5:T9" si="185">((C5-D5)/D5)*100</f>
        <v>13.1418876225866</v>
      </c>
      <c r="U5" s="279">
        <f t="shared" ref="U5:U9" si="186">((C5/$C$5)-(D5/$D$5))*100</f>
        <v>0</v>
      </c>
      <c r="V5" s="278">
        <f t="shared" ref="V5:V9" si="187">D5-E5</f>
        <v>747058</v>
      </c>
      <c r="W5" s="279">
        <f t="shared" ref="W5:W9" si="188">((D5-E5)/E5)*100</f>
        <v>3.2126526197922098</v>
      </c>
      <c r="X5" s="279">
        <f t="shared" ref="X5:X9" si="189">((D5/$D$5)-(E5/$E$5))*100</f>
        <v>0</v>
      </c>
      <c r="Y5" s="278">
        <f t="shared" ref="Y5:Y9" si="190">E5-F5</f>
        <v>-3401296</v>
      </c>
      <c r="Z5" s="279">
        <f t="shared" ref="Z5:Z9" si="191">((E5-F5)/F5)*100</f>
        <v>-12.760483385522001</v>
      </c>
      <c r="AA5" s="279">
        <f t="shared" ref="AA5:AA9" si="192">((E5/$E$5)-(F5/$F$5))*100</f>
        <v>0</v>
      </c>
      <c r="AB5" s="278">
        <f t="shared" ref="AB5:AB9" si="193">F5-G5</f>
        <v>10523823</v>
      </c>
      <c r="AC5" s="279">
        <f t="shared" ref="AC5:AC9" si="194">((F5-G5)/G5)*100</f>
        <v>65.239371271331194</v>
      </c>
      <c r="AD5" s="279">
        <f t="shared" ref="AD5:AD9" si="195">((F5/$F$5)-(G5/$G$5))*100</f>
        <v>0</v>
      </c>
      <c r="AE5" s="278">
        <f t="shared" ref="AE5:AE9" si="196">G5-H5</f>
        <v>-1228529</v>
      </c>
      <c r="AF5" s="279">
        <f t="shared" ref="AF5:AF9" si="197">((G5-H5)/H5)*100</f>
        <v>-7.0769344561151399</v>
      </c>
      <c r="AG5" s="279">
        <f t="shared" ref="AG5:AG9" si="198">((G5/$G$5)-(H5/$H$5))*100</f>
        <v>0</v>
      </c>
    </row>
    <row r="6" ht="30">
      <c r="A6" s="184" t="s">
        <v>518</v>
      </c>
      <c r="B6" s="276">
        <f>'2'!C8+'2'!C10+'2'!C11</f>
        <v>-18342702</v>
      </c>
      <c r="C6" s="276">
        <f>'2'!D8+'2'!D10+'2'!D11</f>
        <v>-19744407</v>
      </c>
      <c r="D6" s="276">
        <f>'2'!E8+'2'!E10+'2'!E11</f>
        <v>-17314516</v>
      </c>
      <c r="E6" s="276">
        <f>'2'!F8+'2'!F10+'2'!F11</f>
        <v>-17554473</v>
      </c>
      <c r="F6" s="276">
        <f>'2'!G8+'2'!G10+'2'!G11</f>
        <v>-15035034</v>
      </c>
      <c r="G6" s="276">
        <f>'2'!H8+'2'!H10+'2'!H11</f>
        <v>-12043987</v>
      </c>
      <c r="H6" s="276">
        <f>'2'!I8+'2'!I10+'2'!I11</f>
        <v>-12894116</v>
      </c>
      <c r="I6" s="277">
        <f t="shared" si="174"/>
        <v>-84.722567996011506</v>
      </c>
      <c r="J6" s="277">
        <f t="shared" si="175"/>
        <v>-72.710508584130096</v>
      </c>
      <c r="K6" s="277">
        <f t="shared" si="176"/>
        <v>-72.1417816672421</v>
      </c>
      <c r="L6" s="277">
        <f t="shared" si="177"/>
        <v>-75.491359000936598</v>
      </c>
      <c r="M6" s="277">
        <f t="shared" si="178"/>
        <v>-56.406235022696599</v>
      </c>
      <c r="N6" s="277">
        <f t="shared" si="179"/>
        <v>-74.663184612672197</v>
      </c>
      <c r="O6" s="277">
        <f t="shared" si="180"/>
        <v>-74.276483340275703</v>
      </c>
      <c r="P6" s="278">
        <f t="shared" si="181"/>
        <v>1401705</v>
      </c>
      <c r="Q6" s="279">
        <f t="shared" si="182"/>
        <v>-7.0992509423048302</v>
      </c>
      <c r="R6" s="279">
        <f t="shared" si="183"/>
        <v>-12.012059411881401</v>
      </c>
      <c r="S6" s="278">
        <f t="shared" si="184"/>
        <v>-2429891</v>
      </c>
      <c r="T6" s="279">
        <f t="shared" si="185"/>
        <v>14.0338372727254</v>
      </c>
      <c r="U6" s="279">
        <f t="shared" si="186"/>
        <v>-0.56872691688799604</v>
      </c>
      <c r="V6" s="278">
        <f t="shared" si="187"/>
        <v>239957</v>
      </c>
      <c r="W6" s="279">
        <f t="shared" si="188"/>
        <v>-1.3669279618932499</v>
      </c>
      <c r="X6" s="279">
        <f t="shared" si="189"/>
        <v>3.3495773336944499</v>
      </c>
      <c r="Y6" s="278">
        <f t="shared" si="190"/>
        <v>-2519439</v>
      </c>
      <c r="Z6" s="279">
        <f t="shared" si="191"/>
        <v>16.7571220657033</v>
      </c>
      <c r="AA6" s="279">
        <f t="shared" si="192"/>
        <v>-19.085123978239999</v>
      </c>
      <c r="AB6" s="278">
        <f t="shared" si="193"/>
        <v>-2991047</v>
      </c>
      <c r="AC6" s="279">
        <f t="shared" si="194"/>
        <v>24.834359253293801</v>
      </c>
      <c r="AD6" s="279">
        <f t="shared" si="195"/>
        <v>18.256949589975701</v>
      </c>
      <c r="AE6" s="278">
        <f t="shared" si="196"/>
        <v>850129</v>
      </c>
      <c r="AF6" s="279">
        <f t="shared" si="197"/>
        <v>-6.5931545830671903</v>
      </c>
      <c r="AG6" s="279">
        <f t="shared" si="198"/>
        <v>-0.38670127239653901</v>
      </c>
    </row>
    <row r="7" s="192" customFormat="1" ht="15">
      <c r="A7" s="280" t="s">
        <v>519</v>
      </c>
      <c r="B7" s="281">
        <f>B5+B6</f>
        <v>3307612</v>
      </c>
      <c r="C7" s="281">
        <f>C5+C6</f>
        <v>7410412</v>
      </c>
      <c r="D7" s="281">
        <f>D5+D6</f>
        <v>6686161</v>
      </c>
      <c r="E7" s="281">
        <f>E5+E6</f>
        <v>5699146</v>
      </c>
      <c r="F7" s="281">
        <f>F5+F6</f>
        <v>11619881</v>
      </c>
      <c r="G7" s="281">
        <f>G5+G6</f>
        <v>4087105</v>
      </c>
      <c r="H7" s="281">
        <f>H5+H6</f>
        <v>4465505</v>
      </c>
      <c r="I7" s="277">
        <f t="shared" si="174"/>
        <v>15.277432003988499</v>
      </c>
      <c r="J7" s="277">
        <f t="shared" si="175"/>
        <v>27.2894914158699</v>
      </c>
      <c r="K7" s="277">
        <f t="shared" si="176"/>
        <v>27.8582183327579</v>
      </c>
      <c r="L7" s="277">
        <f t="shared" si="177"/>
        <v>24.508640999063399</v>
      </c>
      <c r="M7" s="277">
        <f t="shared" si="178"/>
        <v>43.593764977303401</v>
      </c>
      <c r="N7" s="277">
        <f t="shared" si="179"/>
        <v>25.3368153873278</v>
      </c>
      <c r="O7" s="277">
        <f t="shared" si="180"/>
        <v>25.7235166597243</v>
      </c>
      <c r="P7" s="278">
        <f t="shared" si="181"/>
        <v>-4102800</v>
      </c>
      <c r="Q7" s="279">
        <f t="shared" si="182"/>
        <v>-55.365342709690097</v>
      </c>
      <c r="R7" s="279">
        <f t="shared" si="183"/>
        <v>-12.012059411881401</v>
      </c>
      <c r="S7" s="278">
        <f t="shared" si="184"/>
        <v>724251</v>
      </c>
      <c r="T7" s="279">
        <f t="shared" si="185"/>
        <v>10.832090343023401</v>
      </c>
      <c r="U7" s="279">
        <f t="shared" si="186"/>
        <v>-0.56872691688799104</v>
      </c>
      <c r="V7" s="278">
        <f t="shared" si="187"/>
        <v>987015</v>
      </c>
      <c r="W7" s="279">
        <f t="shared" si="188"/>
        <v>17.318647390328302</v>
      </c>
      <c r="X7" s="279">
        <f t="shared" si="189"/>
        <v>3.3495773336944499</v>
      </c>
      <c r="Y7" s="278">
        <f t="shared" si="190"/>
        <v>-5920735</v>
      </c>
      <c r="Z7" s="279">
        <f t="shared" si="191"/>
        <v>-50.953490831790802</v>
      </c>
      <c r="AA7" s="279">
        <f t="shared" si="192"/>
        <v>-19.085123978239999</v>
      </c>
      <c r="AB7" s="278">
        <f t="shared" si="193"/>
        <v>7532776</v>
      </c>
      <c r="AC7" s="279">
        <f t="shared" si="194"/>
        <v>184.30590846087901</v>
      </c>
      <c r="AD7" s="279">
        <f t="shared" si="195"/>
        <v>18.256949589975701</v>
      </c>
      <c r="AE7" s="278">
        <f t="shared" si="196"/>
        <v>-378400</v>
      </c>
      <c r="AF7" s="279">
        <f t="shared" si="197"/>
        <v>-8.4738456232833705</v>
      </c>
      <c r="AG7" s="279">
        <f t="shared" si="198"/>
        <v>-0.38670127239653401</v>
      </c>
    </row>
    <row r="8" ht="15">
      <c r="A8" s="184" t="s">
        <v>520</v>
      </c>
      <c r="B8" s="276">
        <f>'2'!C14+'2'!C15+'2'!C16+'2'!C17+'2'!C18</f>
        <v>1159910</v>
      </c>
      <c r="C8" s="276">
        <f>'2'!D14+'2'!D15+'2'!D16+'2'!D17+'2'!D18</f>
        <v>-224792</v>
      </c>
      <c r="D8" s="276">
        <f>'2'!E14+'2'!E15+'2'!E16+'2'!E17+'2'!E18</f>
        <v>3355504</v>
      </c>
      <c r="E8" s="276">
        <f>'2'!F14+'2'!F15+'2'!F16+'2'!F17+'2'!F18</f>
        <v>3689831</v>
      </c>
      <c r="F8" s="276">
        <f>'2'!G14+'2'!G15+'2'!G16+'2'!G17+'2'!G18</f>
        <v>-225962</v>
      </c>
      <c r="G8" s="276">
        <f>'2'!H14+'2'!H15+'2'!H16+'2'!H17+'2'!H18</f>
        <v>-3521583</v>
      </c>
      <c r="H8" s="276">
        <f>'2'!I14+'2'!I15+'2'!I16+'2'!I17+'2'!I18</f>
        <v>629796</v>
      </c>
      <c r="I8" s="277">
        <f t="shared" si="174"/>
        <v>5.3574742611123298</v>
      </c>
      <c r="J8" s="277">
        <f t="shared" si="175"/>
        <v>-0.82781623401724802</v>
      </c>
      <c r="K8" s="277">
        <f t="shared" si="176"/>
        <v>13.9808722895608</v>
      </c>
      <c r="L8" s="277">
        <f t="shared" si="177"/>
        <v>15.867770947825401</v>
      </c>
      <c r="M8" s="277">
        <f t="shared" si="178"/>
        <v>-0.84773108449229695</v>
      </c>
      <c r="N8" s="277">
        <f t="shared" si="179"/>
        <v>-21.831026690567501</v>
      </c>
      <c r="O8" s="277">
        <f t="shared" si="180"/>
        <v>3.6279363472278598</v>
      </c>
      <c r="P8" s="278">
        <f t="shared" si="181"/>
        <v>1384702</v>
      </c>
      <c r="Q8" s="279">
        <f t="shared" si="182"/>
        <v>-615.99256201288301</v>
      </c>
      <c r="R8" s="279">
        <f t="shared" si="183"/>
        <v>6.1852904951295802</v>
      </c>
      <c r="S8" s="278">
        <f t="shared" si="184"/>
        <v>-3580296</v>
      </c>
      <c r="T8" s="279">
        <f t="shared" si="185"/>
        <v>-106.699202265889</v>
      </c>
      <c r="U8" s="279">
        <f t="shared" si="186"/>
        <v>-14.8086885235781</v>
      </c>
      <c r="V8" s="278">
        <f t="shared" si="187"/>
        <v>-334327</v>
      </c>
      <c r="W8" s="279">
        <f t="shared" si="188"/>
        <v>-9.0607672817535505</v>
      </c>
      <c r="X8" s="279">
        <f t="shared" si="189"/>
        <v>-1.88689865826454</v>
      </c>
      <c r="Y8" s="278">
        <f t="shared" si="190"/>
        <v>3915793</v>
      </c>
      <c r="Z8" s="279">
        <f t="shared" si="191"/>
        <v>-1732.94314973314</v>
      </c>
      <c r="AA8" s="279">
        <f t="shared" si="192"/>
        <v>16.715502032317701</v>
      </c>
      <c r="AB8" s="278">
        <f t="shared" si="193"/>
        <v>3295621</v>
      </c>
      <c r="AC8" s="279">
        <f t="shared" si="194"/>
        <v>-93.583510597364906</v>
      </c>
      <c r="AD8" s="279">
        <f t="shared" si="195"/>
        <v>20.983295606075199</v>
      </c>
      <c r="AE8" s="278">
        <f t="shared" si="196"/>
        <v>-4151379</v>
      </c>
      <c r="AF8" s="279">
        <f t="shared" si="197"/>
        <v>-659.162490711278</v>
      </c>
      <c r="AG8" s="279">
        <f t="shared" si="198"/>
        <v>-25.458963037795399</v>
      </c>
    </row>
    <row r="9" ht="30">
      <c r="A9" s="184" t="s">
        <v>521</v>
      </c>
      <c r="B9" s="276">
        <f>'2'!C14+'2'!C15+'2'!C17+'2'!C18</f>
        <v>1159910</v>
      </c>
      <c r="C9" s="276">
        <f>'2'!D14+'2'!D15+'2'!D17+'2'!D18</f>
        <v>-178801</v>
      </c>
      <c r="D9" s="276">
        <f>'2'!E14+'2'!E15+'2'!E17+'2'!E18</f>
        <v>3684640</v>
      </c>
      <c r="E9" s="276">
        <f>'2'!F14+'2'!F15+'2'!F17+'2'!F18</f>
        <v>4464289</v>
      </c>
      <c r="F9" s="276">
        <f>'2'!G14+'2'!G15+'2'!G17+'2'!G18</f>
        <v>651365</v>
      </c>
      <c r="G9" s="276">
        <f>'2'!H14+'2'!H15+'2'!H17+'2'!H18</f>
        <v>-3091112</v>
      </c>
      <c r="H9" s="276">
        <f>'2'!I14+'2'!I15+'2'!I17+'2'!I18</f>
        <v>1049561</v>
      </c>
      <c r="I9" s="277">
        <f t="shared" si="174"/>
        <v>5.3574742611123298</v>
      </c>
      <c r="J9" s="277">
        <f t="shared" si="175"/>
        <v>-0.65845034724775697</v>
      </c>
      <c r="K9" s="277">
        <f t="shared" si="176"/>
        <v>15.352233605743701</v>
      </c>
      <c r="L9" s="277">
        <f t="shared" si="177"/>
        <v>19.1982546888723</v>
      </c>
      <c r="M9" s="277">
        <f t="shared" si="178"/>
        <v>2.44369565612946</v>
      </c>
      <c r="N9" s="277">
        <f t="shared" si="179"/>
        <v>-19.162447278832701</v>
      </c>
      <c r="O9" s="277">
        <f t="shared" si="180"/>
        <v>6.04599028976497</v>
      </c>
      <c r="P9" s="278">
        <f t="shared" si="181"/>
        <v>1338711</v>
      </c>
      <c r="Q9" s="279">
        <f t="shared" si="182"/>
        <v>-748.71561121022796</v>
      </c>
      <c r="R9" s="279">
        <f t="shared" si="183"/>
        <v>6.0159246083600904</v>
      </c>
      <c r="S9" s="278">
        <f t="shared" si="184"/>
        <v>-3863441</v>
      </c>
      <c r="T9" s="279">
        <f t="shared" si="185"/>
        <v>-104.852604324982</v>
      </c>
      <c r="U9" s="279">
        <f t="shared" si="186"/>
        <v>-16.010683952991499</v>
      </c>
      <c r="V9" s="278">
        <f t="shared" si="187"/>
        <v>-779649</v>
      </c>
      <c r="W9" s="279">
        <f t="shared" si="188"/>
        <v>-17.464124746404199</v>
      </c>
      <c r="X9" s="279">
        <f t="shared" si="189"/>
        <v>-3.8460210831285999</v>
      </c>
      <c r="Y9" s="278">
        <f t="shared" si="190"/>
        <v>3812924</v>
      </c>
      <c r="Z9" s="279">
        <f t="shared" si="191"/>
        <v>585.37440605497704</v>
      </c>
      <c r="AA9" s="279">
        <f t="shared" si="192"/>
        <v>16.754559032742801</v>
      </c>
      <c r="AB9" s="278">
        <f t="shared" si="193"/>
        <v>3742477</v>
      </c>
      <c r="AC9" s="279">
        <f t="shared" si="194"/>
        <v>-121.07219020210199</v>
      </c>
      <c r="AD9" s="279">
        <f t="shared" si="195"/>
        <v>21.6061429349622</v>
      </c>
      <c r="AE9" s="278">
        <f t="shared" si="196"/>
        <v>-4140673</v>
      </c>
      <c r="AF9" s="279">
        <f t="shared" si="197"/>
        <v>-394.51475426392602</v>
      </c>
      <c r="AG9" s="279">
        <f t="shared" si="198"/>
        <v>-25.208437568597699</v>
      </c>
    </row>
    <row r="10" ht="15">
      <c r="A10" s="184" t="s">
        <v>522</v>
      </c>
      <c r="B10" s="276">
        <f>'2'!C16</f>
        <v>0</v>
      </c>
      <c r="C10" s="276">
        <f>'2'!D16</f>
        <v>-45991</v>
      </c>
      <c r="D10" s="276">
        <f>'2'!E16</f>
        <v>-329136</v>
      </c>
      <c r="E10" s="276">
        <f>'2'!F16</f>
        <v>-774458</v>
      </c>
      <c r="F10" s="276">
        <f>'2'!G16</f>
        <v>-877327</v>
      </c>
      <c r="G10" s="276">
        <f>'2'!H16</f>
        <v>-430471</v>
      </c>
      <c r="H10" s="276">
        <f>'2'!I16</f>
        <v>-419765</v>
      </c>
      <c r="I10" s="277">
        <f t="shared" ref="I10:I15" si="199">(B10/B$5)*100</f>
        <v>0</v>
      </c>
      <c r="J10" s="277">
        <f t="shared" ref="J10:J15" si="200">(C10/C$5)*100</f>
        <v>-0.16936588676948999</v>
      </c>
      <c r="K10" s="277">
        <f t="shared" ref="K10:K15" si="201">(D10/D$5)*100</f>
        <v>-1.3713613161828699</v>
      </c>
      <c r="L10" s="277">
        <f t="shared" ref="L10:L15" si="202">(E10/E$5)*100</f>
        <v>-3.3304837410469301</v>
      </c>
      <c r="M10" s="277">
        <f t="shared" ref="M10:M15" si="203">(F10/F$5)*100</f>
        <v>-3.2914267406217599</v>
      </c>
      <c r="N10" s="277">
        <f t="shared" ref="N10:N15" si="204">(G10/G$5)*100</f>
        <v>-2.6685794117347998</v>
      </c>
      <c r="O10" s="277">
        <f t="shared" ref="O10:O15" si="205">(H10/H$5)*100</f>
        <v>-2.4180539425371101</v>
      </c>
      <c r="P10" s="278">
        <f t="shared" ref="P10:P15" si="206">B10-C10</f>
        <v>45991</v>
      </c>
      <c r="Q10" s="279">
        <f t="shared" ref="Q10:Q15" si="207">((B10-C10)/C10)*100</f>
        <v>-100</v>
      </c>
      <c r="R10" s="279">
        <f t="shared" ref="R10:R15" si="208">((B10/$B$5)-(C10/$C$5))*100</f>
        <v>0.16936588676948999</v>
      </c>
      <c r="S10" s="278">
        <f t="shared" ref="S10:S15" si="209">C10-D10</f>
        <v>283145</v>
      </c>
      <c r="T10" s="279">
        <f t="shared" ref="T10:T15" si="210">((C10-D10)/D10)*100</f>
        <v>-86.026748821156005</v>
      </c>
      <c r="U10" s="279">
        <f t="shared" ref="U10:U15" si="211">((C10/$C$5)-(D10/$D$5))*100</f>
        <v>1.2019954294133799</v>
      </c>
      <c r="V10" s="278">
        <f t="shared" ref="V10:V15" si="212">D10-E10</f>
        <v>445322</v>
      </c>
      <c r="W10" s="279">
        <f t="shared" ref="W10:W15" si="213">((D10-E10)/E10)*100</f>
        <v>-57.501116910148802</v>
      </c>
      <c r="X10" s="279">
        <f t="shared" ref="X10:X15" si="214">((D10/$D$5)-(E10/$E$5))*100</f>
        <v>1.95912242486406</v>
      </c>
      <c r="Y10" s="278">
        <f t="shared" ref="Y10:Y15" si="215">E10-F10</f>
        <v>102869</v>
      </c>
      <c r="Z10" s="279">
        <f t="shared" ref="Z10:Z15" si="216">((E10-F10)/F10)*100</f>
        <v>-11.7252746125447</v>
      </c>
      <c r="AA10" s="279">
        <f t="shared" ref="AA10:AA15" si="217">((E10/$E$5)-(F10/$F$5))*100</f>
        <v>-0.0390570004251738</v>
      </c>
      <c r="AB10" s="278">
        <f t="shared" ref="AB10:AB15" si="218">F10-G10</f>
        <v>-446856</v>
      </c>
      <c r="AC10" s="279">
        <f t="shared" ref="AC10:AC15" si="219">((F10-G10)/G10)*100</f>
        <v>103.806295894497</v>
      </c>
      <c r="AD10" s="279">
        <f t="shared" ref="AD10:AD15" si="220">((F10/$F$5)-(G10/$G$5))*100</f>
        <v>-0.62284732888695404</v>
      </c>
      <c r="AE10" s="278">
        <f t="shared" ref="AE10:AE15" si="221">G10-H10</f>
        <v>-10706</v>
      </c>
      <c r="AF10" s="279">
        <f t="shared" ref="AF10:AF15" si="222">((G10-H10)/H10)*100</f>
        <v>2.55047467035127</v>
      </c>
      <c r="AG10" s="279">
        <f t="shared" ref="AG10:AG15" si="223">((G10/$G$5)-(H10/$H$5))*100</f>
        <v>-0.25052546919769397</v>
      </c>
    </row>
    <row r="11" s="192" customFormat="1" ht="30">
      <c r="A11" s="280" t="s">
        <v>523</v>
      </c>
      <c r="B11" s="281">
        <f>B7+B8</f>
        <v>4467522</v>
      </c>
      <c r="C11" s="281">
        <f>C7+C8</f>
        <v>7185620</v>
      </c>
      <c r="D11" s="281">
        <f>D7+D8</f>
        <v>10041665</v>
      </c>
      <c r="E11" s="281">
        <f>E7+E8</f>
        <v>9388977</v>
      </c>
      <c r="F11" s="281">
        <f>F7+F8</f>
        <v>11393919</v>
      </c>
      <c r="G11" s="281">
        <f>G7+G8</f>
        <v>565522</v>
      </c>
      <c r="H11" s="281">
        <f>H7+H8</f>
        <v>5095301</v>
      </c>
      <c r="I11" s="277">
        <f t="shared" si="199"/>
        <v>20.634906265100799</v>
      </c>
      <c r="J11" s="277">
        <f t="shared" si="200"/>
        <v>26.461675181852598</v>
      </c>
      <c r="K11" s="277">
        <f t="shared" si="201"/>
        <v>41.8390906223187</v>
      </c>
      <c r="L11" s="277">
        <f t="shared" si="202"/>
        <v>40.376411946888801</v>
      </c>
      <c r="M11" s="277">
        <f t="shared" si="203"/>
        <v>42.746033892811099</v>
      </c>
      <c r="N11" s="277">
        <f t="shared" si="204"/>
        <v>3.5057886967602698</v>
      </c>
      <c r="O11" s="277">
        <f t="shared" si="205"/>
        <v>29.351453006952202</v>
      </c>
      <c r="P11" s="278">
        <f t="shared" si="206"/>
        <v>-2718098</v>
      </c>
      <c r="Q11" s="279">
        <f t="shared" si="207"/>
        <v>-37.826909856073698</v>
      </c>
      <c r="R11" s="279">
        <f t="shared" si="208"/>
        <v>-5.8267689167518002</v>
      </c>
      <c r="S11" s="278">
        <f t="shared" si="209"/>
        <v>-2856045</v>
      </c>
      <c r="T11" s="279">
        <f t="shared" si="210"/>
        <v>-28.441946629368701</v>
      </c>
      <c r="U11" s="279">
        <f t="shared" si="211"/>
        <v>-15.3774154404661</v>
      </c>
      <c r="V11" s="278">
        <f t="shared" si="212"/>
        <v>652688</v>
      </c>
      <c r="W11" s="279">
        <f t="shared" si="213"/>
        <v>6.9516412703961299</v>
      </c>
      <c r="X11" s="279">
        <f t="shared" si="214"/>
        <v>1.4626786754299099</v>
      </c>
      <c r="Y11" s="278">
        <f t="shared" si="215"/>
        <v>-2004942</v>
      </c>
      <c r="Z11" s="279">
        <f t="shared" si="216"/>
        <v>-17.596596921568398</v>
      </c>
      <c r="AA11" s="279">
        <f t="shared" si="217"/>
        <v>-2.3696219459223502</v>
      </c>
      <c r="AB11" s="278">
        <f t="shared" si="218"/>
        <v>10828397</v>
      </c>
      <c r="AC11" s="279">
        <f t="shared" si="219"/>
        <v>1914.7614062759701</v>
      </c>
      <c r="AD11" s="279">
        <f t="shared" si="220"/>
        <v>39.2402451960509</v>
      </c>
      <c r="AE11" s="278">
        <f t="shared" si="221"/>
        <v>-4529779</v>
      </c>
      <c r="AF11" s="279">
        <f t="shared" si="222"/>
        <v>-88.901107118107504</v>
      </c>
      <c r="AG11" s="279">
        <f t="shared" si="223"/>
        <v>-25.8456643101919</v>
      </c>
    </row>
    <row r="12" ht="30">
      <c r="A12" s="184" t="s">
        <v>524</v>
      </c>
      <c r="B12" s="276">
        <f>'2'!C20+'2'!C22+'2'!C23+'2'!C24</f>
        <v>-779539</v>
      </c>
      <c r="C12" s="276">
        <f>'2'!D20+'2'!D22+'2'!D23+'2'!D24</f>
        <v>-2439640</v>
      </c>
      <c r="D12" s="276">
        <f>'2'!E20+'2'!E22+'2'!E23+'2'!E24</f>
        <v>-1985358</v>
      </c>
      <c r="E12" s="276">
        <f>'2'!F20+'2'!F22+'2'!F23+'2'!F24</f>
        <v>-1929979</v>
      </c>
      <c r="F12" s="276">
        <f>'2'!G20+'2'!G22+'2'!G23+'2'!G24</f>
        <v>-2319525</v>
      </c>
      <c r="G12" s="276">
        <f>'2'!H20+'2'!H22+'2'!H23+'2'!H24</f>
        <v>-153034</v>
      </c>
      <c r="H12" s="276">
        <f>'2'!I20+'2'!I22+'2'!I23+'2'!I24</f>
        <v>-1066861</v>
      </c>
      <c r="I12" s="277">
        <f t="shared" si="199"/>
        <v>-3.6005898113071302</v>
      </c>
      <c r="J12" s="277">
        <f t="shared" si="200"/>
        <v>-8.9841880367532596</v>
      </c>
      <c r="K12" s="277">
        <f t="shared" si="201"/>
        <v>-8.2720916580811501</v>
      </c>
      <c r="L12" s="277">
        <f t="shared" si="202"/>
        <v>-8.2996930499291306</v>
      </c>
      <c r="M12" s="277">
        <f t="shared" si="203"/>
        <v>-8.7020536362618301</v>
      </c>
      <c r="N12" s="277">
        <f t="shared" si="204"/>
        <v>-0.94868964853712301</v>
      </c>
      <c r="O12" s="277">
        <f t="shared" si="205"/>
        <v>-6.1456468433268201</v>
      </c>
      <c r="P12" s="278">
        <f t="shared" si="206"/>
        <v>1660101</v>
      </c>
      <c r="Q12" s="279">
        <f t="shared" si="207"/>
        <v>-68.046965945795293</v>
      </c>
      <c r="R12" s="279">
        <f t="shared" si="208"/>
        <v>5.3835982254461303</v>
      </c>
      <c r="S12" s="278">
        <f t="shared" si="209"/>
        <v>-454282</v>
      </c>
      <c r="T12" s="279">
        <f t="shared" si="210"/>
        <v>22.881616313027699</v>
      </c>
      <c r="U12" s="279">
        <f t="shared" si="211"/>
        <v>-0.71209637867211095</v>
      </c>
      <c r="V12" s="278">
        <f t="shared" si="212"/>
        <v>-55379</v>
      </c>
      <c r="W12" s="279">
        <f t="shared" si="213"/>
        <v>2.8694094598956799</v>
      </c>
      <c r="X12" s="279">
        <f t="shared" si="214"/>
        <v>0.027601391847986701</v>
      </c>
      <c r="Y12" s="278">
        <f t="shared" si="215"/>
        <v>389546</v>
      </c>
      <c r="Z12" s="279">
        <f t="shared" si="216"/>
        <v>-16.794214332675899</v>
      </c>
      <c r="AA12" s="279">
        <f t="shared" si="217"/>
        <v>0.402360586332699</v>
      </c>
      <c r="AB12" s="278">
        <f t="shared" si="218"/>
        <v>-2166491</v>
      </c>
      <c r="AC12" s="279">
        <f t="shared" si="219"/>
        <v>1415.69259118889</v>
      </c>
      <c r="AD12" s="279">
        <f t="shared" si="220"/>
        <v>-7.7533639877247102</v>
      </c>
      <c r="AE12" s="278">
        <f t="shared" si="221"/>
        <v>913827</v>
      </c>
      <c r="AF12" s="279">
        <f t="shared" si="222"/>
        <v>-85.655675856554893</v>
      </c>
      <c r="AG12" s="279">
        <f t="shared" si="223"/>
        <v>5.1969571947897002</v>
      </c>
    </row>
    <row r="13" s="192" customFormat="1" ht="15">
      <c r="A13" s="280" t="s">
        <v>525</v>
      </c>
      <c r="B13" s="281">
        <f>B11+B12</f>
        <v>3687983</v>
      </c>
      <c r="C13" s="281">
        <f>C11+C12</f>
        <v>4745980</v>
      </c>
      <c r="D13" s="281">
        <f>D11+D12</f>
        <v>8056307</v>
      </c>
      <c r="E13" s="281">
        <f>E11+E12</f>
        <v>7458998</v>
      </c>
      <c r="F13" s="281">
        <f>F11+F12</f>
        <v>9074394</v>
      </c>
      <c r="G13" s="281">
        <f>G11+G12</f>
        <v>412488</v>
      </c>
      <c r="H13" s="281">
        <f>H11+H12</f>
        <v>4028440</v>
      </c>
      <c r="I13" s="277">
        <f t="shared" si="199"/>
        <v>17.0343164537937</v>
      </c>
      <c r="J13" s="277">
        <f t="shared" si="200"/>
        <v>17.477487145099399</v>
      </c>
      <c r="K13" s="277">
        <f t="shared" si="201"/>
        <v>33.566998964237598</v>
      </c>
      <c r="L13" s="277">
        <f t="shared" si="202"/>
        <v>32.076718896959697</v>
      </c>
      <c r="M13" s="277">
        <f t="shared" si="203"/>
        <v>34.043980256549297</v>
      </c>
      <c r="N13" s="277">
        <f t="shared" si="204"/>
        <v>2.5570990482231499</v>
      </c>
      <c r="O13" s="277">
        <f t="shared" si="205"/>
        <v>23.205806163625301</v>
      </c>
      <c r="P13" s="278">
        <f t="shared" si="206"/>
        <v>-1057997</v>
      </c>
      <c r="Q13" s="279">
        <f t="shared" si="207"/>
        <v>-22.292487536820602</v>
      </c>
      <c r="R13" s="279">
        <f t="shared" si="208"/>
        <v>-0.443170691305669</v>
      </c>
      <c r="S13" s="278">
        <f t="shared" si="209"/>
        <v>-3310327</v>
      </c>
      <c r="T13" s="279">
        <f t="shared" si="210"/>
        <v>-41.089881505260401</v>
      </c>
      <c r="U13" s="279">
        <f t="shared" si="211"/>
        <v>-16.089511819138199</v>
      </c>
      <c r="V13" s="278">
        <f t="shared" si="212"/>
        <v>597309</v>
      </c>
      <c r="W13" s="279">
        <f t="shared" si="213"/>
        <v>8.00789864804897</v>
      </c>
      <c r="X13" s="279">
        <f t="shared" si="214"/>
        <v>1.4902800672779</v>
      </c>
      <c r="Y13" s="278">
        <f t="shared" si="215"/>
        <v>-1615396</v>
      </c>
      <c r="Z13" s="279">
        <f t="shared" si="216"/>
        <v>-17.801695628380301</v>
      </c>
      <c r="AA13" s="279">
        <f t="shared" si="217"/>
        <v>-1.96726135958966</v>
      </c>
      <c r="AB13" s="278">
        <f t="shared" si="218"/>
        <v>8661906</v>
      </c>
      <c r="AC13" s="279">
        <f t="shared" si="219"/>
        <v>2099.9170884971199</v>
      </c>
      <c r="AD13" s="279">
        <f t="shared" si="220"/>
        <v>31.486881208326199</v>
      </c>
      <c r="AE13" s="278">
        <f t="shared" si="221"/>
        <v>-3615952</v>
      </c>
      <c r="AF13" s="279">
        <f t="shared" si="222"/>
        <v>-89.760602118934401</v>
      </c>
      <c r="AG13" s="279">
        <f t="shared" si="223"/>
        <v>-20.6487071154022</v>
      </c>
    </row>
    <row r="14" ht="15">
      <c r="A14" s="184" t="s">
        <v>115</v>
      </c>
      <c r="B14" s="276">
        <f>'3'!H131</f>
        <v>-9017024</v>
      </c>
      <c r="C14" s="278">
        <f>'3'!H113</f>
        <v>-6128075</v>
      </c>
      <c r="D14" s="278">
        <f>'3'!H95</f>
        <v>-2188598</v>
      </c>
      <c r="E14" s="278">
        <f>'3'!H77</f>
        <v>-1136768</v>
      </c>
      <c r="F14" s="278">
        <f>'3'!H59</f>
        <v>-280140</v>
      </c>
      <c r="G14" s="278">
        <f>'3'!H41</f>
        <v>-185108</v>
      </c>
      <c r="H14" s="278">
        <f>'3'!H23</f>
        <v>-185108</v>
      </c>
      <c r="I14" s="277">
        <f t="shared" si="199"/>
        <v>-41.648467546475302</v>
      </c>
      <c r="J14" s="277">
        <f t="shared" si="200"/>
        <v>-22.567173067881601</v>
      </c>
      <c r="K14" s="277">
        <f t="shared" si="201"/>
        <v>-9.1189011043313499</v>
      </c>
      <c r="L14" s="277">
        <f t="shared" si="202"/>
        <v>-4.8885637973168796</v>
      </c>
      <c r="M14" s="277">
        <f t="shared" si="203"/>
        <v>-1.05098815734359</v>
      </c>
      <c r="N14" s="277">
        <f t="shared" si="204"/>
        <v>-1.1475230567155701</v>
      </c>
      <c r="O14" s="277">
        <f t="shared" si="205"/>
        <v>-1.066313602123</v>
      </c>
      <c r="P14" s="278">
        <f t="shared" si="206"/>
        <v>-2888949</v>
      </c>
      <c r="Q14" s="279">
        <f t="shared" si="207"/>
        <v>47.1428466524969</v>
      </c>
      <c r="R14" s="279">
        <f t="shared" si="208"/>
        <v>-19.081294478593701</v>
      </c>
      <c r="S14" s="278">
        <f t="shared" si="209"/>
        <v>-3939477</v>
      </c>
      <c r="T14" s="279">
        <f t="shared" si="210"/>
        <v>180.000027414811</v>
      </c>
      <c r="U14" s="279">
        <f t="shared" si="211"/>
        <v>-13.448271963550299</v>
      </c>
      <c r="V14" s="278">
        <f t="shared" si="212"/>
        <v>-1051830</v>
      </c>
      <c r="W14" s="279">
        <f t="shared" si="213"/>
        <v>92.528114795631097</v>
      </c>
      <c r="X14" s="279">
        <f t="shared" si="214"/>
        <v>-4.2303373070144703</v>
      </c>
      <c r="Y14" s="278">
        <f t="shared" si="215"/>
        <v>-856628</v>
      </c>
      <c r="Z14" s="279">
        <f t="shared" si="216"/>
        <v>305.78567858927698</v>
      </c>
      <c r="AA14" s="279">
        <f t="shared" si="217"/>
        <v>-3.8375756399732901</v>
      </c>
      <c r="AB14" s="278">
        <f t="shared" si="218"/>
        <v>-95032</v>
      </c>
      <c r="AC14" s="279">
        <f t="shared" si="219"/>
        <v>51.338677960974103</v>
      </c>
      <c r="AD14" s="279">
        <f t="shared" si="220"/>
        <v>0.096534899371975902</v>
      </c>
      <c r="AE14" s="278">
        <f t="shared" si="221"/>
        <v>0</v>
      </c>
      <c r="AF14" s="279">
        <f t="shared" si="222"/>
        <v>-0</v>
      </c>
      <c r="AG14" s="279">
        <f t="shared" si="223"/>
        <v>-0.081209454592569494</v>
      </c>
    </row>
    <row r="15" s="192" customFormat="1" ht="15">
      <c r="A15" s="280" t="s">
        <v>526</v>
      </c>
      <c r="B15" s="281">
        <f>B13+B14</f>
        <v>-5329041</v>
      </c>
      <c r="C15" s="281">
        <f>C13+C14</f>
        <v>-1382095</v>
      </c>
      <c r="D15" s="281">
        <f>D13+D14</f>
        <v>5867709</v>
      </c>
      <c r="E15" s="281">
        <f>E13+E14</f>
        <v>6322230</v>
      </c>
      <c r="F15" s="281">
        <f>F13+F14</f>
        <v>8794254</v>
      </c>
      <c r="G15" s="281">
        <f>G13+G14</f>
        <v>227380</v>
      </c>
      <c r="H15" s="281">
        <f>H13+H14</f>
        <v>3843332</v>
      </c>
      <c r="I15" s="277">
        <f t="shared" si="199"/>
        <v>-24.614151092681599</v>
      </c>
      <c r="J15" s="277">
        <f t="shared" si="200"/>
        <v>-5.08968592278225</v>
      </c>
      <c r="K15" s="277">
        <f t="shared" si="201"/>
        <v>24.448097859906198</v>
      </c>
      <c r="L15" s="277">
        <f t="shared" si="202"/>
        <v>27.188155099642799</v>
      </c>
      <c r="M15" s="277">
        <f t="shared" si="203"/>
        <v>32.992992099205701</v>
      </c>
      <c r="N15" s="277">
        <f t="shared" si="204"/>
        <v>1.4095759915075801</v>
      </c>
      <c r="O15" s="277">
        <f t="shared" si="205"/>
        <v>22.139492561502401</v>
      </c>
      <c r="P15" s="278">
        <f t="shared" si="206"/>
        <v>-3946946</v>
      </c>
      <c r="Q15" s="279">
        <f t="shared" si="207"/>
        <v>285.577040652054</v>
      </c>
      <c r="R15" s="279">
        <f t="shared" si="208"/>
        <v>-19.524465169899401</v>
      </c>
      <c r="S15" s="278">
        <f t="shared" si="209"/>
        <v>-7249804</v>
      </c>
      <c r="T15" s="279">
        <f t="shared" si="210"/>
        <v>-123.554252605233</v>
      </c>
      <c r="U15" s="279">
        <f t="shared" si="211"/>
        <v>-29.5377837826885</v>
      </c>
      <c r="V15" s="278">
        <f t="shared" si="212"/>
        <v>-454521</v>
      </c>
      <c r="W15" s="279">
        <f t="shared" si="213"/>
        <v>-7.1892512610265698</v>
      </c>
      <c r="X15" s="279">
        <f t="shared" si="214"/>
        <v>-2.7400572397365699</v>
      </c>
      <c r="Y15" s="278">
        <f t="shared" si="215"/>
        <v>-2472024</v>
      </c>
      <c r="Z15" s="279">
        <f t="shared" si="216"/>
        <v>-28.109536067527699</v>
      </c>
      <c r="AA15" s="279">
        <f t="shared" si="217"/>
        <v>-5.8048369995629496</v>
      </c>
      <c r="AB15" s="278">
        <f t="shared" si="218"/>
        <v>8566874</v>
      </c>
      <c r="AC15" s="279">
        <f t="shared" si="219"/>
        <v>3767.6462309789799</v>
      </c>
      <c r="AD15" s="279">
        <f t="shared" si="220"/>
        <v>31.583416107698099</v>
      </c>
      <c r="AE15" s="278">
        <f t="shared" si="221"/>
        <v>-3615952</v>
      </c>
      <c r="AF15" s="279">
        <f t="shared" si="222"/>
        <v>-94.083779387260904</v>
      </c>
      <c r="AG15" s="279">
        <f t="shared" si="223"/>
        <v>-20.729916569994799</v>
      </c>
    </row>
    <row r="16" s="64" customFormat="1" ht="15">
      <c r="A16" s="77"/>
      <c r="B16" s="33"/>
      <c r="C16" s="33"/>
      <c r="D16" s="282"/>
      <c r="E16" s="282"/>
      <c r="F16" s="282"/>
      <c r="G16" s="282"/>
      <c r="H16" s="283"/>
      <c r="I16" s="283"/>
      <c r="J16" s="283"/>
      <c r="K16" s="33"/>
      <c r="L16" s="33"/>
      <c r="M16" s="33"/>
      <c r="N16" s="33"/>
      <c r="O16" s="33"/>
      <c r="P16" s="33"/>
      <c r="Q16" s="33"/>
      <c r="R16" s="33"/>
      <c r="S16" s="33"/>
      <c r="T16" s="33"/>
      <c r="U16" s="33"/>
      <c r="V16" s="33"/>
      <c r="W16" s="33"/>
      <c r="X16" s="33"/>
      <c r="Y16" s="33"/>
      <c r="Z16" s="33"/>
      <c r="AA16" s="33"/>
      <c r="AB16" s="33"/>
      <c r="AC16" s="33"/>
      <c r="AD16" s="33"/>
      <c r="AE16" s="33"/>
      <c r="AF16" s="33"/>
      <c r="AG16" s="33"/>
    </row>
    <row r="17" s="64" customFormat="1" ht="31.5" customHeight="1">
      <c r="A17" s="284" t="s">
        <v>472</v>
      </c>
      <c r="B17" s="267" t="s">
        <v>527</v>
      </c>
      <c r="C17" s="267"/>
      <c r="D17" s="267"/>
      <c r="E17" s="267"/>
      <c r="F17" s="267"/>
      <c r="G17" s="267"/>
      <c r="H17" s="267"/>
      <c r="I17" s="267"/>
      <c r="J17" s="267"/>
      <c r="K17" s="267"/>
      <c r="L17" s="267"/>
      <c r="M17" s="267"/>
      <c r="N17" s="267"/>
      <c r="O17" s="267"/>
      <c r="P17" s="33"/>
      <c r="Q17" s="33"/>
      <c r="R17" s="33"/>
      <c r="S17" s="33"/>
      <c r="T17" s="33"/>
      <c r="U17" s="33"/>
      <c r="V17" s="33"/>
      <c r="W17" s="33"/>
      <c r="X17" s="33"/>
      <c r="Y17" s="33"/>
      <c r="Z17" s="33"/>
      <c r="AA17" s="33"/>
      <c r="AB17" s="33"/>
      <c r="AC17" s="33"/>
      <c r="AD17" s="33"/>
      <c r="AE17" s="33"/>
      <c r="AF17" s="33"/>
      <c r="AG17" s="33"/>
    </row>
    <row r="18" s="64" customFormat="1" ht="31.5" customHeight="1">
      <c r="A18" s="284"/>
      <c r="B18" s="267"/>
      <c r="C18" s="267"/>
      <c r="D18" s="267"/>
      <c r="E18" s="267"/>
      <c r="F18" s="267"/>
      <c r="G18" s="267"/>
      <c r="H18" s="267"/>
      <c r="I18" s="267"/>
      <c r="J18" s="267"/>
      <c r="K18" s="267"/>
      <c r="L18" s="267"/>
      <c r="M18" s="267"/>
      <c r="N18" s="267"/>
      <c r="O18" s="267"/>
      <c r="P18" s="33"/>
      <c r="Q18" s="33"/>
      <c r="R18" s="33"/>
      <c r="S18" s="33"/>
      <c r="T18" s="33"/>
      <c r="U18" s="33"/>
      <c r="V18" s="33"/>
      <c r="W18" s="33"/>
      <c r="X18" s="33"/>
      <c r="Y18" s="33"/>
      <c r="Z18" s="33"/>
      <c r="AA18" s="33"/>
      <c r="AB18" s="33"/>
      <c r="AC18" s="33"/>
      <c r="AD18" s="33"/>
      <c r="AE18" s="33"/>
      <c r="AF18" s="33"/>
      <c r="AG18" s="33"/>
    </row>
    <row r="19" s="64" customFormat="1" ht="31.5" customHeight="1">
      <c r="A19" s="284"/>
      <c r="B19" s="267"/>
      <c r="C19" s="267"/>
      <c r="D19" s="267"/>
      <c r="E19" s="267"/>
      <c r="F19" s="267"/>
      <c r="G19" s="267"/>
      <c r="H19" s="267"/>
      <c r="I19" s="267"/>
      <c r="J19" s="267"/>
      <c r="K19" s="267"/>
      <c r="L19" s="267"/>
      <c r="M19" s="267"/>
      <c r="N19" s="267"/>
      <c r="O19" s="267"/>
      <c r="P19" s="33"/>
      <c r="Q19" s="33"/>
      <c r="R19" s="33"/>
      <c r="S19" s="33"/>
      <c r="T19" s="33"/>
      <c r="U19" s="33"/>
      <c r="V19" s="33"/>
      <c r="W19" s="33"/>
      <c r="X19" s="33"/>
      <c r="Y19" s="33"/>
      <c r="Z19" s="33"/>
      <c r="AA19" s="33"/>
      <c r="AB19" s="33"/>
      <c r="AC19" s="33"/>
      <c r="AD19" s="33"/>
      <c r="AE19" s="33"/>
      <c r="AF19" s="33"/>
      <c r="AG19" s="33"/>
    </row>
    <row r="20" ht="15"/>
    <row r="21" ht="15">
      <c r="A21" s="192" t="s">
        <v>528</v>
      </c>
    </row>
    <row r="22" ht="15">
      <c r="A22" s="285" t="s">
        <v>177</v>
      </c>
      <c r="B22" s="285" t="str">
        <f>аб!C23</f>
        <v xml:space="preserve">2019 год</v>
      </c>
      <c r="C22" s="285" t="str">
        <f>аб!D23</f>
        <v xml:space="preserve">2018 год</v>
      </c>
      <c r="D22" s="285" t="str">
        <f>аб!E23</f>
        <v xml:space="preserve">2017 год</v>
      </c>
      <c r="E22" s="285" t="str">
        <f>аб!F23</f>
        <v xml:space="preserve">2016 год</v>
      </c>
      <c r="F22" s="285" t="str">
        <f>аб!G23</f>
        <v xml:space="preserve">2015 год</v>
      </c>
      <c r="G22" s="285" t="str">
        <f>аб!H23</f>
        <v xml:space="preserve">2014 год</v>
      </c>
      <c r="H22" s="285" t="str">
        <f>аб!I23</f>
        <v xml:space="preserve">2013 год</v>
      </c>
    </row>
    <row r="23" ht="15">
      <c r="A23" s="286" t="str">
        <f>'[2]2'!A7</f>
        <v xml:space="preserve">Доходы и расходы по обычным видам деятельности</v>
      </c>
      <c r="B23" s="287"/>
      <c r="C23" s="287"/>
      <c r="D23" s="287"/>
      <c r="E23" s="287"/>
      <c r="F23" s="287"/>
      <c r="G23" s="287"/>
      <c r="H23" s="287"/>
    </row>
    <row r="24" ht="15">
      <c r="A24" s="288" t="str">
        <f>'[2]2'!A8</f>
        <v>Выручка</v>
      </c>
      <c r="B24" s="289">
        <f>'2'!C7/'2'!$C$7*100</f>
        <v>100</v>
      </c>
      <c r="C24" s="289">
        <f>'2'!D7/'2'!$D$7*100</f>
        <v>100</v>
      </c>
      <c r="D24" s="289">
        <f>'2'!E7/'2'!$E$7*100</f>
        <v>100</v>
      </c>
      <c r="E24" s="289">
        <f>'2'!F7/'2'!$F$7*100</f>
        <v>100</v>
      </c>
      <c r="F24" s="289">
        <f>'2'!G7/'2'!$G$7*100</f>
        <v>100</v>
      </c>
      <c r="G24" s="289">
        <f>'2'!H7/'2'!$H$7*100</f>
        <v>100</v>
      </c>
      <c r="H24" s="289">
        <f>'2'!I7/'2'!$I$7*100</f>
        <v>100</v>
      </c>
    </row>
    <row r="25" ht="15">
      <c r="A25" s="288" t="str">
        <f>'[2]2'!A9</f>
        <v xml:space="preserve">Себестоимость продаж</v>
      </c>
      <c r="B25" s="289">
        <f>'2'!C8/'2'!$C$7*100</f>
        <v>-61.977701570517638</v>
      </c>
      <c r="C25" s="289">
        <f>'2'!D8/'2'!$D$7*100</f>
        <v>-53.824792571808345</v>
      </c>
      <c r="D25" s="289">
        <f>'2'!E8/'2'!$E$7*100</f>
        <v>-53.25313948435705</v>
      </c>
      <c r="E25" s="289">
        <f>'2'!F8/'2'!$F$7*100</f>
        <v>-55.637817064087955</v>
      </c>
      <c r="F25" s="289">
        <f>'2'!G8/'2'!$G$7*100</f>
        <v>-42.233490521354128</v>
      </c>
      <c r="G25" s="289">
        <f>'2'!H8/'2'!$H$7*100</f>
        <v>-55.402777443709326</v>
      </c>
      <c r="H25" s="289">
        <f>'2'!I8/'2'!$I$7*100</f>
        <v>-55.075562997602312</v>
      </c>
      <c r="K25" s="193" t="s">
        <v>529</v>
      </c>
    </row>
    <row r="26" s="192" customFormat="1" ht="15">
      <c r="A26" s="290" t="str">
        <f>'[2]2'!A10</f>
        <v xml:space="preserve">Валовая прибыль</v>
      </c>
      <c r="B26" s="291">
        <f>'2'!C9/'2'!$C$7*100</f>
        <v>38.022298429482362</v>
      </c>
      <c r="C26" s="291">
        <f>'2'!D9/'2'!$D$7*100</f>
        <v>46.175207428191662</v>
      </c>
      <c r="D26" s="291">
        <f>'2'!E9/'2'!$E$7*100</f>
        <v>46.746860515642958</v>
      </c>
      <c r="E26" s="291">
        <f>'2'!F9/'2'!$F$7*100</f>
        <v>44.362182935912045</v>
      </c>
      <c r="F26" s="291">
        <f>'2'!G9/'2'!$G$7*100</f>
        <v>57.766509478645865</v>
      </c>
      <c r="G26" s="291">
        <f>'2'!H9/'2'!$H$7*100</f>
        <v>44.597222556290674</v>
      </c>
      <c r="H26" s="291">
        <f>'2'!I9/'2'!$I$7*100</f>
        <v>44.924437002397688</v>
      </c>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row>
    <row r="27" ht="15.5" customHeight="1">
      <c r="A27" s="288" t="str">
        <f>'[2]2'!A11</f>
        <v xml:space="preserve">Коммерческие расходы</v>
      </c>
      <c r="B27" s="289">
        <f>'2'!C10/'2'!$C$7*100</f>
        <v>-12.70767712653036</v>
      </c>
      <c r="C27" s="289">
        <f>'2'!D10/'2'!$D$7*100</f>
        <v>-11.344715646972274</v>
      </c>
      <c r="D27" s="289">
        <f>'2'!E10/'2'!$E$7*100</f>
        <v>-11.329313752274571</v>
      </c>
      <c r="E27" s="289">
        <f>'2'!F10/'2'!$F$7*100</f>
        <v>-10.273188014304354</v>
      </c>
      <c r="F27" s="289">
        <f>'2'!G10/'2'!$G$7*100</f>
        <v>-7.7469427308246903</v>
      </c>
      <c r="G27" s="289">
        <f>'2'!H10/'2'!$H$7*100</f>
        <v>-10.635758571087438</v>
      </c>
      <c r="H27" s="289">
        <f>'2'!I10/'2'!$I$7*100</f>
        <v>-11.99874121675813</v>
      </c>
      <c r="J27" s="267" t="s">
        <v>530</v>
      </c>
      <c r="K27" s="267"/>
      <c r="L27" s="267"/>
      <c r="M27" s="267"/>
      <c r="N27" s="267"/>
      <c r="O27" s="267"/>
      <c r="P27" s="267"/>
      <c r="Q27" s="267"/>
      <c r="R27" s="267"/>
      <c r="S27" s="267"/>
      <c r="T27" s="267"/>
      <c r="U27" s="267"/>
    </row>
    <row r="28" ht="15">
      <c r="A28" s="288" t="str">
        <f>'[2]2'!A12</f>
        <v xml:space="preserve">Управленческие расходы</v>
      </c>
      <c r="B28" s="289">
        <f>'2'!C11/'2'!$C$7*100</f>
        <v>-10.037189298963515</v>
      </c>
      <c r="C28" s="289">
        <f>'2'!D11/'2'!$D$7*100</f>
        <v>-7.5410003653495163</v>
      </c>
      <c r="D28" s="289">
        <f>'2'!E11/'2'!$E$7*100</f>
        <v>-7.5593284306105195</v>
      </c>
      <c r="E28" s="289">
        <f>'2'!F11/'2'!$F$7*100</f>
        <v>-9.5803539225442709</v>
      </c>
      <c r="F28" s="289">
        <f>'2'!G11/'2'!$G$7*100</f>
        <v>-6.4258017705177446</v>
      </c>
      <c r="G28" s="289">
        <f>'2'!H11/'2'!$H$7*100</f>
        <v>-8.6246485978754581</v>
      </c>
      <c r="H28" s="289">
        <f>'2'!I11/'2'!$I$7*100</f>
        <v>-7.202179125915249</v>
      </c>
      <c r="J28" s="267"/>
      <c r="K28" s="267"/>
      <c r="L28" s="267"/>
      <c r="M28" s="267"/>
      <c r="N28" s="267"/>
      <c r="O28" s="267"/>
      <c r="P28" s="267"/>
      <c r="Q28" s="267"/>
      <c r="R28" s="267"/>
      <c r="S28" s="267"/>
      <c r="T28" s="267"/>
      <c r="U28" s="267"/>
    </row>
    <row r="29" s="192" customFormat="1" ht="30">
      <c r="A29" s="290" t="str">
        <f>'[2]2'!A13</f>
        <v xml:space="preserve">Прибыль (убыток) от продаж</v>
      </c>
      <c r="B29" s="291">
        <f>'2'!C12/'2'!$C$7*100</f>
        <v>15.277432003988487</v>
      </c>
      <c r="C29" s="291">
        <f>'2'!D12/'2'!$D$7*100</f>
        <v>27.289491415869872</v>
      </c>
      <c r="D29" s="291">
        <f>'2'!E12/'2'!$E$7*100</f>
        <v>27.858218332757861</v>
      </c>
      <c r="E29" s="291">
        <f>'2'!F12/'2'!$F$7*100</f>
        <v>24.508640999063413</v>
      </c>
      <c r="F29" s="291">
        <f>'2'!G12/'2'!$G$7*100</f>
        <v>43.593764977303437</v>
      </c>
      <c r="G29" s="291">
        <f>'2'!H12/'2'!$H$7*100</f>
        <v>25.336815387327778</v>
      </c>
      <c r="H29" s="291">
        <f>'2'!I12/'2'!$I$7*100</f>
        <v>25.723516659724311</v>
      </c>
      <c r="I29" s="292"/>
      <c r="J29" s="267"/>
      <c r="K29" s="267"/>
      <c r="L29" s="267"/>
      <c r="M29" s="267"/>
      <c r="N29" s="267"/>
      <c r="O29" s="267"/>
      <c r="P29" s="267"/>
      <c r="Q29" s="267"/>
      <c r="R29" s="267"/>
      <c r="S29" s="267"/>
      <c r="T29" s="267"/>
      <c r="U29" s="267"/>
      <c r="V29" s="292"/>
      <c r="W29" s="292"/>
      <c r="X29" s="292"/>
      <c r="Y29" s="292"/>
      <c r="Z29" s="292"/>
      <c r="AA29" s="292"/>
      <c r="AB29" s="292"/>
      <c r="AC29" s="292"/>
      <c r="AD29" s="292"/>
      <c r="AE29" s="292"/>
      <c r="AF29" s="292"/>
      <c r="AG29" s="292"/>
    </row>
    <row r="30" ht="15" customHeight="1">
      <c r="A30" s="286" t="str">
        <f>'[2]2'!A14</f>
        <v xml:space="preserve">Прочие доходы и расходы</v>
      </c>
      <c r="B30" s="293"/>
      <c r="C30" s="293"/>
      <c r="D30" s="293"/>
      <c r="E30" s="293"/>
      <c r="F30" s="293"/>
      <c r="G30" s="293"/>
      <c r="H30" s="293"/>
      <c r="I30" s="284" t="s">
        <v>472</v>
      </c>
      <c r="J30" s="267"/>
      <c r="K30" s="267"/>
      <c r="L30" s="267"/>
      <c r="M30" s="267"/>
      <c r="N30" s="267"/>
      <c r="O30" s="267"/>
      <c r="P30" s="267"/>
      <c r="Q30" s="267"/>
      <c r="R30" s="267"/>
      <c r="S30" s="267"/>
      <c r="T30" s="267"/>
      <c r="U30" s="267"/>
    </row>
    <row r="31" ht="15">
      <c r="A31" s="288" t="str">
        <f>'[2]2'!A16</f>
        <v xml:space="preserve">Проценты к получению</v>
      </c>
      <c r="B31" s="289">
        <f>'2'!C15/'2'!$C$7*100</f>
        <v>7.2893908143780273</v>
      </c>
      <c r="C31" s="289">
        <f>'2'!D15/'2'!$D$7*100</f>
        <v>7.4617032063443318</v>
      </c>
      <c r="D31" s="289">
        <f>'2'!E15/'2'!$E$7*100</f>
        <v>12.90666092460642</v>
      </c>
      <c r="E31" s="289">
        <f>'2'!F15/'2'!$F$7*100</f>
        <v>16.041399835440668</v>
      </c>
      <c r="F31" s="289">
        <f>'2'!G15/'2'!$G$7*100</f>
        <v>13.243925182278765</v>
      </c>
      <c r="G31" s="289">
        <f>'2'!H15/'2'!$H$7*100</f>
        <v>13.118578705025053</v>
      </c>
      <c r="H31" s="289">
        <f>'2'!I15/'2'!$I$7*100</f>
        <v>9.9194043464428177</v>
      </c>
      <c r="I31" s="284"/>
      <c r="J31" s="267"/>
      <c r="K31" s="267"/>
      <c r="L31" s="267"/>
      <c r="M31" s="267"/>
      <c r="N31" s="267"/>
      <c r="O31" s="267"/>
      <c r="P31" s="267"/>
      <c r="Q31" s="267"/>
      <c r="R31" s="267"/>
      <c r="S31" s="267"/>
      <c r="T31" s="267"/>
      <c r="U31" s="267"/>
    </row>
    <row r="32" ht="15">
      <c r="A32" s="288" t="str">
        <f>'[2]2'!A17</f>
        <v xml:space="preserve">Проценты к уплате</v>
      </c>
      <c r="B32" s="289">
        <f>'2'!C16/'2'!$C$7*100</f>
        <v>0</v>
      </c>
      <c r="C32" s="289">
        <f>'2'!D16/'2'!$D$7*100</f>
        <v>-0.16936588676949016</v>
      </c>
      <c r="D32" s="289">
        <f>'2'!E16/'2'!$E$7*100</f>
        <v>-1.3713613161828726</v>
      </c>
      <c r="E32" s="289">
        <f>'2'!F16/'2'!$F$7*100</f>
        <v>-3.3304837410469315</v>
      </c>
      <c r="F32" s="289">
        <f>'2'!G16/'2'!$G$7*100</f>
        <v>-3.2914267406217577</v>
      </c>
      <c r="G32" s="289">
        <f>'2'!H16/'2'!$H$7*100</f>
        <v>-2.6685794117348038</v>
      </c>
      <c r="H32" s="289">
        <f>'2'!I16/'2'!$I$7*100</f>
        <v>-2.4180539425371097</v>
      </c>
      <c r="I32" s="284"/>
      <c r="J32" s="267"/>
      <c r="K32" s="267"/>
      <c r="L32" s="267"/>
      <c r="M32" s="267"/>
      <c r="N32" s="267"/>
      <c r="O32" s="267"/>
      <c r="P32" s="267"/>
      <c r="Q32" s="267"/>
      <c r="R32" s="267"/>
      <c r="S32" s="267"/>
      <c r="T32" s="267"/>
      <c r="U32" s="267"/>
    </row>
    <row r="33" ht="30">
      <c r="A33" s="288" t="str">
        <f>'[2]2'!A15</f>
        <v xml:space="preserve">Доходы от участия в других организациях</v>
      </c>
      <c r="B33" s="289">
        <f>'2'!C14/'2'!$C$7*100</f>
        <v>3.7586290896289078</v>
      </c>
      <c r="C33" s="289">
        <f>'2'!D14/'2'!$D$7*100</f>
        <v>1.7565464163101216</v>
      </c>
      <c r="D33" s="289">
        <f>'2'!E14/'2'!$E$7*100</f>
        <v>1.2069992858951437</v>
      </c>
      <c r="E33" s="289">
        <f>'2'!F14/'2'!$F$7*100</f>
        <v>0.69119993752370323</v>
      </c>
      <c r="F33" s="289">
        <f>'2'!G14/'2'!$G$7*100</f>
        <v>0.1921746889832513</v>
      </c>
      <c r="G33" s="289">
        <f>'2'!H14/'2'!$H$7*100</f>
        <v>0</v>
      </c>
      <c r="H33" s="289">
        <f>'2'!I14/'2'!$I$7*100</f>
        <v>0.0062674179349883272</v>
      </c>
      <c r="J33" s="267"/>
      <c r="K33" s="267"/>
      <c r="L33" s="267"/>
      <c r="M33" s="267"/>
      <c r="N33" s="267"/>
      <c r="O33" s="267"/>
      <c r="P33" s="267"/>
      <c r="Q33" s="267"/>
      <c r="R33" s="267"/>
      <c r="S33" s="267"/>
      <c r="T33" s="267"/>
      <c r="U33" s="267"/>
    </row>
    <row r="34" ht="15">
      <c r="A34" s="288" t="str">
        <f>'[2]2'!A18</f>
        <v xml:space="preserve">Прочие доходы</v>
      </c>
      <c r="B34" s="289">
        <f>'2'!C17/'2'!$C$7*100</f>
        <v>4.1487435239969273</v>
      </c>
      <c r="C34" s="289">
        <f>'2'!D17/'2'!$D$7*100</f>
        <v>54.195058343051372</v>
      </c>
      <c r="D34" s="289">
        <f>'2'!E17/'2'!$E$7*100</f>
        <v>4.5402135948081801</v>
      </c>
      <c r="E34" s="289">
        <f>'2'!F17/'2'!$F$7*100</f>
        <v>8.3903714084246417</v>
      </c>
      <c r="F34" s="289">
        <f>'2'!G17/'2'!$G$7*100</f>
        <v>3.6863107610735204</v>
      </c>
      <c r="G34" s="289">
        <f>'2'!H17/'2'!$H$7*100</f>
        <v>6.1173787862594793</v>
      </c>
      <c r="H34" s="289">
        <f>'2'!I17/'2'!$I$7*100</f>
        <v>15.310282407663161</v>
      </c>
      <c r="J34" s="267"/>
      <c r="K34" s="267"/>
      <c r="L34" s="267"/>
      <c r="M34" s="267"/>
      <c r="N34" s="267"/>
      <c r="O34" s="267"/>
      <c r="P34" s="267"/>
      <c r="Q34" s="267"/>
      <c r="R34" s="267"/>
      <c r="S34" s="267"/>
      <c r="T34" s="267"/>
      <c r="U34" s="267"/>
    </row>
    <row r="35" ht="15">
      <c r="A35" s="288" t="str">
        <f>'[2]2'!A19</f>
        <v xml:space="preserve">Прочие  расходы</v>
      </c>
      <c r="B35" s="289">
        <f>'2'!C18/'2'!$C$7*100</f>
        <v>-9.8392891668915272</v>
      </c>
      <c r="C35" s="289">
        <f>'2'!D18/'2'!$D$7*100</f>
        <v>-64.071758312953591</v>
      </c>
      <c r="D35" s="289">
        <f>'2'!E18/'2'!$E$7*100</f>
        <v>-3.3016401995660374</v>
      </c>
      <c r="E35" s="289">
        <f>'2'!F18/'2'!$F$7*100</f>
        <v>-5.9247164925167137</v>
      </c>
      <c r="F35" s="289">
        <f>'2'!G18/'2'!$G$7*100</f>
        <v>-14.678714976206079</v>
      </c>
      <c r="G35" s="289">
        <f>'2'!H18/'2'!$H$7*100</f>
        <v>-38.398404770117239</v>
      </c>
      <c r="H35" s="289">
        <f>'2'!I18/'2'!$I$7*100</f>
        <v>-19.189963882276</v>
      </c>
      <c r="J35" s="267"/>
      <c r="K35" s="267"/>
      <c r="L35" s="267"/>
      <c r="M35" s="267"/>
      <c r="N35" s="267"/>
      <c r="O35" s="267"/>
      <c r="P35" s="267"/>
      <c r="Q35" s="267"/>
      <c r="R35" s="267"/>
      <c r="S35" s="267"/>
      <c r="T35" s="267"/>
      <c r="U35" s="267"/>
    </row>
    <row r="36" s="192" customFormat="1" ht="30.75" customHeight="1">
      <c r="A36" s="290" t="str">
        <f>'[2]2'!A20</f>
        <v xml:space="preserve">Прибыль (убыток) до налогообложения</v>
      </c>
      <c r="B36" s="291">
        <f>'2'!C19/'2'!$C$7*100</f>
        <v>20.63490626510082</v>
      </c>
      <c r="C36" s="291">
        <f>'2'!D19/'2'!$D$7*100</f>
        <v>26.461675181852623</v>
      </c>
      <c r="D36" s="291">
        <f>'2'!E19/'2'!$E$7*100</f>
        <v>41.8390906223187</v>
      </c>
      <c r="E36" s="291">
        <f>'2'!F19/'2'!$F$7*100</f>
        <v>40.376411946888787</v>
      </c>
      <c r="F36" s="291">
        <f>'2'!G19/'2'!$G$7*100</f>
        <v>42.746033892811134</v>
      </c>
      <c r="G36" s="291">
        <f>'2'!H19/'2'!$H$7*100</f>
        <v>3.5057886967602689</v>
      </c>
      <c r="H36" s="291">
        <f>'2'!I19/'2'!$I$7*100</f>
        <v>29.351453006952166</v>
      </c>
      <c r="I36" s="292"/>
      <c r="J36" s="292"/>
      <c r="K36" s="292"/>
      <c r="L36" s="292"/>
      <c r="M36" s="292"/>
      <c r="N36" s="292"/>
      <c r="O36" s="292"/>
      <c r="P36" s="292"/>
      <c r="Q36" s="292"/>
      <c r="R36" s="292"/>
      <c r="S36" s="292"/>
      <c r="T36" s="292"/>
      <c r="U36" s="292"/>
      <c r="V36" s="292"/>
      <c r="W36" s="292"/>
      <c r="X36" s="292"/>
      <c r="Y36" s="292"/>
      <c r="Z36" s="292"/>
      <c r="AA36" s="292"/>
      <c r="AB36" s="292"/>
      <c r="AC36" s="292"/>
      <c r="AD36" s="292"/>
      <c r="AE36" s="292"/>
      <c r="AF36" s="292"/>
      <c r="AG36" s="292"/>
    </row>
    <row r="37" ht="15">
      <c r="A37" s="288" t="str">
        <f>'[2]2'!A21</f>
        <v xml:space="preserve">Текущий налог на прибыль</v>
      </c>
      <c r="B37" s="289">
        <f>'2'!C20/'2'!$C$7*100</f>
        <v>-3.0254434185111592</v>
      </c>
      <c r="C37" s="289">
        <f>'2'!D20/'2'!$D$7*100</f>
        <v>-8.4785540275558464</v>
      </c>
      <c r="D37" s="289">
        <f>'2'!E20/'2'!$E$7*100</f>
        <v>-7.5989314801411645</v>
      </c>
      <c r="E37" s="289">
        <f>'2'!F20/'2'!$F$7*100</f>
        <v>-8.4252735025889951</v>
      </c>
      <c r="F37" s="289">
        <f>'2'!G20/'2'!$G$7*100</f>
        <v>-8.3235718440670325</v>
      </c>
      <c r="G37" s="289">
        <f>'2'!H20/'2'!$H$7*100</f>
        <v>-1.1832056998992999</v>
      </c>
      <c r="H37" s="289">
        <f>'2'!I20/'2'!$I$7*100</f>
        <v>-6.1443795345532024</v>
      </c>
    </row>
    <row r="38" ht="27.75" customHeight="1">
      <c r="A38" s="288" t="str">
        <f>'[2]2'!A22</f>
        <v xml:space="preserve">в т.ч. постоянные налоговые обязательства (активы)</v>
      </c>
      <c r="B38" s="289">
        <f>'2'!C21/'2'!$C$7*100</f>
        <v>-0.50953071627506186</v>
      </c>
      <c r="C38" s="289">
        <f>'2'!D21/'2'!$D$7*100</f>
        <v>3.7044511325963909</v>
      </c>
      <c r="D38" s="289">
        <f>'2'!E21/'2'!$E$7*100</f>
        <v>-0.076585339655210555</v>
      </c>
      <c r="E38" s="289">
        <f>'2'!F21/'2'!$F$7*100</f>
        <v>0.24716582825236796</v>
      </c>
      <c r="F38" s="289">
        <f>'2'!G21/'2'!$G$7*100</f>
        <v>0.16066080120683185</v>
      </c>
      <c r="G38" s="289">
        <f>'2'!H21/'2'!$H$7*100</f>
        <v>0.24623255511778122</v>
      </c>
      <c r="H38" s="289">
        <f>'2'!I21/'2'!$I$7*100</f>
        <v>0.26141123703103886</v>
      </c>
    </row>
    <row r="39" ht="30">
      <c r="A39" s="288" t="str">
        <f>'[2]2'!A23</f>
        <v xml:space="preserve">Изменение отложенных налоговых обязательств</v>
      </c>
      <c r="B39" s="289">
        <f>'2'!C22/'2'!$C$7*100</f>
        <v>-0.60351549635723534</v>
      </c>
      <c r="C39" s="289">
        <f>'2'!D22/'2'!$D$7*100</f>
        <v>-0.4868638601494637</v>
      </c>
      <c r="D39" s="289">
        <f>'2'!E22/'2'!$E$7*100</f>
        <v>-0.65969389113482091</v>
      </c>
      <c r="E39" s="289">
        <f>'2'!F22/'2'!$F$7*100</f>
        <v>0.060012164128086902</v>
      </c>
      <c r="F39" s="289">
        <f>'2'!G22/'2'!$G$7*100</f>
        <v>-0.42681809339853455</v>
      </c>
      <c r="G39" s="289">
        <f>'2'!H22/'2'!$H$7*100</f>
        <v>-0.230740733485371</v>
      </c>
      <c r="H39" s="289">
        <f>'2'!I22/'2'!$I$7*100</f>
        <v>-0.064678831409971452</v>
      </c>
    </row>
    <row r="40" ht="30">
      <c r="A40" s="288" t="str">
        <f>'[2]2'!A24</f>
        <v xml:space="preserve">Изменение отложенных налоговых активов</v>
      </c>
      <c r="B40" s="289">
        <f>'2'!C23/'2'!$C$7*100</f>
        <v>0.01151022567155377</v>
      </c>
      <c r="C40" s="289">
        <f>'2'!D23/'2'!$D$7*100</f>
        <v>-0.031368281261605901</v>
      </c>
      <c r="D40" s="289">
        <f>'2'!E23/'2'!$E$7*100</f>
        <v>-0.032607413532543268</v>
      </c>
      <c r="E40" s="289">
        <f>'2'!F23/'2'!$F$7*100</f>
        <v>0.042810540587252248</v>
      </c>
      <c r="F40" s="289">
        <f>'2'!G23/'2'!$G$7*100</f>
        <v>0.040521607365846035</v>
      </c>
      <c r="G40" s="289">
        <f>'2'!H23/'2'!$H$7*100</f>
        <v>0.46655241938983427</v>
      </c>
      <c r="H40" s="289">
        <f>'2'!I23/'2'!$I$7*100</f>
        <v>0.063981811584481019</v>
      </c>
    </row>
    <row r="41" ht="15">
      <c r="A41" s="288" t="str">
        <f>'[2]2'!A25</f>
        <v>Прочее</v>
      </c>
      <c r="B41" s="289">
        <f>'2'!C24/'2'!$C$7*100</f>
        <v>0.016858877889715594</v>
      </c>
      <c r="C41" s="289">
        <f>'2'!D24/'2'!$D$7*100</f>
        <v>0.012598132213659756</v>
      </c>
      <c r="D41" s="289">
        <f>'2'!E24/'2'!$E$7*100</f>
        <v>0.019141126727383564</v>
      </c>
      <c r="E41" s="289">
        <f>'2'!F24/'2'!$F$7*100</f>
        <v>0.022757747944524249</v>
      </c>
      <c r="F41" s="289">
        <f>'2'!G24/'2'!$G$7*100</f>
        <v>0.0078146938378906849</v>
      </c>
      <c r="G41" s="289">
        <f>'2'!H24/'2'!$H$7*100</f>
        <v>-0.0012956345422864119</v>
      </c>
      <c r="H41" s="289">
        <f>'2'!I24/'2'!$I$7*100</f>
        <v>-0.00057028894812853343</v>
      </c>
    </row>
    <row r="42" s="192" customFormat="1" ht="15">
      <c r="A42" s="290" t="str">
        <f>'[2]2'!A26</f>
        <v xml:space="preserve">Чистая прибыль (убыток)</v>
      </c>
      <c r="B42" s="291">
        <f>'2'!C25/'2'!$C$7*100</f>
        <v>17.034316453793696</v>
      </c>
      <c r="C42" s="291">
        <f>'2'!D25/'2'!$D$7*100</f>
        <v>17.477487145099367</v>
      </c>
      <c r="D42" s="291">
        <f>'2'!E25/'2'!$E$7*100</f>
        <v>33.566998964237548</v>
      </c>
      <c r="E42" s="291">
        <f>'2'!F25/'2'!$F$7*100</f>
        <v>32.076718896959648</v>
      </c>
      <c r="F42" s="291">
        <f>'2'!G25/'2'!$G$7*100</f>
        <v>34.043980256549304</v>
      </c>
      <c r="G42" s="291">
        <f>'2'!H25/'2'!$H$7*100</f>
        <v>2.5570990482231459</v>
      </c>
      <c r="H42" s="291">
        <f>'2'!I25/'2'!$I$7*100</f>
        <v>23.205806163625347</v>
      </c>
      <c r="I42" s="292"/>
      <c r="J42" s="292"/>
      <c r="K42" s="292"/>
      <c r="L42" s="292"/>
      <c r="M42" s="292"/>
      <c r="N42" s="292"/>
      <c r="O42" s="292"/>
      <c r="P42" s="292"/>
      <c r="Q42" s="292"/>
      <c r="R42" s="292"/>
      <c r="S42" s="292"/>
      <c r="T42" s="292"/>
      <c r="U42" s="292"/>
      <c r="V42" s="292"/>
      <c r="W42" s="292"/>
      <c r="X42" s="292"/>
      <c r="Y42" s="292"/>
      <c r="Z42" s="292"/>
      <c r="AA42" s="292"/>
      <c r="AB42" s="292"/>
      <c r="AC42" s="292"/>
      <c r="AD42" s="292"/>
      <c r="AE42" s="292"/>
      <c r="AF42" s="292"/>
      <c r="AG42" s="292"/>
    </row>
    <row r="43" ht="15"/>
    <row r="44" ht="15"/>
    <row r="45" ht="15">
      <c r="A45" s="66" t="s">
        <v>531</v>
      </c>
      <c r="B45" s="33"/>
      <c r="C45" s="33"/>
      <c r="D45" s="33"/>
      <c r="E45" s="33"/>
      <c r="F45" s="33"/>
    </row>
    <row r="46" ht="15.75" customHeight="1">
      <c r="A46" s="285" t="s">
        <v>177</v>
      </c>
      <c r="B46" s="285" t="str">
        <f>B4</f>
        <v xml:space="preserve">2019 год</v>
      </c>
      <c r="C46" s="285" t="str">
        <f>C4</f>
        <v xml:space="preserve">2018 год</v>
      </c>
      <c r="D46" s="285" t="str">
        <f>D4</f>
        <v xml:space="preserve">2017 год</v>
      </c>
      <c r="E46" s="285" t="str">
        <f>E4</f>
        <v xml:space="preserve">2016 год</v>
      </c>
      <c r="F46" s="285" t="str">
        <f>F4</f>
        <v xml:space="preserve">2015 год</v>
      </c>
      <c r="G46" s="285" t="str">
        <f>G4</f>
        <v xml:space="preserve">2014 год</v>
      </c>
      <c r="H46" s="285" t="str">
        <f>H4</f>
        <v xml:space="preserve">2013 год</v>
      </c>
      <c r="I46" s="262" t="s">
        <v>472</v>
      </c>
      <c r="J46" s="267" t="s">
        <v>532</v>
      </c>
      <c r="K46" s="267"/>
      <c r="L46" s="267"/>
      <c r="M46" s="267"/>
      <c r="N46" s="267"/>
      <c r="O46" s="267"/>
      <c r="P46" s="267"/>
      <c r="Q46" s="267"/>
      <c r="R46" s="267"/>
    </row>
    <row r="47" s="193" customFormat="1" ht="30">
      <c r="A47" s="294" t="s">
        <v>533</v>
      </c>
      <c r="B47" s="295">
        <f>(B26/B24)*100</f>
        <v>38.022298429482362</v>
      </c>
      <c r="C47" s="296">
        <f>(C26/C24)*100</f>
        <v>46.175207428191662</v>
      </c>
      <c r="D47" s="295">
        <f>(D26/D24)*100</f>
        <v>46.746860515642958</v>
      </c>
      <c r="E47" s="296">
        <f>(E26/E24)*100</f>
        <v>44.362182935912045</v>
      </c>
      <c r="F47" s="295">
        <f>(F26/F24)*100</f>
        <v>57.766509478645865</v>
      </c>
      <c r="G47" s="296">
        <f>(G26/G24)*100</f>
        <v>44.597222556290674</v>
      </c>
      <c r="H47" s="295">
        <f>(H26/H24)*100</f>
        <v>44.924437002397688</v>
      </c>
      <c r="I47" s="262"/>
      <c r="J47" s="267"/>
      <c r="K47" s="267"/>
      <c r="L47" s="267"/>
      <c r="M47" s="267"/>
      <c r="N47" s="267"/>
      <c r="O47" s="267"/>
      <c r="P47" s="267"/>
      <c r="Q47" s="267"/>
      <c r="R47" s="267"/>
    </row>
    <row r="48" s="193" customFormat="1" ht="30">
      <c r="A48" s="294" t="s">
        <v>534</v>
      </c>
      <c r="B48" s="295">
        <f>(B29/B24)*100</f>
        <v>15.277432003988487</v>
      </c>
      <c r="C48" s="295">
        <f>(C29/C24)*100</f>
        <v>27.289491415869872</v>
      </c>
      <c r="D48" s="296">
        <f>(D29/D24)*100</f>
        <v>27.858218332757861</v>
      </c>
      <c r="E48" s="295">
        <f>(E29/E24)*100</f>
        <v>24.508640999063413</v>
      </c>
      <c r="F48" s="296">
        <f>(F29/F24)*100</f>
        <v>43.593764977303437</v>
      </c>
      <c r="G48" s="295">
        <f>(G29/G24)*100</f>
        <v>25.336815387327778</v>
      </c>
      <c r="H48" s="295">
        <f>(H29/H24)*100</f>
        <v>25.723516659724311</v>
      </c>
      <c r="J48" s="267"/>
      <c r="K48" s="267"/>
      <c r="L48" s="267"/>
      <c r="M48" s="267"/>
      <c r="N48" s="267"/>
      <c r="O48" s="267"/>
      <c r="P48" s="267"/>
      <c r="Q48" s="267"/>
      <c r="R48" s="267"/>
    </row>
    <row r="49" s="193" customFormat="1" ht="31.5" customHeight="1">
      <c r="A49" s="294" t="s">
        <v>535</v>
      </c>
      <c r="B49" s="295">
        <f>(B42/B24)*100</f>
        <v>17.034316453793696</v>
      </c>
      <c r="C49" s="296">
        <f>(C42/C24)*100</f>
        <v>17.477487145099367</v>
      </c>
      <c r="D49" s="295">
        <f>(D42/D24)*100</f>
        <v>33.566998964237548</v>
      </c>
      <c r="E49" s="296">
        <f>(E42/E24)*100</f>
        <v>32.076718896959648</v>
      </c>
      <c r="F49" s="295">
        <f>(F42/F24)*100</f>
        <v>34.043980256549304</v>
      </c>
      <c r="G49" s="296">
        <f>(G42/G24)*100</f>
        <v>2.5570990482231459</v>
      </c>
      <c r="H49" s="295">
        <f>(H42/H24)*100</f>
        <v>23.205806163625347</v>
      </c>
      <c r="J49" s="267"/>
      <c r="K49" s="267"/>
      <c r="L49" s="267"/>
      <c r="M49" s="267"/>
      <c r="N49" s="267"/>
      <c r="O49" s="267"/>
      <c r="P49" s="267"/>
      <c r="Q49" s="267"/>
      <c r="R49" s="267"/>
    </row>
    <row r="50" s="193" customFormat="1" ht="60">
      <c r="A50" s="294" t="s">
        <v>536</v>
      </c>
      <c r="B50" s="295">
        <f>(B8/B11)*100</f>
        <v>25.9631625764798</v>
      </c>
      <c r="C50" s="295">
        <f>(C8/C11)*100</f>
        <v>-3.1283591395036199</v>
      </c>
      <c r="D50" s="296">
        <f>(D8/D11)*100</f>
        <v>33.4158130150727</v>
      </c>
      <c r="E50" s="295">
        <f>(E8/E11)*100</f>
        <v>39.299606336238803</v>
      </c>
      <c r="F50" s="296">
        <f>(F8/F11)*100</f>
        <v>-1.98318067734201</v>
      </c>
      <c r="G50" s="295">
        <f>(G8/G11)*100</f>
        <v>-622.71370521394397</v>
      </c>
      <c r="H50" s="295">
        <f>(H8/H11)*100</f>
        <v>12.360329644902199</v>
      </c>
      <c r="J50" s="297"/>
      <c r="K50" s="297"/>
      <c r="L50" s="297"/>
      <c r="M50" s="297"/>
      <c r="N50" s="297"/>
      <c r="O50" s="297"/>
      <c r="P50" s="297"/>
      <c r="Q50" s="297"/>
      <c r="R50" s="297"/>
    </row>
    <row r="51" ht="15">
      <c r="A51" s="298" t="s">
        <v>537</v>
      </c>
      <c r="B51" s="299">
        <f>Q5</f>
        <v>-20.270821911941301</v>
      </c>
      <c r="C51" s="299">
        <f>T5</f>
        <v>13.1418876225866</v>
      </c>
      <c r="D51" s="300">
        <f>W5</f>
        <v>3.2126526197922098</v>
      </c>
      <c r="E51" s="300">
        <f>Z5</f>
        <v>-12.760483385522001</v>
      </c>
      <c r="F51" s="300">
        <f>AC5</f>
        <v>65.239371271331194</v>
      </c>
      <c r="G51" s="300">
        <f>AF5</f>
        <v>-7.0769344561151399</v>
      </c>
      <c r="H51" s="300"/>
    </row>
    <row r="53" ht="15">
      <c r="A53" s="301" t="s">
        <v>538</v>
      </c>
      <c r="B53" s="302"/>
      <c r="C53" s="302"/>
      <c r="D53" s="302"/>
      <c r="E53" s="302"/>
      <c r="F53" s="302"/>
      <c r="G53" s="302"/>
      <c r="H53" s="302"/>
      <c r="I53" s="302"/>
      <c r="J53" s="302"/>
      <c r="K53" s="302"/>
      <c r="L53" s="302"/>
      <c r="M53" s="302"/>
      <c r="N53" s="302"/>
    </row>
    <row r="54" ht="30">
      <c r="A54" s="303" t="s">
        <v>177</v>
      </c>
      <c r="B54" s="303" t="s">
        <v>320</v>
      </c>
      <c r="C54" s="303" t="s">
        <v>321</v>
      </c>
      <c r="D54" s="303" t="s">
        <v>433</v>
      </c>
      <c r="E54" s="303" t="s">
        <v>322</v>
      </c>
      <c r="F54" s="303" t="s">
        <v>433</v>
      </c>
      <c r="G54" s="303" t="s">
        <v>323</v>
      </c>
      <c r="H54" s="303" t="s">
        <v>433</v>
      </c>
      <c r="I54" s="303" t="s">
        <v>324</v>
      </c>
      <c r="J54" s="303" t="s">
        <v>433</v>
      </c>
      <c r="K54" s="303" t="s">
        <v>325</v>
      </c>
      <c r="L54" s="303" t="s">
        <v>433</v>
      </c>
      <c r="M54" s="303" t="s">
        <v>326</v>
      </c>
      <c r="N54" s="303" t="s">
        <v>433</v>
      </c>
    </row>
    <row r="55" ht="15">
      <c r="A55" s="304" t="s">
        <v>69</v>
      </c>
      <c r="B55" s="305">
        <f>'2'!C9</f>
        <v>8231947</v>
      </c>
      <c r="C55" s="305">
        <f>'2'!D9</f>
        <v>12538794</v>
      </c>
      <c r="D55" s="306">
        <f>(B55-C55)/C55*100</f>
        <v>-34.348175749597608</v>
      </c>
      <c r="E55" s="305">
        <f>'2'!E9</f>
        <v>11219563</v>
      </c>
      <c r="F55" s="306">
        <f>(C55-E55)/E55*100</f>
        <v>11.758310016174427</v>
      </c>
      <c r="G55" s="305">
        <f>'2'!F9</f>
        <v>10315813</v>
      </c>
      <c r="H55" s="306">
        <f>(E55-G55)/G55*100</f>
        <v>8.7608218566970919</v>
      </c>
      <c r="I55" s="305">
        <f>'2'!G9</f>
        <v>15397614</v>
      </c>
      <c r="J55" s="306">
        <f>(G55-I55)/I55*100</f>
        <v>-33.003821241394931</v>
      </c>
      <c r="K55" s="305">
        <f>'2'!H9</f>
        <v>7194019</v>
      </c>
      <c r="L55" s="306">
        <f>(I55-K55)/K55*100</f>
        <v>114.033546477984</v>
      </c>
      <c r="M55" s="305">
        <f>'2'!I9</f>
        <v>7798712</v>
      </c>
      <c r="N55" s="306">
        <f>(K55-M55)/M55*100</f>
        <v>-7.7537547225747012</v>
      </c>
    </row>
    <row r="56" ht="15">
      <c r="A56" s="304" t="s">
        <v>539</v>
      </c>
      <c r="B56" s="305">
        <f>'2'!C12</f>
        <v>3307612</v>
      </c>
      <c r="C56" s="305">
        <f>'2'!D12</f>
        <v>7410412</v>
      </c>
      <c r="D56" s="306">
        <f>(B56-C56)/C56*100</f>
        <v>-55.36534270969009</v>
      </c>
      <c r="E56" s="305">
        <f>'2'!E12</f>
        <v>6686161</v>
      </c>
      <c r="F56" s="306">
        <f>(C56-E56)/E56*100</f>
        <v>10.832090343023449</v>
      </c>
      <c r="G56" s="305">
        <f>'2'!F12</f>
        <v>5699146</v>
      </c>
      <c r="H56" s="306">
        <f>(E56-G56)/G56*100</f>
        <v>17.318647390328305</v>
      </c>
      <c r="I56" s="305">
        <f>'2'!G12</f>
        <v>11619881</v>
      </c>
      <c r="J56" s="306">
        <f>(G56-I56)/I56*100</f>
        <v>-50.953490831790795</v>
      </c>
      <c r="K56" s="305">
        <f>'2'!H12</f>
        <v>4087105</v>
      </c>
      <c r="L56" s="306">
        <f>(I56-K56)/K56*100</f>
        <v>184.30590846087881</v>
      </c>
      <c r="M56" s="305">
        <f>'2'!I12</f>
        <v>4465505</v>
      </c>
      <c r="N56" s="306">
        <f>(K56-M56)/M56*100</f>
        <v>-8.4738456232833688</v>
      </c>
    </row>
    <row r="57" ht="15">
      <c r="A57" s="304" t="s">
        <v>540</v>
      </c>
      <c r="B57" s="305">
        <f>'2'!C25</f>
        <v>3687983</v>
      </c>
      <c r="C57" s="305">
        <f>'2'!D25</f>
        <v>4745980</v>
      </c>
      <c r="D57" s="306">
        <f>(B57-C57)/C57*100</f>
        <v>-22.292487536820634</v>
      </c>
      <c r="E57" s="305">
        <f>'2'!E25</f>
        <v>8056307</v>
      </c>
      <c r="F57" s="306">
        <f>(C57-E57)/E57*100</f>
        <v>-41.089881505260415</v>
      </c>
      <c r="G57" s="305">
        <f>'2'!F25</f>
        <v>7458998</v>
      </c>
      <c r="H57" s="306">
        <f>(E57-G57)/G57*100</f>
        <v>8.0078986480489736</v>
      </c>
      <c r="I57" s="305">
        <f>'2'!G25</f>
        <v>9074394</v>
      </c>
      <c r="J57" s="306">
        <f>(G57-I57)/I57*100</f>
        <v>-17.801695628380255</v>
      </c>
      <c r="K57" s="305">
        <f>'2'!H25</f>
        <v>412488</v>
      </c>
      <c r="L57" s="306">
        <f>(I57-K57)/K57*100</f>
        <v>2099.9170884971199</v>
      </c>
      <c r="M57" s="305">
        <f>'2'!I25</f>
        <v>4028440</v>
      </c>
      <c r="N57" s="306">
        <f>(K57-M57)/M57*100</f>
        <v>-89.760602118934372</v>
      </c>
    </row>
    <row r="58" ht="15">
      <c r="A58" s="307" t="s">
        <v>541</v>
      </c>
      <c r="B58" s="305">
        <f>B59+544656</f>
        <v>5012178</v>
      </c>
      <c r="C58" s="305">
        <f>C59+604109</f>
        <v>7835720</v>
      </c>
      <c r="D58" s="306">
        <f>(B58-C58)/C58*100</f>
        <v>-36.034238078951262</v>
      </c>
      <c r="E58" s="305">
        <f>E59+632140</f>
        <v>11002941</v>
      </c>
      <c r="F58" s="306">
        <f>(C58-E58)/E58*100</f>
        <v>-28.785222060174636</v>
      </c>
      <c r="G58" s="305"/>
      <c r="H58" s="306" t="e">
        <f>(E58-G58)/G58*100</f>
        <v>#DIV/0!</v>
      </c>
      <c r="I58" s="305">
        <f>I59+547376</f>
        <v>12818622</v>
      </c>
      <c r="J58" s="306">
        <f>(G58-I58)/I58*100</f>
        <v>-100</v>
      </c>
      <c r="K58" s="305">
        <f>K59+457835</f>
        <v>1453828</v>
      </c>
      <c r="L58" s="306">
        <f>(I58-K58)/K58*100</f>
        <v>781.71516850686601</v>
      </c>
      <c r="M58" s="305">
        <f>M59+438248</f>
        <v>5953314</v>
      </c>
      <c r="N58" s="306">
        <f>(K58-M58)/M58*100</f>
        <v>-75.579517559463511</v>
      </c>
    </row>
    <row r="59" ht="15">
      <c r="A59" s="307" t="s">
        <v>542</v>
      </c>
      <c r="B59" s="305">
        <f>B60-'2'!C16</f>
        <v>4467522</v>
      </c>
      <c r="C59" s="305">
        <f>C60-'2'!D16</f>
        <v>7231611</v>
      </c>
      <c r="D59" s="306">
        <f>(B59-C59)/C59*100</f>
        <v>-38.22231311944185</v>
      </c>
      <c r="E59" s="305">
        <f>E60-'2'!E16</f>
        <v>10370801</v>
      </c>
      <c r="F59" s="306">
        <f>(C59-E59)/E59*100</f>
        <v>-30.269503773141537</v>
      </c>
      <c r="G59" s="305">
        <f>G60-'2'!F16</f>
        <v>10163435</v>
      </c>
      <c r="H59" s="306">
        <f>(E59-G59)/G59*100</f>
        <v>2.0403141260804047</v>
      </c>
      <c r="I59" s="305">
        <f>I60-'2'!G16</f>
        <v>12271246</v>
      </c>
      <c r="J59" s="306">
        <f>(G59-I59)/I59*100</f>
        <v>-17.176829475996161</v>
      </c>
      <c r="K59" s="305">
        <f>K60-'2'!H16</f>
        <v>995993</v>
      </c>
      <c r="L59" s="306">
        <f>(I59-K59)/K59*100</f>
        <v>1132.0614703115384</v>
      </c>
      <c r="M59" s="305">
        <f>M60-'2'!I16</f>
        <v>5515066</v>
      </c>
      <c r="N59" s="306">
        <f>(K59-M59)/M59*100</f>
        <v>-81.940506242355042</v>
      </c>
    </row>
    <row r="60" ht="15">
      <c r="A60" s="307" t="s">
        <v>543</v>
      </c>
      <c r="B60" s="305">
        <f>'2'!C19</f>
        <v>4467522</v>
      </c>
      <c r="C60" s="305">
        <f>'2'!D19</f>
        <v>7185620</v>
      </c>
      <c r="D60" s="306">
        <f>(B60-C60)/C60*100</f>
        <v>-37.826909856073662</v>
      </c>
      <c r="E60" s="305">
        <f>'2'!E19</f>
        <v>10041665</v>
      </c>
      <c r="F60" s="306">
        <f>(C60-E60)/E60*100</f>
        <v>-28.441946629368736</v>
      </c>
      <c r="G60" s="305">
        <f>'2'!F19</f>
        <v>9388977</v>
      </c>
      <c r="H60" s="306">
        <f>(E60-G60)/G60*100</f>
        <v>6.9516412703961254</v>
      </c>
      <c r="I60" s="305">
        <f>'2'!G19</f>
        <v>11393919</v>
      </c>
      <c r="J60" s="306">
        <f>(G60-I60)/I60*100</f>
        <v>-17.596596921568423</v>
      </c>
      <c r="K60" s="305">
        <f>'2'!H19</f>
        <v>565522</v>
      </c>
      <c r="L60" s="306">
        <f>(I60-K60)/K60*100</f>
        <v>1914.7614062759715</v>
      </c>
      <c r="M60" s="305">
        <f>'2'!I19</f>
        <v>5095301</v>
      </c>
      <c r="N60" s="306">
        <f>(K60-M60)/M60*100</f>
        <v>-88.901107118107447</v>
      </c>
    </row>
    <row r="61" ht="15">
      <c r="A61" s="307" t="s">
        <v>544</v>
      </c>
      <c r="B61" s="305"/>
      <c r="C61" s="305"/>
      <c r="D61" s="306" t="e">
        <f>(B61-C61)/C61*100</f>
        <v>#DIV/0!</v>
      </c>
      <c r="E61" s="305"/>
      <c r="F61" s="306" t="e">
        <f>(C61-E61)/E61*100</f>
        <v>#DIV/0!</v>
      </c>
      <c r="G61" s="305"/>
      <c r="H61" s="306" t="e">
        <f>(E61-G61)/G61*100</f>
        <v>#DIV/0!</v>
      </c>
      <c r="I61" s="305"/>
      <c r="J61" s="306" t="e">
        <f>(G61-I61)/I61*100</f>
        <v>#DIV/0!</v>
      </c>
      <c r="K61" s="305"/>
      <c r="L61" s="306" t="e">
        <f>(I61-K61)/K61*100</f>
        <v>#DIV/0!</v>
      </c>
      <c r="M61" s="305"/>
      <c r="N61" s="306" t="e">
        <f>(K61-M61)/M61*100</f>
        <v>#DIV/0!</v>
      </c>
    </row>
    <row r="62" ht="15">
      <c r="A62" s="307" t="s">
        <v>545</v>
      </c>
      <c r="B62" s="308"/>
      <c r="C62" s="308"/>
      <c r="D62" s="306" t="e">
        <f>(B62-C62)/C62*100</f>
        <v>#DIV/0!</v>
      </c>
      <c r="E62" s="308"/>
      <c r="F62" s="306" t="e">
        <f>(C62-E62)/E62*100</f>
        <v>#DIV/0!</v>
      </c>
      <c r="G62" s="308"/>
      <c r="H62" s="306" t="e">
        <f>(E62-G62)/G62*100</f>
        <v>#DIV/0!</v>
      </c>
      <c r="I62" s="308"/>
      <c r="J62" s="306" t="e">
        <f>(G62-I62)/I62*100</f>
        <v>#DIV/0!</v>
      </c>
      <c r="K62" s="308"/>
      <c r="L62" s="306" t="e">
        <f>(I62-K62)/K62*100</f>
        <v>#DIV/0!</v>
      </c>
      <c r="M62" s="308"/>
      <c r="N62" s="306" t="e">
        <f>(K62-M62)/M62*100</f>
        <v>#DIV/0!</v>
      </c>
    </row>
    <row r="63" ht="12.75">
      <c r="A63" s="309"/>
      <c r="B63" s="310"/>
      <c r="C63" s="310"/>
      <c r="D63" s="310"/>
      <c r="E63" s="310"/>
      <c r="F63" s="310"/>
      <c r="G63" s="310"/>
      <c r="H63" s="310"/>
      <c r="I63" s="310"/>
      <c r="J63" s="310"/>
      <c r="K63" s="310"/>
      <c r="L63" s="310"/>
      <c r="M63" s="310"/>
      <c r="N63" s="310"/>
    </row>
    <row r="64" ht="12.75">
      <c r="A64" s="311" t="s">
        <v>472</v>
      </c>
      <c r="B64" s="312"/>
      <c r="C64" s="312"/>
      <c r="D64" s="312"/>
      <c r="E64" s="312"/>
      <c r="F64" s="312"/>
      <c r="G64" s="312"/>
      <c r="H64" s="312"/>
      <c r="I64" s="312"/>
      <c r="J64" s="312"/>
      <c r="K64" s="312"/>
      <c r="L64" s="312"/>
      <c r="M64" s="312"/>
      <c r="N64" s="312"/>
    </row>
    <row r="65" ht="12.75">
      <c r="A65" s="311"/>
      <c r="B65" s="312"/>
      <c r="C65" s="312"/>
      <c r="D65" s="312"/>
      <c r="E65" s="312"/>
      <c r="F65" s="312"/>
      <c r="G65" s="312"/>
      <c r="H65" s="312"/>
      <c r="I65" s="312"/>
      <c r="J65" s="312"/>
      <c r="K65" s="312"/>
      <c r="L65" s="312"/>
      <c r="M65" s="312"/>
      <c r="N65" s="312"/>
    </row>
    <row r="66" ht="12.75">
      <c r="A66" s="311"/>
      <c r="B66" s="312"/>
      <c r="C66" s="312"/>
      <c r="D66" s="312"/>
      <c r="E66" s="312"/>
      <c r="F66" s="312"/>
      <c r="G66" s="312"/>
      <c r="H66" s="312"/>
      <c r="I66" s="312"/>
      <c r="J66" s="312"/>
      <c r="K66" s="312"/>
      <c r="L66" s="312"/>
      <c r="M66" s="312"/>
      <c r="N66" s="312"/>
    </row>
    <row r="67" ht="12.75">
      <c r="A67" s="309"/>
      <c r="B67" s="312"/>
      <c r="C67" s="312"/>
      <c r="D67" s="312"/>
      <c r="E67" s="312"/>
      <c r="F67" s="312"/>
      <c r="G67" s="312"/>
      <c r="H67" s="312"/>
      <c r="I67" s="312"/>
      <c r="J67" s="312"/>
      <c r="K67" s="312"/>
      <c r="L67" s="312"/>
      <c r="M67" s="312"/>
      <c r="N67" s="312"/>
    </row>
    <row r="68" ht="12.75">
      <c r="A68" s="309"/>
      <c r="B68" s="312"/>
      <c r="C68" s="312"/>
      <c r="D68" s="312"/>
      <c r="E68" s="312"/>
      <c r="F68" s="312"/>
      <c r="G68" s="312"/>
      <c r="H68" s="312"/>
      <c r="I68" s="312"/>
      <c r="J68" s="312"/>
      <c r="K68" s="312"/>
      <c r="L68" s="312"/>
      <c r="M68" s="312"/>
      <c r="N68" s="312"/>
    </row>
  </sheetData>
  <mergeCells count="20">
    <mergeCell ref="A2:A4"/>
    <mergeCell ref="B2:H3"/>
    <mergeCell ref="I2:O3"/>
    <mergeCell ref="P2:AG2"/>
    <mergeCell ref="P3:R3"/>
    <mergeCell ref="S3:U3"/>
    <mergeCell ref="V3:X3"/>
    <mergeCell ref="Y3:AA3"/>
    <mergeCell ref="AB3:AD3"/>
    <mergeCell ref="AE3:AG3"/>
    <mergeCell ref="A17:A19"/>
    <mergeCell ref="B17:O19"/>
    <mergeCell ref="A23:H23"/>
    <mergeCell ref="J27:U35"/>
    <mergeCell ref="A30:H30"/>
    <mergeCell ref="I30:I32"/>
    <mergeCell ref="I46:I47"/>
    <mergeCell ref="J46:R49"/>
    <mergeCell ref="A64:A66"/>
    <mergeCell ref="B64:N68"/>
  </mergeCells>
  <printOptions headings="0" gridLines="0" horizontalCentered="0" verticalCentered="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7030A0"/>
    <outlinePr applyStyles="0" summaryBelow="1" summaryRight="1" showOutlineSymbols="1"/>
    <pageSetUpPr autoPageBreaks="1" fitToPage="1"/>
  </sheetPr>
  <sheetViews>
    <sheetView showFormulas="0" showGridLines="1" showRowColHeaders="1" showZeros="1" rightToLeft="0" view="normal" topLeftCell="F62" zoomScale="75" workbookViewId="0">
      <selection activeCell="A96" activeCellId="0" sqref="A96"/>
    </sheetView>
  </sheetViews>
  <sheetFormatPr defaultColWidth="15.5625" defaultRowHeight="12.75"/>
  <cols>
    <col customWidth="1" min="1" max="1" style="64" width="49.670000000000002"/>
    <col customWidth="1" min="2" max="8" style="64" width="22.559999999999999"/>
    <col customWidth="1" min="9" max="9" style="64" width="20.879999999999999"/>
    <col customWidth="1" min="10" max="10" style="64" width="19.670000000000002"/>
    <col customWidth="1" min="11" max="11" style="64" width="172.7109375"/>
    <col customWidth="0" min="12" max="16384" style="64" width="15.56"/>
  </cols>
  <sheetData>
    <row r="1" ht="15">
      <c r="A1" s="66" t="s">
        <v>546</v>
      </c>
    </row>
    <row r="2" ht="15">
      <c r="A2" s="313"/>
      <c r="B2" s="313"/>
      <c r="C2" s="313"/>
      <c r="D2" s="199"/>
    </row>
    <row r="3" s="66" customFormat="1" ht="15">
      <c r="A3" s="314" t="s">
        <v>547</v>
      </c>
      <c r="B3" s="314"/>
      <c r="C3" s="314"/>
      <c r="D3" s="192"/>
    </row>
    <row r="4" ht="15">
      <c r="A4" s="66" t="s">
        <v>548</v>
      </c>
    </row>
    <row r="5" ht="15">
      <c r="A5" s="285" t="s">
        <v>177</v>
      </c>
      <c r="B5" s="315" t="str">
        <f>аб!C4</f>
        <v>31.12.2019</v>
      </c>
      <c r="C5" s="315" t="str">
        <f>аб!D4</f>
        <v>31.12.2018</v>
      </c>
      <c r="D5" s="315" t="str">
        <f>аб!E4</f>
        <v>31.12.2017</v>
      </c>
      <c r="E5" s="315" t="str">
        <f>аб!F4</f>
        <v>31.12.2016</v>
      </c>
      <c r="F5" s="315" t="str">
        <f>аб!G4</f>
        <v>31.12.2015</v>
      </c>
      <c r="G5" s="315" t="str">
        <f>аб!H4</f>
        <v>31.12.2014</v>
      </c>
      <c r="H5" s="315" t="str">
        <f>аб!I4</f>
        <v>31.12.2013</v>
      </c>
      <c r="I5" s="315" t="str">
        <f>аб!J4</f>
        <v>31.12.2012</v>
      </c>
    </row>
    <row r="6" ht="15">
      <c r="A6" s="316" t="s">
        <v>549</v>
      </c>
      <c r="B6" s="317">
        <f>'1'!C37-'1'!C15</f>
        <v>20765593</v>
      </c>
      <c r="C6" s="317">
        <f>'1'!D37-'1'!D15</f>
        <v>31272985</v>
      </c>
      <c r="D6" s="317">
        <f>'1'!E37-'1'!E15</f>
        <v>27814318</v>
      </c>
      <c r="E6" s="317">
        <f>'1'!F37-'1'!F15</f>
        <v>32183140</v>
      </c>
      <c r="F6" s="317">
        <f>'1'!G37-'1'!G15</f>
        <v>24377915</v>
      </c>
      <c r="G6" s="317">
        <f>'1'!H37-'1'!H15</f>
        <v>14928684</v>
      </c>
      <c r="H6" s="317">
        <f>'1'!I37-'1'!I15</f>
        <v>9785386</v>
      </c>
      <c r="I6" s="317">
        <f>'1'!J37-'1'!J15</f>
        <v>3262248</v>
      </c>
    </row>
    <row r="7" ht="30">
      <c r="A7" s="316" t="s">
        <v>550</v>
      </c>
      <c r="B7" s="317">
        <f>0.1*'1'!C25</f>
        <v>2852850.7000000002</v>
      </c>
      <c r="C7" s="317">
        <f>0.1*'1'!D25</f>
        <v>3410548.1000000001</v>
      </c>
      <c r="D7" s="317">
        <f>0.1*'1'!E25</f>
        <v>3189282.5</v>
      </c>
      <c r="E7" s="317">
        <f>0.1*'1'!F25</f>
        <v>4940096.5999999996</v>
      </c>
      <c r="F7" s="317">
        <f>0.1*'1'!G25</f>
        <v>3971498.1000000001</v>
      </c>
      <c r="G7" s="317">
        <f>0.1*'1'!H25</f>
        <v>3523729.6000000001</v>
      </c>
      <c r="H7" s="317">
        <f>0.1*'1'!I25</f>
        <v>1724500.1000000001</v>
      </c>
      <c r="I7" s="317">
        <f>0.1*'1'!J25</f>
        <v>1097197.1000000001</v>
      </c>
    </row>
    <row r="8" ht="15">
      <c r="A8" s="318" t="s">
        <v>551</v>
      </c>
      <c r="B8" s="319">
        <f>B6-B7</f>
        <v>17912742.300000001</v>
      </c>
      <c r="C8" s="319">
        <f>C6-C7</f>
        <v>27862436.899999999</v>
      </c>
      <c r="D8" s="319">
        <f>D6-D7</f>
        <v>24625035.5</v>
      </c>
      <c r="E8" s="319">
        <f>E6-E7</f>
        <v>27243043.399999999</v>
      </c>
      <c r="F8" s="319">
        <f>F6-F7</f>
        <v>20406416.899999999</v>
      </c>
      <c r="G8" s="319">
        <f>G6-G7</f>
        <v>11404954.4</v>
      </c>
      <c r="H8" s="319">
        <f>H6-H7</f>
        <v>8060885.9000000004</v>
      </c>
      <c r="I8" s="319">
        <f>I6-I7</f>
        <v>2165050.8999999999</v>
      </c>
    </row>
    <row r="9" ht="15">
      <c r="A9" s="320" t="s">
        <v>552</v>
      </c>
      <c r="B9" s="321">
        <f>'1'!C37-'1'!C15</f>
        <v>20765593</v>
      </c>
      <c r="C9" s="321">
        <f>'1'!D37-'1'!D15</f>
        <v>31272985</v>
      </c>
      <c r="D9" s="321">
        <f>'1'!E37-'1'!E15</f>
        <v>27814318</v>
      </c>
      <c r="E9" s="321">
        <f>'1'!F37-'1'!F15</f>
        <v>32183140</v>
      </c>
      <c r="F9" s="321">
        <f>'1'!G37-'1'!G15</f>
        <v>24377915</v>
      </c>
      <c r="G9" s="321">
        <f>'1'!H37-'1'!H15</f>
        <v>14928684</v>
      </c>
      <c r="H9" s="321">
        <f>'1'!I37-'1'!I15</f>
        <v>9785386</v>
      </c>
      <c r="I9" s="321">
        <f>'1'!J37-'1'!J15</f>
        <v>3262248</v>
      </c>
    </row>
    <row r="10" ht="15">
      <c r="A10" s="316" t="s">
        <v>553</v>
      </c>
      <c r="B10" s="317">
        <f>'1'!C17+'1'!C18</f>
        <v>3392526</v>
      </c>
      <c r="C10" s="317">
        <f>'1'!D17+'1'!D18</f>
        <v>2470424</v>
      </c>
      <c r="D10" s="317">
        <f>'1'!E17+'1'!E18</f>
        <v>3143913</v>
      </c>
      <c r="E10" s="317">
        <f>'1'!F17+'1'!F18</f>
        <v>2369731</v>
      </c>
      <c r="F10" s="317">
        <f>'1'!G17+'1'!G18</f>
        <v>2404485</v>
      </c>
      <c r="G10" s="317">
        <f>'1'!H17+'1'!H18</f>
        <v>1880186</v>
      </c>
      <c r="H10" s="317">
        <f>'1'!I17+'1'!I18</f>
        <v>1702409</v>
      </c>
      <c r="I10" s="317">
        <f>'1'!J17+'1'!J18</f>
        <v>1854584</v>
      </c>
    </row>
    <row r="11" ht="30">
      <c r="A11" s="316" t="s">
        <v>554</v>
      </c>
      <c r="B11" s="317">
        <f>B9-B10</f>
        <v>17373067</v>
      </c>
      <c r="C11" s="317">
        <f>C9-C10</f>
        <v>28802561</v>
      </c>
      <c r="D11" s="317">
        <f>D9-D10</f>
        <v>24670405</v>
      </c>
      <c r="E11" s="317">
        <f>E9-E10</f>
        <v>29813409</v>
      </c>
      <c r="F11" s="317">
        <f>F9-F10</f>
        <v>21973430</v>
      </c>
      <c r="G11" s="317">
        <f>G9-G10</f>
        <v>13048498</v>
      </c>
      <c r="H11" s="317">
        <f>H9-H10</f>
        <v>8082977</v>
      </c>
      <c r="I11" s="317">
        <f>I9-I10</f>
        <v>1407664</v>
      </c>
    </row>
    <row r="12" ht="30">
      <c r="A12" s="318" t="s">
        <v>555</v>
      </c>
      <c r="B12" s="322">
        <f>(B9/B10)*100</f>
        <v>612.09827131759596</v>
      </c>
      <c r="C12" s="322">
        <f>(C9/C10)*100</f>
        <v>1265.89544952607</v>
      </c>
      <c r="D12" s="322">
        <f>(D9/D10)*100</f>
        <v>884.70380700738201</v>
      </c>
      <c r="E12" s="322">
        <f>(E9/E10)*100</f>
        <v>1358.0925429932799</v>
      </c>
      <c r="F12" s="322">
        <f>(F9/F10)*100</f>
        <v>1013.85182273959</v>
      </c>
      <c r="G12" s="322">
        <f>(G9/G10)*100</f>
        <v>794.00038081338801</v>
      </c>
      <c r="H12" s="322">
        <f>(H9/H10)*100</f>
        <v>574.79642083659098</v>
      </c>
      <c r="I12" s="322">
        <f>(I9/I10)*100</f>
        <v>175.90187341204299</v>
      </c>
    </row>
    <row r="13" ht="30">
      <c r="A13" s="320" t="s">
        <v>556</v>
      </c>
      <c r="B13" s="321">
        <f>B9+'1'!C43</f>
        <v>21440754</v>
      </c>
      <c r="C13" s="321">
        <f>C9+'1'!D43</f>
        <v>31824926</v>
      </c>
      <c r="D13" s="321">
        <f>D9+'1'!E43</f>
        <v>28234052</v>
      </c>
      <c r="E13" s="321">
        <f>E9+'1'!F43</f>
        <v>35444543</v>
      </c>
      <c r="F13" s="321">
        <f>F9+'1'!G43</f>
        <v>35585678</v>
      </c>
      <c r="G13" s="321">
        <f>G9+'1'!H43</f>
        <v>23558971</v>
      </c>
      <c r="H13" s="321">
        <f>H9+'1'!I43</f>
        <v>14819135</v>
      </c>
      <c r="I13" s="321">
        <f>I9+'1'!J43</f>
        <v>8830326</v>
      </c>
    </row>
    <row r="14" ht="15">
      <c r="A14" s="316" t="s">
        <v>26</v>
      </c>
      <c r="B14" s="317">
        <f>'1'!C17</f>
        <v>3359236</v>
      </c>
      <c r="C14" s="317">
        <f>'1'!D17</f>
        <v>2454097</v>
      </c>
      <c r="D14" s="317">
        <f>'1'!E17</f>
        <v>2594147</v>
      </c>
      <c r="E14" s="317">
        <f>'1'!F17</f>
        <v>2183513</v>
      </c>
      <c r="F14" s="317">
        <f>'1'!G17</f>
        <v>1971564</v>
      </c>
      <c r="G14" s="317">
        <f>'1'!H17</f>
        <v>1667298</v>
      </c>
      <c r="H14" s="317">
        <f>'1'!I17</f>
        <v>1505696</v>
      </c>
      <c r="I14" s="317">
        <f>'1'!J17</f>
        <v>1811263</v>
      </c>
    </row>
    <row r="15" ht="30">
      <c r="A15" s="316" t="s">
        <v>554</v>
      </c>
      <c r="B15" s="317">
        <f>B13-B10</f>
        <v>18048228</v>
      </c>
      <c r="C15" s="317">
        <f>C13-C10</f>
        <v>29354502</v>
      </c>
      <c r="D15" s="317">
        <f>D13-D10</f>
        <v>25090139</v>
      </c>
      <c r="E15" s="317">
        <f>E13-E10</f>
        <v>33074812</v>
      </c>
      <c r="F15" s="317">
        <f>F13-F10</f>
        <v>33181193</v>
      </c>
      <c r="G15" s="317">
        <f>G13-G10</f>
        <v>21678785</v>
      </c>
      <c r="H15" s="317">
        <f>H13-H10</f>
        <v>13116726</v>
      </c>
      <c r="I15" s="317">
        <f>I13-I10</f>
        <v>6975742</v>
      </c>
    </row>
    <row r="16" ht="33.75" customHeight="1">
      <c r="A16" s="318" t="s">
        <v>557</v>
      </c>
      <c r="B16" s="323">
        <f>(B13/B14)*100</f>
        <v>638.26280737643901</v>
      </c>
      <c r="C16" s="323">
        <f>(C13/C14)*100</f>
        <v>1296.8079908821901</v>
      </c>
      <c r="D16" s="323">
        <f>(D13/D14)*100</f>
        <v>1088.37517688859</v>
      </c>
      <c r="E16" s="323">
        <f>(E13/E14)*100</f>
        <v>1623.2806033213501</v>
      </c>
      <c r="F16" s="323">
        <f>(F13/F14)*100</f>
        <v>1804.9466312024399</v>
      </c>
      <c r="G16" s="323">
        <f>(G13/G14)*100</f>
        <v>1413.0030144581201</v>
      </c>
      <c r="H16" s="323">
        <f>(H13/H14)*100</f>
        <v>984.20497895989604</v>
      </c>
      <c r="I16" s="323">
        <f>(I13/I14)*100</f>
        <v>487.52312612801097</v>
      </c>
    </row>
    <row r="17" ht="33" customHeight="1">
      <c r="A17" s="320" t="s">
        <v>558</v>
      </c>
      <c r="B17" s="321">
        <f>'1'!C37+'1'!C43+'1'!C46</f>
        <v>47911206</v>
      </c>
      <c r="C17" s="321">
        <f>'1'!D37+'1'!D43+'1'!D46</f>
        <v>48323294</v>
      </c>
      <c r="D17" s="321">
        <f>'1'!E37+'1'!E43+'1'!E46</f>
        <v>50013616</v>
      </c>
      <c r="E17" s="321">
        <f>'1'!F37+'1'!F43+'1'!F46</f>
        <v>47528037</v>
      </c>
      <c r="F17" s="321">
        <f>'1'!G37+'1'!G43+'1'!G46</f>
        <v>50070293</v>
      </c>
      <c r="G17" s="321">
        <f>'1'!H37+'1'!H43+'1'!H46</f>
        <v>36767220</v>
      </c>
      <c r="H17" s="321">
        <f>'1'!I37+'1'!I43+'1'!I46</f>
        <v>32612383</v>
      </c>
      <c r="I17" s="321">
        <f>'1'!J37+'1'!J43+'1'!J46</f>
        <v>29067499</v>
      </c>
    </row>
    <row r="18" ht="15">
      <c r="A18" s="316" t="s">
        <v>26</v>
      </c>
      <c r="B18" s="317">
        <f>B14</f>
        <v>3359236</v>
      </c>
      <c r="C18" s="317">
        <f>C14</f>
        <v>2454097</v>
      </c>
      <c r="D18" s="317">
        <f>D14</f>
        <v>2594147</v>
      </c>
      <c r="E18" s="317">
        <f>E14</f>
        <v>2183513</v>
      </c>
      <c r="F18" s="317">
        <f>F14</f>
        <v>1971564</v>
      </c>
      <c r="G18" s="317">
        <f>G14</f>
        <v>1667298</v>
      </c>
      <c r="H18" s="317">
        <f>H14</f>
        <v>1505696</v>
      </c>
      <c r="I18" s="317">
        <f>I14</f>
        <v>1811263</v>
      </c>
    </row>
    <row r="19" ht="30">
      <c r="A19" s="316" t="s">
        <v>554</v>
      </c>
      <c r="B19" s="317">
        <f>B17-B18</f>
        <v>44551970</v>
      </c>
      <c r="C19" s="317">
        <f>C17-C18</f>
        <v>45869197</v>
      </c>
      <c r="D19" s="317">
        <f>D17-D18</f>
        <v>47419469</v>
      </c>
      <c r="E19" s="317">
        <f>E17-E18</f>
        <v>45344524</v>
      </c>
      <c r="F19" s="317">
        <f>F17-F18</f>
        <v>48098729</v>
      </c>
      <c r="G19" s="317">
        <f>G17-G18</f>
        <v>35099922</v>
      </c>
      <c r="H19" s="317">
        <f>H17-H18</f>
        <v>31106687</v>
      </c>
      <c r="I19" s="317">
        <f>I17-I18</f>
        <v>27256236</v>
      </c>
    </row>
    <row r="20" ht="51" customHeight="1">
      <c r="A20" s="318" t="s">
        <v>559</v>
      </c>
      <c r="B20" s="319">
        <f>(B17/B18)*100</f>
        <v>1426.25305277748</v>
      </c>
      <c r="C20" s="319">
        <f>(C17/C18)*100</f>
        <v>1969.08655199856</v>
      </c>
      <c r="D20" s="319">
        <f>(D17/D18)*100</f>
        <v>1927.9407065212599</v>
      </c>
      <c r="E20" s="319">
        <f>(E17/E18)*100</f>
        <v>2176.6775375278298</v>
      </c>
      <c r="F20" s="319">
        <f>(F17/F18)*100</f>
        <v>2539.6230099555501</v>
      </c>
      <c r="G20" s="319">
        <f>(G17/G18)*100</f>
        <v>2205.19787104645</v>
      </c>
      <c r="H20" s="319">
        <f>(H17/H18)*100</f>
        <v>2165.9340929377499</v>
      </c>
      <c r="I20" s="319">
        <f>(I17/I18)*100</f>
        <v>1604.8193442918</v>
      </c>
    </row>
    <row r="21" ht="15"/>
    <row r="22" ht="15">
      <c r="A22" s="66" t="s">
        <v>560</v>
      </c>
    </row>
    <row r="23" ht="15">
      <c r="A23" s="66" t="s">
        <v>561</v>
      </c>
      <c r="G23" s="66"/>
    </row>
    <row r="24" s="33" customFormat="1" ht="15">
      <c r="A24" s="254" t="s">
        <v>6</v>
      </c>
      <c r="B24" s="254" t="s">
        <v>562</v>
      </c>
      <c r="C24" s="324" t="str">
        <f>B5</f>
        <v>31.12.2019</v>
      </c>
      <c r="D24" s="324" t="str">
        <f>C5</f>
        <v>31.12.2018</v>
      </c>
      <c r="E24" s="324" t="str">
        <f>D5</f>
        <v>31.12.2017</v>
      </c>
      <c r="F24" s="324" t="str">
        <f>E5</f>
        <v>31.12.2016</v>
      </c>
      <c r="G24" s="324" t="str">
        <f>F5</f>
        <v>31.12.2015</v>
      </c>
      <c r="H24" s="324" t="str">
        <f>G5</f>
        <v>31.12.2014</v>
      </c>
      <c r="I24" s="324" t="str">
        <f>H5</f>
        <v>31.12.2013</v>
      </c>
      <c r="J24" s="324" t="str">
        <f>I5</f>
        <v>31.12.2012</v>
      </c>
      <c r="K24" s="325" t="s">
        <v>563</v>
      </c>
    </row>
    <row r="25" ht="15">
      <c r="A25" s="171" t="s">
        <v>564</v>
      </c>
      <c r="B25" s="276" t="s">
        <v>436</v>
      </c>
      <c r="C25" s="173">
        <f>'1'!C15</f>
        <v>19653099</v>
      </c>
      <c r="D25" s="173">
        <f>'1'!D15</f>
        <v>14471049</v>
      </c>
      <c r="E25" s="173">
        <f>'1'!E15</f>
        <v>19214316</v>
      </c>
      <c r="F25" s="173">
        <f>'1'!F15</f>
        <v>9072614</v>
      </c>
      <c r="G25" s="173">
        <f>'1'!G15</f>
        <v>10532937</v>
      </c>
      <c r="H25" s="173">
        <f>'1'!H15</f>
        <v>11206796</v>
      </c>
      <c r="I25" s="173">
        <f>'1'!I15</f>
        <v>16120696</v>
      </c>
      <c r="J25" s="173">
        <f>'1'!J15</f>
        <v>18800083</v>
      </c>
      <c r="K25" s="325" t="s">
        <v>565</v>
      </c>
    </row>
    <row r="26" ht="30">
      <c r="A26" s="171" t="s">
        <v>566</v>
      </c>
      <c r="B26" s="276" t="s">
        <v>438</v>
      </c>
      <c r="C26" s="173">
        <f>'1'!C17+'1'!C18+'1'!C24</f>
        <v>4118884</v>
      </c>
      <c r="D26" s="173">
        <f>'1'!D17+'1'!D18+'1'!D24</f>
        <v>2687141</v>
      </c>
      <c r="E26" s="173">
        <f>'1'!E17+'1'!E18+'1'!E24</f>
        <v>3296273</v>
      </c>
      <c r="F26" s="173">
        <f>'1'!F17+'1'!F18+'1'!F24</f>
        <v>2555886</v>
      </c>
      <c r="G26" s="173">
        <f>'1'!G17+'1'!G18+'1'!G24</f>
        <v>2750212</v>
      </c>
      <c r="H26" s="173">
        <f>'1'!H17+'1'!H18+'1'!H24</f>
        <v>2004347</v>
      </c>
      <c r="I26" s="173">
        <f>'1'!I17+'1'!I18+'1'!I24</f>
        <v>1799232</v>
      </c>
      <c r="J26" s="173">
        <f>'1'!J17+'1'!J18+'1'!J24</f>
        <v>1939593</v>
      </c>
      <c r="K26" s="64"/>
    </row>
    <row r="27" ht="45">
      <c r="A27" s="171" t="s">
        <v>567</v>
      </c>
      <c r="B27" s="276" t="s">
        <v>568</v>
      </c>
      <c r="C27" s="173">
        <f>'1'!C19+'1'!C23+'1'!C22</f>
        <v>24409623</v>
      </c>
      <c r="D27" s="173">
        <f>'1'!D19+'1'!D23+'1'!D22</f>
        <v>31418340</v>
      </c>
      <c r="E27" s="173">
        <f>'1'!E19+'1'!E23+'1'!E22</f>
        <v>28596552</v>
      </c>
      <c r="F27" s="173">
        <f>'1'!F19+'1'!F23+'1'!F22</f>
        <v>46845080</v>
      </c>
      <c r="G27" s="173">
        <f>'1'!G19+'1'!G23+'1'!G22</f>
        <v>36964769</v>
      </c>
      <c r="H27" s="173">
        <f>'1'!H19+'1'!H23+'1'!H22</f>
        <v>33232949</v>
      </c>
      <c r="I27" s="173">
        <f>'1'!I19+'1'!I23+'1'!I22</f>
        <v>15445769</v>
      </c>
      <c r="J27" s="173">
        <f>'1'!J19+'1'!J23+'1'!J22</f>
        <v>9032378</v>
      </c>
      <c r="K27" s="64"/>
    </row>
    <row r="28" ht="15">
      <c r="A28" s="326" t="s">
        <v>443</v>
      </c>
      <c r="B28" s="173"/>
      <c r="C28" s="173">
        <f>SUM(C25:C27)</f>
        <v>48181606</v>
      </c>
      <c r="D28" s="173">
        <f>SUM(D25:D27)</f>
        <v>48576530</v>
      </c>
      <c r="E28" s="173">
        <f>SUM(E25:E27)</f>
        <v>51107141</v>
      </c>
      <c r="F28" s="173">
        <f>SUM(F25:F27)</f>
        <v>58473580</v>
      </c>
      <c r="G28" s="173">
        <f>SUM(G25:G27)</f>
        <v>50247918</v>
      </c>
      <c r="H28" s="173">
        <f>SUM(H25:H27)</f>
        <v>46444092</v>
      </c>
      <c r="I28" s="173">
        <f>SUM(I25:I27)</f>
        <v>33365697</v>
      </c>
      <c r="J28" s="173">
        <f>SUM(J25:J27)</f>
        <v>29772054</v>
      </c>
    </row>
    <row r="29" ht="15">
      <c r="A29" s="77"/>
    </row>
    <row r="30" ht="15">
      <c r="A30" s="77"/>
    </row>
    <row r="31" s="33" customFormat="1" ht="15">
      <c r="A31" s="168" t="s">
        <v>36</v>
      </c>
      <c r="B31" s="254" t="s">
        <v>562</v>
      </c>
      <c r="C31" s="324" t="str">
        <f>C24</f>
        <v>31.12.2019</v>
      </c>
      <c r="D31" s="324" t="str">
        <f>D24</f>
        <v>31.12.2018</v>
      </c>
      <c r="E31" s="324" t="str">
        <f>E24</f>
        <v>31.12.2017</v>
      </c>
      <c r="F31" s="324" t="str">
        <f>F24</f>
        <v>31.12.2016</v>
      </c>
      <c r="G31" s="324" t="str">
        <f>G24</f>
        <v>31.12.2015</v>
      </c>
      <c r="H31" s="324" t="str">
        <f>H24</f>
        <v>31.12.2014</v>
      </c>
      <c r="I31" s="324" t="str">
        <f>I24</f>
        <v>31.12.2013</v>
      </c>
      <c r="J31" s="324" t="str">
        <f>J24</f>
        <v>31.12.2012</v>
      </c>
    </row>
    <row r="32" ht="30">
      <c r="A32" s="171" t="s">
        <v>569</v>
      </c>
      <c r="B32" s="276" t="s">
        <v>570</v>
      </c>
      <c r="C32" s="173">
        <f>'1'!C37+'1'!C43+'1'!C47</f>
        <v>41101514</v>
      </c>
      <c r="D32" s="173">
        <f>'1'!D37+'1'!D43+'1'!D47</f>
        <v>46296901</v>
      </c>
      <c r="E32" s="173">
        <f>'1'!E37+'1'!E43+'1'!E47</f>
        <v>47449453</v>
      </c>
      <c r="F32" s="173">
        <f>'1'!F37+'1'!F43+'1'!F47</f>
        <v>44518401</v>
      </c>
      <c r="G32" s="173">
        <f>'1'!G37+'1'!G43+'1'!G47</f>
        <v>46120018</v>
      </c>
      <c r="H32" s="173">
        <f>'1'!H37+'1'!H43+'1'!H47</f>
        <v>34767329</v>
      </c>
      <c r="I32" s="173">
        <f>'1'!I37+'1'!I43+'1'!I47</f>
        <v>30941553</v>
      </c>
      <c r="J32" s="173">
        <f>'1'!J37+'1'!J43+'1'!J47</f>
        <v>27632577</v>
      </c>
    </row>
    <row r="33" ht="15">
      <c r="A33" s="171" t="s">
        <v>571</v>
      </c>
      <c r="B33" s="276" t="s">
        <v>449</v>
      </c>
      <c r="C33" s="173">
        <f>'1'!C45+'1'!C48+'1'!C49</f>
        <v>262739</v>
      </c>
      <c r="D33" s="173">
        <f>'1'!D45+'1'!D48+'1'!D49</f>
        <v>252310</v>
      </c>
      <c r="E33" s="173">
        <f>'1'!E45+'1'!E48+'1'!E49</f>
        <v>1092440</v>
      </c>
      <c r="F33" s="173">
        <f>'1'!F45+'1'!F48+'1'!F49</f>
        <v>10944299</v>
      </c>
      <c r="G33" s="173">
        <f>'1'!G45+'1'!G48+'1'!G49</f>
        <v>176222</v>
      </c>
      <c r="H33" s="173">
        <f>'1'!H45+'1'!H48+'1'!H49</f>
        <v>9675310</v>
      </c>
      <c r="I33" s="173">
        <f>'1'!I45+'1'!I48+'1'!I49</f>
        <v>751592</v>
      </c>
      <c r="J33" s="173">
        <f>'1'!J45+'1'!J48+'1'!J49</f>
        <v>702387</v>
      </c>
    </row>
    <row r="34" ht="30">
      <c r="A34" s="171" t="s">
        <v>572</v>
      </c>
      <c r="B34" s="276" t="s">
        <v>451</v>
      </c>
      <c r="C34" s="173">
        <f>'1'!C46</f>
        <v>6817353</v>
      </c>
      <c r="D34" s="173">
        <f>'1'!D46</f>
        <v>2027319</v>
      </c>
      <c r="E34" s="173">
        <f>'1'!E46</f>
        <v>2565248</v>
      </c>
      <c r="F34" s="173">
        <f>'1'!F46</f>
        <v>3010880</v>
      </c>
      <c r="G34" s="173">
        <f>'1'!G46</f>
        <v>3951678</v>
      </c>
      <c r="H34" s="173">
        <f>'1'!H46</f>
        <v>2001453</v>
      </c>
      <c r="I34" s="173">
        <f>'1'!I46</f>
        <v>1672552</v>
      </c>
      <c r="J34" s="173">
        <f>'1'!J46</f>
        <v>1437090</v>
      </c>
    </row>
    <row r="35" ht="15">
      <c r="A35" s="326" t="s">
        <v>443</v>
      </c>
      <c r="B35" s="173"/>
      <c r="C35" s="173">
        <f>SUM(C32:C34)</f>
        <v>48181606</v>
      </c>
      <c r="D35" s="173">
        <f>SUM(D32:D34)</f>
        <v>48576530</v>
      </c>
      <c r="E35" s="173">
        <f>SUM(E32:E34)</f>
        <v>51107141</v>
      </c>
      <c r="F35" s="173">
        <f>SUM(F32:F34)</f>
        <v>58473580</v>
      </c>
      <c r="G35" s="173">
        <f>SUM(G32:G34)</f>
        <v>50247918</v>
      </c>
      <c r="H35" s="173">
        <f>SUM(H32:H34)</f>
        <v>46444092</v>
      </c>
      <c r="I35" s="173">
        <f>SUM(I32:I34)</f>
        <v>33365697</v>
      </c>
      <c r="J35" s="173">
        <f>SUM(J32:J34)</f>
        <v>29772054</v>
      </c>
    </row>
    <row r="36" ht="15">
      <c r="A36" s="78"/>
    </row>
    <row r="37" ht="15">
      <c r="A37" s="66" t="s">
        <v>573</v>
      </c>
      <c r="I37" s="66"/>
      <c r="J37" s="66"/>
    </row>
    <row r="38" ht="15">
      <c r="A38" s="327" t="s">
        <v>574</v>
      </c>
      <c r="B38" s="254" t="str">
        <f>B31</f>
        <v>Обозначения</v>
      </c>
      <c r="C38" s="254" t="str">
        <f>C31</f>
        <v>31.12.2019</v>
      </c>
      <c r="D38" s="254" t="str">
        <f>D31</f>
        <v>31.12.2018</v>
      </c>
      <c r="E38" s="254" t="str">
        <f>E31</f>
        <v>31.12.2017</v>
      </c>
      <c r="F38" s="254" t="str">
        <f>F31</f>
        <v>31.12.2016</v>
      </c>
      <c r="G38" s="254" t="str">
        <f>G31</f>
        <v>31.12.2015</v>
      </c>
      <c r="H38" s="254" t="str">
        <f>H31</f>
        <v>31.12.2014</v>
      </c>
      <c r="I38" s="254" t="str">
        <f>I31</f>
        <v>31.12.2013</v>
      </c>
      <c r="J38" s="254" t="str">
        <f>J31</f>
        <v>31.12.2012</v>
      </c>
    </row>
    <row r="39" ht="30">
      <c r="A39" s="171" t="s">
        <v>575</v>
      </c>
      <c r="B39" s="328" t="s">
        <v>576</v>
      </c>
      <c r="C39" s="173">
        <f>C32-C25</f>
        <v>21448415</v>
      </c>
      <c r="D39" s="173">
        <f>D32-D25</f>
        <v>31825852</v>
      </c>
      <c r="E39" s="173">
        <f>E32-E25</f>
        <v>28235137</v>
      </c>
      <c r="F39" s="173">
        <f>F32-F25</f>
        <v>35445787</v>
      </c>
      <c r="G39" s="173">
        <f>G32-G25</f>
        <v>35587081</v>
      </c>
      <c r="H39" s="173">
        <f>H32-H25</f>
        <v>23560533</v>
      </c>
      <c r="I39" s="173">
        <f>I32-I25</f>
        <v>14820857</v>
      </c>
      <c r="J39" s="173">
        <f>J32-J25</f>
        <v>8832494</v>
      </c>
    </row>
    <row r="40" ht="60">
      <c r="A40" s="171" t="s">
        <v>577</v>
      </c>
      <c r="B40" s="328" t="s">
        <v>578</v>
      </c>
      <c r="C40" s="173">
        <f>C26-C34</f>
        <v>-2698469</v>
      </c>
      <c r="D40" s="173">
        <f>D26-D34</f>
        <v>659822</v>
      </c>
      <c r="E40" s="173">
        <f>E26-E34</f>
        <v>731025</v>
      </c>
      <c r="F40" s="173">
        <f>F26-F34</f>
        <v>-454994</v>
      </c>
      <c r="G40" s="173">
        <f>G26-G34</f>
        <v>-1201466</v>
      </c>
      <c r="H40" s="173">
        <f>H26-H34</f>
        <v>2894</v>
      </c>
      <c r="I40" s="173">
        <f>I26-I34</f>
        <v>126680</v>
      </c>
      <c r="J40" s="173">
        <f>J26-J34</f>
        <v>502503</v>
      </c>
    </row>
    <row r="41" ht="45">
      <c r="A41" s="171" t="s">
        <v>579</v>
      </c>
      <c r="B41" s="328" t="s">
        <v>580</v>
      </c>
      <c r="C41" s="173">
        <f>C27-C33</f>
        <v>24146884</v>
      </c>
      <c r="D41" s="173">
        <f>D27-D33</f>
        <v>31166030</v>
      </c>
      <c r="E41" s="173">
        <f>E27-E33</f>
        <v>27504112</v>
      </c>
      <c r="F41" s="173">
        <f>F27-F33</f>
        <v>35900781</v>
      </c>
      <c r="G41" s="173">
        <f>G27-G33</f>
        <v>36788547</v>
      </c>
      <c r="H41" s="173">
        <f>H27-H33</f>
        <v>23557639</v>
      </c>
      <c r="I41" s="173">
        <f>I27-I33</f>
        <v>14694177</v>
      </c>
      <c r="J41" s="173">
        <f>J27-J33</f>
        <v>8329991</v>
      </c>
    </row>
    <row r="42" ht="15"/>
    <row r="43" ht="15">
      <c r="A43" s="66" t="s">
        <v>581</v>
      </c>
    </row>
    <row r="44" ht="15">
      <c r="A44" s="329"/>
    </row>
    <row r="45" ht="15">
      <c r="A45" s="66" t="s">
        <v>561</v>
      </c>
      <c r="G45" s="66"/>
    </row>
    <row r="46" s="33" customFormat="1" ht="15">
      <c r="A46" s="254" t="s">
        <v>6</v>
      </c>
      <c r="B46" s="254" t="str">
        <f>B38</f>
        <v>Обозначения</v>
      </c>
      <c r="C46" s="330" t="str">
        <f>C38</f>
        <v>31.12.2019</v>
      </c>
      <c r="D46" s="330" t="str">
        <f>D38</f>
        <v>31.12.2018</v>
      </c>
      <c r="E46" s="330" t="str">
        <f>E38</f>
        <v>31.12.2017</v>
      </c>
      <c r="F46" s="330" t="str">
        <f>F38</f>
        <v>31.12.2016</v>
      </c>
      <c r="G46" s="330" t="str">
        <f>G38</f>
        <v>31.12.2015</v>
      </c>
      <c r="H46" s="330" t="str">
        <f>H38</f>
        <v>31.12.2014</v>
      </c>
      <c r="I46" s="330" t="str">
        <f>I38</f>
        <v>31.12.2013</v>
      </c>
      <c r="J46" s="330" t="str">
        <f>J38</f>
        <v>31.12.2012</v>
      </c>
    </row>
    <row r="47" ht="15">
      <c r="A47" s="171" t="s">
        <v>564</v>
      </c>
      <c r="B47" s="331" t="s">
        <v>436</v>
      </c>
      <c r="C47" s="332">
        <f>аб!C6</f>
        <v>19653099</v>
      </c>
      <c r="D47" s="332">
        <f>аб!D6</f>
        <v>14471049</v>
      </c>
      <c r="E47" s="332">
        <f>аб!E6</f>
        <v>19315685</v>
      </c>
      <c r="F47" s="332">
        <f>аб!F6</f>
        <v>9072614</v>
      </c>
      <c r="G47" s="332">
        <f>аб!G6</f>
        <v>10739661</v>
      </c>
      <c r="H47" s="332">
        <f>аб!H6</f>
        <v>11502191</v>
      </c>
      <c r="I47" s="332">
        <f>аб!I6</f>
        <v>17901622</v>
      </c>
      <c r="J47" s="332">
        <f>аб!J6</f>
        <v>21520557</v>
      </c>
    </row>
    <row r="48" ht="30">
      <c r="A48" s="171" t="s">
        <v>566</v>
      </c>
      <c r="B48" s="331" t="s">
        <v>438</v>
      </c>
      <c r="C48" s="332">
        <f>аб!C7</f>
        <v>3392526</v>
      </c>
      <c r="D48" s="332">
        <f>аб!D7</f>
        <v>2470424</v>
      </c>
      <c r="E48" s="332">
        <f>аб!E7</f>
        <v>3143913</v>
      </c>
      <c r="F48" s="332">
        <f>аб!F7</f>
        <v>2369731</v>
      </c>
      <c r="G48" s="332">
        <f>аб!G7</f>
        <v>2404485</v>
      </c>
      <c r="H48" s="332">
        <f>аб!H7</f>
        <v>1880186</v>
      </c>
      <c r="I48" s="332">
        <f>аб!I7</f>
        <v>1702409</v>
      </c>
      <c r="J48" s="332">
        <f>аб!J7</f>
        <v>1854584</v>
      </c>
    </row>
    <row r="49" ht="15">
      <c r="A49" s="171" t="s">
        <v>582</v>
      </c>
      <c r="B49" s="331" t="s">
        <v>440</v>
      </c>
      <c r="C49" s="332">
        <f>аб!C8</f>
        <v>3430183</v>
      </c>
      <c r="D49" s="332">
        <f>аб!D8</f>
        <v>3314283</v>
      </c>
      <c r="E49" s="332">
        <f>аб!E8</f>
        <v>3292073</v>
      </c>
      <c r="F49" s="332">
        <f>аб!F8</f>
        <v>3891957</v>
      </c>
      <c r="G49" s="332">
        <f>аб!G8</f>
        <v>5519413</v>
      </c>
      <c r="H49" s="332">
        <f>аб!H8</f>
        <v>5377106</v>
      </c>
      <c r="I49" s="332">
        <f>аб!I8</f>
        <v>2714867</v>
      </c>
      <c r="J49" s="332">
        <f>аб!J8</f>
        <v>1963265</v>
      </c>
    </row>
    <row r="50" ht="30">
      <c r="A50" s="171" t="s">
        <v>583</v>
      </c>
      <c r="B50" s="331" t="s">
        <v>442</v>
      </c>
      <c r="C50" s="332">
        <f>аб!C9</f>
        <v>21705798</v>
      </c>
      <c r="D50" s="332">
        <f>аб!D9</f>
        <v>28320774</v>
      </c>
      <c r="E50" s="332">
        <f>аб!E9</f>
        <v>25355470</v>
      </c>
      <c r="F50" s="332">
        <f>аб!F9</f>
        <v>43139278</v>
      </c>
      <c r="G50" s="332">
        <f>аб!G9</f>
        <v>31584359</v>
      </c>
      <c r="H50" s="332">
        <f>аб!H9</f>
        <v>27684609</v>
      </c>
      <c r="I50" s="332">
        <f>аб!I9</f>
        <v>11046799</v>
      </c>
      <c r="J50" s="332">
        <f>аб!J9</f>
        <v>4433648</v>
      </c>
    </row>
    <row r="51" ht="15">
      <c r="A51" s="326" t="s">
        <v>443</v>
      </c>
      <c r="B51" s="331"/>
      <c r="C51" s="333">
        <f>SUM(C47:C50)</f>
        <v>48181606</v>
      </c>
      <c r="D51" s="333">
        <f>SUM(D47:D50)</f>
        <v>48576530</v>
      </c>
      <c r="E51" s="333">
        <f>SUM(E47:E50)</f>
        <v>51107141</v>
      </c>
      <c r="F51" s="333">
        <f>SUM(F47:F50)</f>
        <v>58473580</v>
      </c>
      <c r="G51" s="333">
        <f>SUM(G47:G50)</f>
        <v>50247918</v>
      </c>
      <c r="H51" s="333">
        <f>SUM(H47:H50)</f>
        <v>46444092</v>
      </c>
      <c r="I51" s="333">
        <f>SUM(I47:I50)</f>
        <v>33365697</v>
      </c>
      <c r="J51" s="333">
        <f>SUM(J47:J50)</f>
        <v>29772054</v>
      </c>
    </row>
    <row r="52" ht="15">
      <c r="A52" s="77"/>
    </row>
    <row r="53" ht="15">
      <c r="A53" s="77"/>
    </row>
    <row r="54" s="33" customFormat="1" ht="15">
      <c r="A54" s="168" t="s">
        <v>36</v>
      </c>
      <c r="B54" s="254" t="str">
        <f>B46</f>
        <v>Обозначения</v>
      </c>
      <c r="C54" s="330" t="str">
        <f>C46</f>
        <v>31.12.2019</v>
      </c>
      <c r="D54" s="330" t="str">
        <f>D46</f>
        <v>31.12.2018</v>
      </c>
      <c r="E54" s="330" t="str">
        <f>E46</f>
        <v>31.12.2017</v>
      </c>
      <c r="F54" s="330" t="str">
        <f>F46</f>
        <v>31.12.2016</v>
      </c>
      <c r="G54" s="330" t="str">
        <f>G46</f>
        <v>31.12.2015</v>
      </c>
      <c r="H54" s="330" t="str">
        <f>H46</f>
        <v>31.12.2014</v>
      </c>
      <c r="I54" s="330" t="str">
        <f>I46</f>
        <v>31.12.2013</v>
      </c>
      <c r="J54" s="330" t="str">
        <f>J46</f>
        <v>31.12.2012</v>
      </c>
    </row>
    <row r="55" ht="15">
      <c r="A55" s="171" t="s">
        <v>584</v>
      </c>
      <c r="B55" s="331" t="s">
        <v>445</v>
      </c>
      <c r="C55" s="332">
        <f>аб!C12</f>
        <v>40418692</v>
      </c>
      <c r="D55" s="332">
        <f>аб!D12</f>
        <v>45744034</v>
      </c>
      <c r="E55" s="332">
        <f>аб!E12</f>
        <v>47028634</v>
      </c>
      <c r="F55" s="332">
        <f>аб!F12</f>
        <v>41255754</v>
      </c>
      <c r="G55" s="332">
        <f>аб!G12</f>
        <v>34910852</v>
      </c>
      <c r="H55" s="332">
        <f>аб!H12</f>
        <v>26135480</v>
      </c>
      <c r="I55" s="332">
        <f>аб!I12</f>
        <v>25906082</v>
      </c>
      <c r="J55" s="332">
        <f>аб!J12</f>
        <v>22062331</v>
      </c>
    </row>
    <row r="56" ht="15">
      <c r="A56" s="171" t="s">
        <v>585</v>
      </c>
      <c r="B56" s="331" t="s">
        <v>447</v>
      </c>
      <c r="C56" s="332">
        <f>аб!C13</f>
        <v>675161</v>
      </c>
      <c r="D56" s="332">
        <f>аб!D13</f>
        <v>551941</v>
      </c>
      <c r="E56" s="332">
        <f>аб!E13</f>
        <v>419734</v>
      </c>
      <c r="F56" s="332">
        <f>аб!F13</f>
        <v>3261403</v>
      </c>
      <c r="G56" s="332">
        <f>аб!G13</f>
        <v>11207763</v>
      </c>
      <c r="H56" s="332">
        <f>аб!H13</f>
        <v>8630287</v>
      </c>
      <c r="I56" s="332">
        <f>аб!I13</f>
        <v>5033749</v>
      </c>
      <c r="J56" s="332">
        <f>аб!J13</f>
        <v>5568078</v>
      </c>
    </row>
    <row r="57" ht="15">
      <c r="A57" s="171" t="s">
        <v>571</v>
      </c>
      <c r="B57" s="331" t="s">
        <v>449</v>
      </c>
      <c r="C57" s="332">
        <f>аб!C14</f>
        <v>257551</v>
      </c>
      <c r="D57" s="332">
        <f>аб!D14</f>
        <v>209342</v>
      </c>
      <c r="E57" s="332">
        <f>аб!E14</f>
        <v>1058400</v>
      </c>
      <c r="F57" s="332">
        <f>аб!F14</f>
        <v>10939535</v>
      </c>
      <c r="G57" s="332">
        <f>аб!G14</f>
        <v>176457</v>
      </c>
      <c r="H57" s="332">
        <f>аб!H14</f>
        <v>9676314</v>
      </c>
      <c r="I57" s="332">
        <f>аб!I14</f>
        <v>744803</v>
      </c>
      <c r="J57" s="332">
        <f>аб!J14</f>
        <v>701405</v>
      </c>
    </row>
    <row r="58" ht="30">
      <c r="A58" s="171" t="s">
        <v>572</v>
      </c>
      <c r="B58" s="331" t="s">
        <v>451</v>
      </c>
      <c r="C58" s="332">
        <f>аб!C15</f>
        <v>6830202</v>
      </c>
      <c r="D58" s="332">
        <f>аб!D15</f>
        <v>2071213</v>
      </c>
      <c r="E58" s="332">
        <f>аб!E15</f>
        <v>2600373</v>
      </c>
      <c r="F58" s="332">
        <f>аб!F15</f>
        <v>3016888</v>
      </c>
      <c r="G58" s="332">
        <f>аб!G15</f>
        <v>3952846</v>
      </c>
      <c r="H58" s="332">
        <f>аб!H15</f>
        <v>2002011</v>
      </c>
      <c r="I58" s="332">
        <f>аб!I15</f>
        <v>1681063</v>
      </c>
      <c r="J58" s="332">
        <f>аб!J15</f>
        <v>1440240</v>
      </c>
    </row>
    <row r="59" ht="15">
      <c r="A59" s="326" t="s">
        <v>443</v>
      </c>
      <c r="B59" s="331"/>
      <c r="C59" s="333">
        <f>SUM(C55:C58)</f>
        <v>48181606</v>
      </c>
      <c r="D59" s="333">
        <f>SUM(D55:D58)</f>
        <v>48576530</v>
      </c>
      <c r="E59" s="333">
        <f>SUM(E55:E58)</f>
        <v>51107141</v>
      </c>
      <c r="F59" s="333">
        <f>SUM(F55:F58)</f>
        <v>58473580</v>
      </c>
      <c r="G59" s="333">
        <f>SUM(G55:G58)</f>
        <v>50247918</v>
      </c>
      <c r="H59" s="333">
        <f>SUM(H55:H58)</f>
        <v>46444092</v>
      </c>
      <c r="I59" s="333">
        <f>SUM(I55:I58)</f>
        <v>33365697</v>
      </c>
      <c r="J59" s="333">
        <f>SUM(J55:J58)</f>
        <v>29772054</v>
      </c>
    </row>
    <row r="60" ht="15">
      <c r="I60" s="66"/>
    </row>
    <row r="61" ht="15">
      <c r="A61" s="66" t="s">
        <v>586</v>
      </c>
      <c r="I61" s="66"/>
    </row>
    <row r="62" s="33" customFormat="1" ht="255">
      <c r="A62" s="327" t="s">
        <v>574</v>
      </c>
      <c r="B62" s="254" t="str">
        <f>B54</f>
        <v>Обозначения</v>
      </c>
      <c r="C62" s="330" t="str">
        <f>C54</f>
        <v>31.12.2019</v>
      </c>
      <c r="D62" s="330" t="str">
        <f>D54</f>
        <v>31.12.2018</v>
      </c>
      <c r="E62" s="330" t="str">
        <f>E54</f>
        <v>31.12.2017</v>
      </c>
      <c r="F62" s="330" t="str">
        <f>F54</f>
        <v>31.12.2016</v>
      </c>
      <c r="G62" s="330" t="str">
        <f>G54</f>
        <v>31.12.2015</v>
      </c>
      <c r="H62" s="330" t="str">
        <f>H54</f>
        <v>31.12.2014</v>
      </c>
      <c r="I62" s="330" t="str">
        <f>I54</f>
        <v>31.12.2013</v>
      </c>
      <c r="J62" s="330" t="str">
        <f>J54</f>
        <v>31.12.2012</v>
      </c>
      <c r="K62" s="334" t="s">
        <v>587</v>
      </c>
    </row>
    <row r="63" ht="30">
      <c r="A63" s="171" t="s">
        <v>588</v>
      </c>
      <c r="B63" s="331" t="s">
        <v>589</v>
      </c>
      <c r="C63" s="332">
        <f>C55-C47</f>
        <v>20765593</v>
      </c>
      <c r="D63" s="332">
        <f>D55-D47</f>
        <v>31272985</v>
      </c>
      <c r="E63" s="332">
        <f>E55-E47</f>
        <v>27712949</v>
      </c>
      <c r="F63" s="332">
        <f>F55-F47</f>
        <v>32183140</v>
      </c>
      <c r="G63" s="332">
        <f>G55-G47</f>
        <v>24171191</v>
      </c>
      <c r="H63" s="332">
        <f>H55-H47</f>
        <v>14633289</v>
      </c>
      <c r="I63" s="332">
        <f>I55-I47</f>
        <v>8004460</v>
      </c>
      <c r="J63" s="332">
        <f>J55-J47</f>
        <v>541774</v>
      </c>
    </row>
    <row r="64" ht="45">
      <c r="A64" s="171" t="s">
        <v>590</v>
      </c>
      <c r="B64" s="331" t="s">
        <v>591</v>
      </c>
      <c r="C64" s="332">
        <f>C48-C56</f>
        <v>2717365</v>
      </c>
      <c r="D64" s="332">
        <f>D48-D56</f>
        <v>1918483</v>
      </c>
      <c r="E64" s="332">
        <f>E48-E56</f>
        <v>2724179</v>
      </c>
      <c r="F64" s="332">
        <f>F48-F56</f>
        <v>-891672</v>
      </c>
      <c r="G64" s="332">
        <f>G48-G56</f>
        <v>-8803278</v>
      </c>
      <c r="H64" s="332">
        <f>H48-H56</f>
        <v>-6750101</v>
      </c>
      <c r="I64" s="332">
        <f>I48-I56</f>
        <v>-3331340</v>
      </c>
      <c r="J64" s="332">
        <f>J48-J56</f>
        <v>-3713494</v>
      </c>
    </row>
    <row r="65" ht="28.550000000000001">
      <c r="A65" s="171" t="s">
        <v>592</v>
      </c>
      <c r="B65" s="331" t="s">
        <v>593</v>
      </c>
      <c r="C65" s="332">
        <f>C49-C57</f>
        <v>3172632</v>
      </c>
      <c r="D65" s="332">
        <f>D49-D57</f>
        <v>3104941</v>
      </c>
      <c r="E65" s="332">
        <f>E49-E57</f>
        <v>2233673</v>
      </c>
      <c r="F65" s="332">
        <f>F49-F57</f>
        <v>-7047578</v>
      </c>
      <c r="G65" s="332">
        <f>G49-G57</f>
        <v>5342956</v>
      </c>
      <c r="H65" s="332">
        <f>H49-H57</f>
        <v>-4299208</v>
      </c>
      <c r="I65" s="332">
        <f>I49-I57</f>
        <v>1970064</v>
      </c>
      <c r="J65" s="332">
        <f>J49-J57</f>
        <v>1261860</v>
      </c>
    </row>
    <row r="66" ht="12">
      <c r="A66" s="171" t="s">
        <v>594</v>
      </c>
      <c r="B66" s="331" t="s">
        <v>595</v>
      </c>
      <c r="C66" s="332">
        <f>C50-C58</f>
        <v>14875596</v>
      </c>
      <c r="D66" s="332">
        <f>D50-D58</f>
        <v>26249561</v>
      </c>
      <c r="E66" s="332">
        <f>E50-E58</f>
        <v>22755097</v>
      </c>
      <c r="F66" s="332">
        <f>F50-F58</f>
        <v>40122390</v>
      </c>
      <c r="G66" s="332">
        <f>G50-G58</f>
        <v>27631513</v>
      </c>
      <c r="H66" s="332">
        <f>H50-H58</f>
        <v>25682598</v>
      </c>
      <c r="I66" s="332">
        <f>I50-I58</f>
        <v>9365736</v>
      </c>
      <c r="J66" s="332">
        <f>J50-J58</f>
        <v>2993408</v>
      </c>
    </row>
    <row r="67" ht="15"/>
    <row r="68" ht="15">
      <c r="A68" s="314" t="s">
        <v>596</v>
      </c>
    </row>
    <row r="69" s="183" customFormat="1" ht="15">
      <c r="A69" s="192" t="s">
        <v>597</v>
      </c>
      <c r="D69" s="202"/>
    </row>
    <row r="70" s="292" customFormat="1" ht="15">
      <c r="A70" s="335" t="s">
        <v>177</v>
      </c>
      <c r="B70" s="194" t="s">
        <v>598</v>
      </c>
      <c r="C70" s="336" t="str">
        <f>C62</f>
        <v>31.12.2019</v>
      </c>
      <c r="D70" s="336" t="str">
        <f>D62</f>
        <v>31.12.2018</v>
      </c>
      <c r="E70" s="336" t="str">
        <f>E62</f>
        <v>31.12.2017</v>
      </c>
      <c r="F70" s="336" t="str">
        <f>F62</f>
        <v>31.12.2016</v>
      </c>
      <c r="G70" s="336" t="str">
        <f>G62</f>
        <v>31.12.2015</v>
      </c>
      <c r="H70" s="336" t="str">
        <f>H62</f>
        <v>31.12.2014</v>
      </c>
      <c r="I70" s="336" t="str">
        <f>I62</f>
        <v>31.12.2013</v>
      </c>
      <c r="J70" s="336" t="str">
        <f>J62</f>
        <v>31.12.2012</v>
      </c>
      <c r="K70" s="292" t="s">
        <v>599</v>
      </c>
    </row>
    <row r="71" s="183" customFormat="1" ht="15">
      <c r="A71" s="196" t="s">
        <v>600</v>
      </c>
      <c r="B71" s="337">
        <v>1</v>
      </c>
      <c r="C71" s="338"/>
      <c r="D71" s="338"/>
      <c r="E71" s="338"/>
      <c r="F71" s="338"/>
      <c r="G71" s="338"/>
      <c r="H71" s="338"/>
      <c r="I71" s="338"/>
      <c r="J71" s="338"/>
      <c r="K71" s="183" t="s">
        <v>601</v>
      </c>
    </row>
    <row r="72" s="183" customFormat="1" ht="15">
      <c r="A72" s="298" t="s">
        <v>602</v>
      </c>
      <c r="B72" s="337">
        <v>0.050000000000000003</v>
      </c>
      <c r="C72" s="339">
        <f>$C$50/($C$58+$C$57)</f>
        <v>3.0624371362828247</v>
      </c>
      <c r="D72" s="339">
        <f>$D$50/($D$58+$D$57)</f>
        <v>12.418369212757421</v>
      </c>
      <c r="E72" s="339">
        <f>$E$50/($E$58+$E$57)</f>
        <v>6.9300473136759235</v>
      </c>
      <c r="F72" s="339">
        <f>$F$50/($F$58+$F$57)</f>
        <v>3.0909981733858309</v>
      </c>
      <c r="G72" s="339">
        <f>$G$50/($G$58+$G$57)</f>
        <v>7.6488354087844845</v>
      </c>
      <c r="H72" s="339">
        <f>$H$50/($H$58+$H$57)</f>
        <v>2.3705975814168556</v>
      </c>
      <c r="I72" s="339">
        <f>$I$50/($I$58+$I$57)</f>
        <v>4.5537548240504631</v>
      </c>
      <c r="J72" s="339">
        <f>$J$50/($J$58+$J$57)</f>
        <v>2.0702067803020574</v>
      </c>
      <c r="K72" s="183" t="s">
        <v>603</v>
      </c>
    </row>
    <row r="73" s="183" customFormat="1" ht="15">
      <c r="A73" s="298" t="s">
        <v>604</v>
      </c>
      <c r="B73" s="337">
        <v>0.69999999999999996</v>
      </c>
      <c r="C73" s="339">
        <f>($C$50+$C$49)/($C$58+$C$57)</f>
        <v>3.5463962979522563</v>
      </c>
      <c r="D73" s="339">
        <f>($D$50+D49)/($D$58+$D$57)</f>
        <v>13.87164834875721</v>
      </c>
      <c r="E73" s="339">
        <f>($E$50+E49)/($E$58+$E$57)</f>
        <v>7.8298224568728365</v>
      </c>
      <c r="F73" s="339">
        <f>($F$50+F49)/($F$58+$F$57)</f>
        <v>3.3698631089069169</v>
      </c>
      <c r="G73" s="339">
        <f>($G$50+G49)/($G$58+$G$57)</f>
        <v>8.9854806004790646</v>
      </c>
      <c r="H73" s="339">
        <f>($H$50+H49)/($H$58+$H$57)</f>
        <v>2.8310322756045925</v>
      </c>
      <c r="I73" s="339">
        <f>($I$50+I49)/($I$58+$I$57)</f>
        <v>5.672887950117607</v>
      </c>
      <c r="J73" s="339">
        <f>($J$50+J49)/($J$58+$J$57)</f>
        <v>2.9869156652946685</v>
      </c>
    </row>
    <row r="74" s="183" customFormat="1" ht="15">
      <c r="A74" s="298" t="s">
        <v>605</v>
      </c>
      <c r="B74" s="337">
        <v>1.5</v>
      </c>
      <c r="C74" s="339">
        <f>($C$50+$C$49+C48)/($C$58+$C$57)</f>
        <v>4.0250424923103276</v>
      </c>
      <c r="D74" s="339">
        <f>($D$50+D49+D48)/($D$58+$D$57)</f>
        <v>14.954903959781721</v>
      </c>
      <c r="E74" s="339">
        <f>($E$50+E49+E48)/($E$58+$E$57)</f>
        <v>8.6891031501544376</v>
      </c>
      <c r="F74" s="339">
        <f>(F49+F48+$F$50)/($F$58+$F$57)</f>
        <v>3.5396581201357971</v>
      </c>
      <c r="G74" s="339">
        <f>($G$50+G49+G48)/($G$58+$G$57)</f>
        <v>9.5677786299528034</v>
      </c>
      <c r="H74" s="339">
        <f>($H$50+H49+H48)/($H$58+$H$57)</f>
        <v>2.9920301926860229</v>
      </c>
      <c r="I74" s="339">
        <f>($I$50+I49+I48)/($I$58+$I$57)</f>
        <v>6.3746616672149248</v>
      </c>
      <c r="J74" s="339">
        <f>($J$50+J49+J48)/($J$58+$J$57)</f>
        <v>3.8528780446806077</v>
      </c>
    </row>
    <row r="75" s="183" customFormat="1" ht="15">
      <c r="B75" s="340"/>
      <c r="C75" s="341"/>
      <c r="D75" s="341"/>
    </row>
    <row r="76" s="183" customFormat="1" ht="15">
      <c r="A76" s="192" t="s">
        <v>606</v>
      </c>
      <c r="B76" s="340"/>
      <c r="C76" s="341"/>
      <c r="D76" s="341"/>
    </row>
    <row r="77" s="192" customFormat="1" ht="15">
      <c r="A77" s="335" t="s">
        <v>177</v>
      </c>
      <c r="B77" s="342" t="str">
        <f>B70</f>
        <v>норматив</v>
      </c>
      <c r="C77" s="342" t="str">
        <f>C70</f>
        <v>31.12.2019</v>
      </c>
      <c r="D77" s="342" t="str">
        <f>D70</f>
        <v>31.12.2018</v>
      </c>
      <c r="E77" s="342" t="str">
        <f>E70</f>
        <v>31.12.2017</v>
      </c>
      <c r="F77" s="342" t="str">
        <f>F70</f>
        <v>31.12.2016</v>
      </c>
      <c r="G77" s="342" t="str">
        <f>G70</f>
        <v>31.12.2015</v>
      </c>
      <c r="H77" s="342" t="str">
        <f>H70</f>
        <v>31.12.2014</v>
      </c>
      <c r="I77" s="342" t="str">
        <f>I70</f>
        <v>31.12.2013</v>
      </c>
      <c r="J77" s="342" t="str">
        <f>J70</f>
        <v>31.12.2012</v>
      </c>
    </row>
    <row r="78" s="183" customFormat="1" ht="15">
      <c r="A78" s="343" t="s">
        <v>513</v>
      </c>
      <c r="B78" s="344">
        <v>0.5</v>
      </c>
      <c r="C78" s="345">
        <f>'1'!C37/'1'!C26</f>
        <v>0.83888220745485298</v>
      </c>
      <c r="D78" s="345">
        <f>'1'!D37/'1'!D26</f>
        <v>0.94169003014418695</v>
      </c>
      <c r="E78" s="345">
        <f>'1'!E37/'1'!E26</f>
        <v>0.92019692512245999</v>
      </c>
      <c r="F78" s="345">
        <f>'1'!F37/'1'!F26</f>
        <v>0.70554520520207598</v>
      </c>
      <c r="G78" s="345">
        <f>'1'!G37/'1'!G26</f>
        <v>0.69477210976184101</v>
      </c>
      <c r="H78" s="345">
        <f>'1'!H37/'1'!H26</f>
        <v>0.56272991621840696</v>
      </c>
      <c r="I78" s="345">
        <f>'1'!I37/'1'!I26</f>
        <v>0.77642861769079796</v>
      </c>
      <c r="J78" s="345">
        <f>'1'!J37/'1'!J26</f>
        <v>0.74104161573803395</v>
      </c>
      <c r="K78" s="183" t="s">
        <v>607</v>
      </c>
    </row>
    <row r="79" s="183" customFormat="1" ht="15">
      <c r="A79" s="343" t="s">
        <v>608</v>
      </c>
      <c r="B79" s="344">
        <v>0.69999999999999996</v>
      </c>
      <c r="C79" s="345">
        <f>('1'!C37+'1'!C43)/'1'!C26</f>
        <v>0.85289504463591403</v>
      </c>
      <c r="D79" s="345">
        <f>('1'!D37+'1'!D43)/'1'!D26</f>
        <v>0.953052327945203</v>
      </c>
      <c r="E79" s="345">
        <f>('1'!E37+'1'!E43)/'1'!E26</f>
        <v>0.92840975001908199</v>
      </c>
      <c r="F79" s="345">
        <f>('1'!F37+'1'!F43)/'1'!F26</f>
        <v>0.76132087346114297</v>
      </c>
      <c r="G79" s="345">
        <f>('1'!G37+'1'!G43)/'1'!G26</f>
        <v>0.91782141102841297</v>
      </c>
      <c r="H79" s="345">
        <f>('1'!H37+'1'!H43)/'1'!H26</f>
        <v>0.74855090287909998</v>
      </c>
      <c r="I79" s="345">
        <f>('1'!I37+'1'!I43)/'1'!I26</f>
        <v>0.92729461038982597</v>
      </c>
      <c r="J79" s="345">
        <f>('1'!J37+'1'!J43)/'1'!J26</f>
        <v>0.92806525878261503</v>
      </c>
      <c r="K79" s="183" t="s">
        <v>609</v>
      </c>
    </row>
    <row r="80" s="183" customFormat="1" ht="28.550000000000001">
      <c r="A80" s="343" t="s">
        <v>610</v>
      </c>
      <c r="B80" s="344">
        <f>2/3</f>
        <v>0.66666666666666696</v>
      </c>
      <c r="C80" s="345">
        <f>('1'!C39+'1'!C45)/'1'!C37</f>
        <v>0</v>
      </c>
      <c r="D80" s="345">
        <f>('1'!D39+'1'!D45)/'1'!D37</f>
        <v>0</v>
      </c>
      <c r="E80" s="345">
        <f>('1'!E39+'1'!E45)/'1'!E37</f>
        <v>0.018425816918263001</v>
      </c>
      <c r="F80" s="345">
        <f>('1'!F39+'1'!F45)/'1'!F37</f>
        <v>0.33271984315206099</v>
      </c>
      <c r="G80" s="345">
        <f>('1'!G39+'1'!G45)/'1'!G37</f>
        <v>0.31359160183200302</v>
      </c>
      <c r="H80" s="345">
        <f>('1'!H39+'1'!H45)/'1'!H37</f>
        <v>0.689437117665335</v>
      </c>
      <c r="I80" s="345">
        <f>('1'!I39+'1'!I45)/'1'!I37</f>
        <v>0.21489679527764899</v>
      </c>
      <c r="J80" s="345">
        <f>('1'!J39+'1'!J45)/'1'!J37</f>
        <v>0.27431339870660099</v>
      </c>
      <c r="K80" s="183" t="s">
        <v>611</v>
      </c>
    </row>
    <row r="81" s="183" customFormat="1" ht="28.550000000000001">
      <c r="A81" s="343" t="s">
        <v>612</v>
      </c>
      <c r="B81" s="344">
        <v>0.10000000000000001</v>
      </c>
      <c r="C81" s="345">
        <f>('1'!C37-'1'!C15)/'1'!C25</f>
        <v>0.72788923023556795</v>
      </c>
      <c r="D81" s="345">
        <f>('1'!D37-'1'!D15)/'1'!D25</f>
        <v>0.91694895022885003</v>
      </c>
      <c r="E81" s="345">
        <f>('1'!E37-'1'!E15)/'1'!E25</f>
        <v>0.87211835263887705</v>
      </c>
      <c r="F81" s="345">
        <f>('1'!F37-'1'!F15)/'1'!F25</f>
        <v>0.65146782757244104</v>
      </c>
      <c r="G81" s="345">
        <f>('1'!G37-'1'!G15)/'1'!G25</f>
        <v>0.61382164579154697</v>
      </c>
      <c r="H81" s="345">
        <f>('1'!H37-'1'!H15)/'1'!H25</f>
        <v>0.42366145234299502</v>
      </c>
      <c r="I81" s="345">
        <f>('1'!I37-'1'!I15)/'1'!I25</f>
        <v>0.56743319411811</v>
      </c>
      <c r="J81" s="345">
        <f>('1'!J37-'1'!J15)/'1'!J25</f>
        <v>0.29732561269073698</v>
      </c>
    </row>
    <row r="82" s="183" customFormat="1" ht="28.550000000000001">
      <c r="A82" s="343" t="s">
        <v>613</v>
      </c>
      <c r="B82" s="344">
        <v>1</v>
      </c>
      <c r="C82" s="345">
        <f>('1'!C37+'1'!C43-'1'!C15)/'1'!C17</f>
        <v>6.3826280737643897</v>
      </c>
      <c r="D82" s="345">
        <f>('1'!D37+'1'!D43-'1'!D15)/'1'!D17</f>
        <v>12.968079908821901</v>
      </c>
      <c r="E82" s="345">
        <f>('1'!E37+'1'!E43-'1'!E15)/'1'!E17</f>
        <v>10.883751768885899</v>
      </c>
      <c r="F82" s="345">
        <f>('1'!F37+'1'!F43-'1'!F15)/'1'!F17</f>
        <v>16.2328060332135</v>
      </c>
      <c r="G82" s="345">
        <f>('1'!G37+'1'!G43-'1'!G15)/'1'!G17</f>
        <v>18.0494663120244</v>
      </c>
      <c r="H82" s="345">
        <f>('1'!H37+'1'!H43-'1'!H15)/'1'!H17</f>
        <v>14.1300301445812</v>
      </c>
      <c r="I82" s="345">
        <f>('1'!I37+'1'!I43-'1'!I15)/'1'!I17</f>
        <v>9.8420497895989598</v>
      </c>
      <c r="J82" s="345">
        <f>('1'!J37+'1'!J43-'1'!J15)/'1'!J17</f>
        <v>4.8752312612801099</v>
      </c>
    </row>
    <row r="83" s="183" customFormat="1" ht="42.100000000000001">
      <c r="A83" s="343" t="s">
        <v>614</v>
      </c>
      <c r="B83" s="344">
        <v>0.10000000000000001</v>
      </c>
      <c r="C83" s="345">
        <f>('1'!C37-'1'!C15)/'1'!C37</f>
        <v>0.51376212273272004</v>
      </c>
      <c r="D83" s="345">
        <f>('1'!D37-'1'!D15)/'1'!D37</f>
        <v>0.68365166482693696</v>
      </c>
      <c r="E83" s="345">
        <f>('1'!E37-'1'!E15)/'1'!E37</f>
        <v>0.59143367846916395</v>
      </c>
      <c r="F83" s="345">
        <f>('1'!F37-'1'!F15)/'1'!F37</f>
        <v>0.78008851807677504</v>
      </c>
      <c r="G83" s="345">
        <f>('1'!G37-'1'!G15)/'1'!G37</f>
        <v>0.69829046280509</v>
      </c>
      <c r="H83" s="345">
        <f>('1'!H37-'1'!H15)/'1'!H37</f>
        <v>0.57120374295784904</v>
      </c>
      <c r="I83" s="345">
        <f>('1'!I37-'1'!I15)/'1'!I37</f>
        <v>0.37772543142571702</v>
      </c>
      <c r="J83" s="345">
        <f>('1'!J37-'1'!J15)/'1'!J37</f>
        <v>0.147865064666104</v>
      </c>
    </row>
    <row r="84" s="183" customFormat="1" ht="15">
      <c r="A84" s="346"/>
      <c r="B84" s="347"/>
      <c r="C84" s="191"/>
      <c r="D84" s="191"/>
    </row>
    <row r="85" ht="15"/>
    <row r="86" s="183" customFormat="1" ht="15">
      <c r="A86" s="192" t="s">
        <v>615</v>
      </c>
      <c r="B86" s="347"/>
      <c r="C86" s="191"/>
      <c r="D86" s="191"/>
    </row>
    <row r="87" s="192" customFormat="1" ht="15">
      <c r="A87" s="335" t="s">
        <v>177</v>
      </c>
      <c r="B87" s="285" t="str">
        <f>C77</f>
        <v>31.12.2019</v>
      </c>
      <c r="C87" s="285" t="str">
        <f>D77</f>
        <v>31.12.2018</v>
      </c>
      <c r="D87" s="285" t="str">
        <f>E77</f>
        <v>31.12.2017</v>
      </c>
      <c r="E87" s="285" t="str">
        <f>F77</f>
        <v>31.12.2016</v>
      </c>
      <c r="F87" s="285" t="str">
        <f>G77</f>
        <v>31.12.2015</v>
      </c>
      <c r="G87" s="285" t="str">
        <f>H77</f>
        <v>31.12.2014</v>
      </c>
      <c r="H87" s="285" t="str">
        <f>I77</f>
        <v>31.12.2013</v>
      </c>
      <c r="I87" s="285" t="str">
        <f>J77</f>
        <v>31.12.2012</v>
      </c>
    </row>
    <row r="88" s="183" customFormat="1" ht="15">
      <c r="A88" s="343" t="s">
        <v>616</v>
      </c>
      <c r="B88" s="348"/>
      <c r="C88" s="348"/>
      <c r="D88" s="348"/>
      <c r="E88" s="348"/>
      <c r="F88" s="348"/>
      <c r="G88" s="348"/>
      <c r="H88" s="348"/>
      <c r="I88" s="348"/>
    </row>
    <row r="89" s="183" customFormat="1" ht="28.550000000000001">
      <c r="A89" s="343" t="s">
        <v>617</v>
      </c>
      <c r="B89" s="348"/>
      <c r="C89" s="348"/>
      <c r="D89" s="348"/>
      <c r="E89" s="348"/>
      <c r="F89" s="348"/>
      <c r="G89" s="348"/>
      <c r="H89" s="348"/>
      <c r="I89" s="348"/>
    </row>
    <row r="90" s="183" customFormat="1" ht="28.550000000000001">
      <c r="A90" s="343" t="s">
        <v>618</v>
      </c>
      <c r="B90" s="348"/>
      <c r="C90" s="348"/>
      <c r="D90" s="348"/>
      <c r="E90" s="348"/>
      <c r="F90" s="348"/>
      <c r="G90" s="348"/>
      <c r="H90" s="348"/>
      <c r="I90" s="348"/>
    </row>
    <row r="91" ht="15"/>
    <row r="92" ht="15">
      <c r="A92" s="301" t="s">
        <v>619</v>
      </c>
      <c r="B92" s="349"/>
      <c r="C92" s="349"/>
      <c r="D92" s="349"/>
      <c r="E92" s="349"/>
      <c r="F92" s="349"/>
      <c r="G92" s="349"/>
      <c r="H92" s="349"/>
      <c r="I92" s="349"/>
      <c r="J92" s="349"/>
      <c r="K92" s="349"/>
    </row>
    <row r="93" ht="12.75">
      <c r="A93" s="350" t="s">
        <v>177</v>
      </c>
      <c r="B93" s="350" t="s">
        <v>620</v>
      </c>
      <c r="C93" s="351" t="s">
        <v>598</v>
      </c>
      <c r="D93" s="350" t="str">
        <f>B87</f>
        <v>31.12.2019</v>
      </c>
      <c r="E93" s="350" t="str">
        <f>C87</f>
        <v>31.12.2018</v>
      </c>
      <c r="F93" s="350" t="str">
        <f>D87</f>
        <v>31.12.2017</v>
      </c>
      <c r="G93" s="350" t="str">
        <f>E87</f>
        <v>31.12.2016</v>
      </c>
      <c r="H93" s="350" t="str">
        <f>F87</f>
        <v>31.12.2015</v>
      </c>
      <c r="I93" s="350" t="str">
        <f>G87</f>
        <v>31.12.2014</v>
      </c>
      <c r="J93" s="350" t="str">
        <f>H87</f>
        <v>31.12.2013</v>
      </c>
      <c r="K93" s="350" t="str">
        <f>I87</f>
        <v>31.12.2012</v>
      </c>
    </row>
    <row r="94" ht="12.75">
      <c r="A94" s="352" t="s">
        <v>621</v>
      </c>
      <c r="B94" s="306" t="s">
        <v>622</v>
      </c>
      <c r="C94" s="353">
        <v>2</v>
      </c>
      <c r="D94" s="354"/>
      <c r="E94" s="354"/>
      <c r="F94" s="354"/>
      <c r="G94" s="354"/>
      <c r="H94" s="354"/>
      <c r="I94" s="354"/>
      <c r="J94" s="354"/>
      <c r="K94" s="354"/>
    </row>
    <row r="95" ht="12.75">
      <c r="A95" s="352" t="s">
        <v>623</v>
      </c>
      <c r="B95" s="306" t="s">
        <v>624</v>
      </c>
      <c r="C95" s="353">
        <v>1</v>
      </c>
      <c r="D95" s="354"/>
      <c r="E95" s="354"/>
      <c r="F95" s="354"/>
      <c r="G95" s="354"/>
      <c r="H95" s="354"/>
      <c r="I95" s="354"/>
      <c r="J95" s="354"/>
      <c r="K95" s="354"/>
    </row>
    <row r="96" ht="12.75">
      <c r="A96" s="355" t="s">
        <v>625</v>
      </c>
      <c r="B96" s="306" t="s">
        <v>626</v>
      </c>
      <c r="C96" s="356" t="s">
        <v>627</v>
      </c>
      <c r="D96" s="354"/>
      <c r="E96" s="354"/>
      <c r="F96" s="354"/>
      <c r="G96" s="354"/>
      <c r="H96" s="354"/>
      <c r="I96" s="354"/>
      <c r="J96" s="354"/>
      <c r="K96" s="354"/>
    </row>
    <row r="97" ht="12.75">
      <c r="A97" s="352" t="s">
        <v>628</v>
      </c>
      <c r="B97" s="306" t="s">
        <v>629</v>
      </c>
      <c r="C97" s="356" t="s">
        <v>627</v>
      </c>
      <c r="D97" s="354"/>
      <c r="E97" s="354"/>
      <c r="F97" s="354"/>
      <c r="G97" s="354"/>
      <c r="H97" s="354"/>
      <c r="I97" s="354"/>
      <c r="J97" s="354"/>
      <c r="K97" s="354"/>
    </row>
    <row r="98" ht="12.75">
      <c r="A98" s="352" t="s">
        <v>630</v>
      </c>
      <c r="B98" s="306" t="s">
        <v>631</v>
      </c>
      <c r="C98" s="356" t="s">
        <v>627</v>
      </c>
      <c r="D98" s="354"/>
      <c r="E98" s="354"/>
      <c r="F98" s="354"/>
      <c r="G98" s="354"/>
      <c r="H98" s="354"/>
      <c r="I98" s="354"/>
      <c r="J98" s="354"/>
      <c r="K98" s="354"/>
    </row>
  </sheetData>
  <printOptions headings="0" gridLines="0" horizontalCentered="0" verticalCentered="0"/>
  <pageMargins left="0.75" right="0.75" top="1" bottom="1"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7030A0"/>
    <outlinePr applyStyles="0" summaryBelow="1" summaryRight="1" showOutlineSymbols="1"/>
    <pageSetUpPr autoPageBreaks="1" fitToPage="1"/>
  </sheetPr>
  <sheetViews>
    <sheetView showFormulas="0" showGridLines="1" showRowColHeaders="1" showZeros="1" rightToLeft="0" view="normal" topLeftCell="A46" zoomScale="75" workbookViewId="0">
      <selection activeCell="O19" activeCellId="0" sqref="O19"/>
    </sheetView>
  </sheetViews>
  <sheetFormatPr defaultColWidth="9.109375" defaultRowHeight="15.6"/>
  <cols>
    <col customWidth="1" min="1" max="1" style="64" width="30.559999999999999"/>
    <col customWidth="1" min="2" max="32" style="64" width="16.670000000000002"/>
    <col customWidth="1" min="33" max="38" style="64" width="17"/>
    <col customWidth="0" min="39" max="16384" style="64" width="9.1099999999999994"/>
  </cols>
  <sheetData>
    <row r="1" ht="15.6">
      <c r="A1" s="66" t="s">
        <v>632</v>
      </c>
    </row>
    <row r="2" ht="15.6">
      <c r="A2" s="66"/>
    </row>
    <row r="3" ht="15.6">
      <c r="A3" s="66" t="s">
        <v>633</v>
      </c>
    </row>
    <row r="4" s="183" customFormat="1" ht="15.75" customHeight="1">
      <c r="A4" s="168" t="s">
        <v>177</v>
      </c>
      <c r="B4" s="168" t="s">
        <v>421</v>
      </c>
      <c r="C4" s="168"/>
      <c r="D4" s="168"/>
      <c r="E4" s="168"/>
      <c r="F4" s="168"/>
      <c r="G4" s="168"/>
      <c r="H4" s="168"/>
      <c r="I4" s="168"/>
      <c r="J4" s="274" t="s">
        <v>422</v>
      </c>
      <c r="K4" s="274"/>
      <c r="L4" s="274"/>
      <c r="M4" s="274"/>
      <c r="N4" s="274"/>
      <c r="O4" s="274"/>
      <c r="P4" s="274"/>
      <c r="Q4" s="274"/>
      <c r="R4" s="274" t="s">
        <v>516</v>
      </c>
      <c r="S4" s="274"/>
      <c r="T4" s="274"/>
      <c r="U4" s="274"/>
      <c r="V4" s="274"/>
      <c r="W4" s="274"/>
      <c r="X4" s="274"/>
      <c r="Y4" s="274"/>
      <c r="Z4" s="274"/>
      <c r="AA4" s="274"/>
      <c r="AB4" s="274"/>
      <c r="AC4" s="274"/>
      <c r="AD4" s="274"/>
      <c r="AE4" s="274"/>
      <c r="AF4" s="274"/>
      <c r="AG4" s="274"/>
      <c r="AH4" s="274"/>
      <c r="AI4" s="274"/>
      <c r="AJ4" s="274"/>
      <c r="AK4" s="274"/>
      <c r="AL4" s="274"/>
    </row>
    <row r="5" s="199" customFormat="1" ht="15.6">
      <c r="A5" s="168"/>
      <c r="B5" s="168"/>
      <c r="C5" s="168"/>
      <c r="D5" s="168"/>
      <c r="E5" s="168"/>
      <c r="F5" s="168"/>
      <c r="G5" s="168"/>
      <c r="H5" s="168"/>
      <c r="I5" s="168"/>
      <c r="J5" s="274"/>
      <c r="K5" s="274"/>
      <c r="L5" s="274"/>
      <c r="M5" s="274"/>
      <c r="N5" s="274"/>
      <c r="O5" s="274"/>
      <c r="P5" s="274"/>
      <c r="Q5" s="274"/>
      <c r="R5" s="195" t="e">
        <f>аб!#ref!</f>
        <v>#VALUE!</v>
      </c>
      <c r="S5" s="195"/>
      <c r="T5" s="195"/>
      <c r="U5" s="195" t="e">
        <f>аб!#ref!</f>
        <v>#VALUE!</v>
      </c>
      <c r="V5" s="195"/>
      <c r="W5" s="195"/>
      <c r="X5" s="195" t="e">
        <f>аб!#ref!</f>
        <v>#VALUE!</v>
      </c>
      <c r="Y5" s="195"/>
      <c r="Z5" s="195"/>
      <c r="AA5" s="195" t="e">
        <f>аб!#ref!</f>
        <v>#VALUE!</v>
      </c>
      <c r="AB5" s="195"/>
      <c r="AC5" s="195"/>
      <c r="AD5" s="195" t="e">
        <f>аб!#ref!</f>
        <v>#VALUE!</v>
      </c>
      <c r="AE5" s="195"/>
      <c r="AF5" s="195"/>
      <c r="AG5" s="195" t="e">
        <f>аб!#ref!</f>
        <v>#VALUE!</v>
      </c>
      <c r="AH5" s="195"/>
      <c r="AI5" s="195"/>
      <c r="AJ5" s="195" t="e">
        <f>аб!#ref!</f>
        <v>#VALUE!</v>
      </c>
      <c r="AK5" s="195"/>
      <c r="AL5" s="195"/>
    </row>
    <row r="6" s="199" customFormat="1" ht="28.550000000000001">
      <c r="A6" s="168"/>
      <c r="B6" s="274" t="str">
        <f>B29</f>
        <v>31.12.2019</v>
      </c>
      <c r="C6" s="274" t="str">
        <f>C29</f>
        <v>31.12.2018</v>
      </c>
      <c r="D6" s="274" t="str">
        <f>D29</f>
        <v>31.12.2017</v>
      </c>
      <c r="E6" s="274" t="str">
        <f>E29</f>
        <v>31.12.2016</v>
      </c>
      <c r="F6" s="274" t="str">
        <f>F29</f>
        <v>31.12.2015</v>
      </c>
      <c r="G6" s="274" t="str">
        <f>G29</f>
        <v>31.12.2014</v>
      </c>
      <c r="H6" s="274" t="str">
        <f>H29</f>
        <v>31.12.2013</v>
      </c>
      <c r="I6" s="274" t="str">
        <f>I29</f>
        <v>31.12.2012</v>
      </c>
      <c r="J6" s="274" t="str">
        <f>J29</f>
        <v>31.12.2019</v>
      </c>
      <c r="K6" s="274" t="str">
        <f>K29</f>
        <v>31.12.2018</v>
      </c>
      <c r="L6" s="274" t="str">
        <f>L29</f>
        <v>31.12.2017</v>
      </c>
      <c r="M6" s="274" t="str">
        <f>M29</f>
        <v>31.12.2016</v>
      </c>
      <c r="N6" s="274" t="str">
        <f>N29</f>
        <v>31.12.2015</v>
      </c>
      <c r="O6" s="274" t="str">
        <f>O29</f>
        <v>31.12.2014</v>
      </c>
      <c r="P6" s="274" t="str">
        <f>P29</f>
        <v>31.12.2013</v>
      </c>
      <c r="Q6" s="274" t="str">
        <f>Q29</f>
        <v>31.12.2012</v>
      </c>
      <c r="R6" s="274" t="str">
        <f>R29</f>
        <v xml:space="preserve">в тыс. руб.</v>
      </c>
      <c r="S6" s="274" t="str">
        <f>S29</f>
        <v xml:space="preserve">темп прироста, %</v>
      </c>
      <c r="T6" s="274" t="str">
        <f>T29</f>
        <v xml:space="preserve">в структуре, %</v>
      </c>
      <c r="U6" s="274" t="str">
        <f>U29</f>
        <v xml:space="preserve">в тыс. руб.</v>
      </c>
      <c r="V6" s="274" t="str">
        <f>V29</f>
        <v xml:space="preserve">темп прироста, %</v>
      </c>
      <c r="W6" s="274" t="str">
        <f>W29</f>
        <v xml:space="preserve">в структуре, %</v>
      </c>
      <c r="X6" s="274" t="str">
        <f>X29</f>
        <v xml:space="preserve">в тыс. руб.</v>
      </c>
      <c r="Y6" s="274" t="str">
        <f>Y29</f>
        <v xml:space="preserve">темп прироста, %</v>
      </c>
      <c r="Z6" s="274" t="str">
        <f>Z29</f>
        <v xml:space="preserve">в структуре, %</v>
      </c>
      <c r="AA6" s="274" t="str">
        <f>AA29</f>
        <v xml:space="preserve">в тыс. руб.</v>
      </c>
      <c r="AB6" s="274" t="str">
        <f>AB29</f>
        <v xml:space="preserve">темп прироста, %</v>
      </c>
      <c r="AC6" s="274" t="str">
        <f>AC29</f>
        <v xml:space="preserve">в структуре, %</v>
      </c>
      <c r="AD6" s="274" t="str">
        <f>AD29</f>
        <v xml:space="preserve">в тыс. руб.</v>
      </c>
      <c r="AE6" s="274" t="str">
        <f>AE29</f>
        <v xml:space="preserve">темп прироста, %</v>
      </c>
      <c r="AF6" s="274" t="str">
        <f>AF29</f>
        <v xml:space="preserve">в структуре, %</v>
      </c>
      <c r="AG6" s="274" t="str">
        <f>AG29</f>
        <v xml:space="preserve">в тыс. руб.</v>
      </c>
      <c r="AH6" s="274" t="str">
        <f>AH29</f>
        <v xml:space="preserve">темп прироста, %</v>
      </c>
      <c r="AI6" s="274" t="str">
        <f>AI29</f>
        <v xml:space="preserve">в структуре, %</v>
      </c>
      <c r="AJ6" s="274" t="str">
        <f>AJ29</f>
        <v xml:space="preserve">в тыс. руб.</v>
      </c>
      <c r="AK6" s="274" t="str">
        <f>AK29</f>
        <v xml:space="preserve">темп прироста, %</v>
      </c>
      <c r="AL6" s="274" t="str">
        <f>AL29</f>
        <v xml:space="preserve">в структуре, %</v>
      </c>
    </row>
    <row r="7" ht="28.550000000000001">
      <c r="A7" s="357" t="s">
        <v>244</v>
      </c>
      <c r="B7" s="173"/>
      <c r="C7" s="173"/>
      <c r="D7" s="358"/>
      <c r="E7" s="358"/>
      <c r="F7" s="317"/>
      <c r="G7" s="359"/>
      <c r="H7" s="359"/>
      <c r="I7" s="358"/>
      <c r="J7" s="358"/>
      <c r="K7" s="358"/>
      <c r="L7" s="358"/>
      <c r="M7" s="358"/>
      <c r="N7" s="358"/>
      <c r="O7" s="358"/>
      <c r="P7" s="358"/>
      <c r="Q7" s="358"/>
      <c r="R7" s="358"/>
      <c r="S7" s="358"/>
      <c r="T7" s="358"/>
      <c r="U7" s="358"/>
      <c r="V7" s="358"/>
      <c r="W7" s="358"/>
      <c r="X7" s="358"/>
      <c r="Y7" s="358"/>
      <c r="Z7" s="358"/>
      <c r="AA7" s="358"/>
      <c r="AB7" s="358"/>
      <c r="AC7" s="358"/>
      <c r="AD7" s="358"/>
      <c r="AE7" s="358"/>
      <c r="AF7" s="358"/>
      <c r="AG7" s="358"/>
    </row>
    <row r="8" ht="33" customHeight="1">
      <c r="A8" s="357" t="s">
        <v>245</v>
      </c>
      <c r="B8" s="173"/>
      <c r="C8" s="173"/>
      <c r="D8" s="358"/>
      <c r="E8" s="358"/>
      <c r="F8" s="317"/>
      <c r="G8" s="359"/>
      <c r="H8" s="359"/>
      <c r="I8" s="358"/>
      <c r="J8" s="358"/>
      <c r="K8" s="358"/>
      <c r="L8" s="358"/>
      <c r="M8" s="358"/>
      <c r="N8" s="358"/>
      <c r="O8" s="358"/>
      <c r="P8" s="358"/>
      <c r="Q8" s="358"/>
      <c r="R8" s="358"/>
      <c r="S8" s="358"/>
      <c r="T8" s="358"/>
      <c r="U8" s="358"/>
      <c r="V8" s="358"/>
      <c r="W8" s="358"/>
      <c r="X8" s="358"/>
      <c r="Y8" s="358"/>
      <c r="Z8" s="358"/>
      <c r="AA8" s="358"/>
      <c r="AB8" s="358"/>
      <c r="AC8" s="358"/>
      <c r="AD8" s="358"/>
      <c r="AE8" s="358"/>
      <c r="AF8" s="358"/>
      <c r="AG8" s="358"/>
    </row>
    <row r="9" ht="15.6">
      <c r="A9" s="357" t="s">
        <v>246</v>
      </c>
      <c r="B9" s="173"/>
      <c r="C9" s="173"/>
      <c r="D9" s="358"/>
      <c r="E9" s="358"/>
      <c r="F9" s="317"/>
      <c r="G9" s="359"/>
      <c r="H9" s="359"/>
      <c r="I9" s="358"/>
      <c r="J9" s="358"/>
      <c r="K9" s="358"/>
      <c r="L9" s="358"/>
      <c r="M9" s="358"/>
      <c r="N9" s="358"/>
      <c r="O9" s="358"/>
      <c r="P9" s="358"/>
      <c r="Q9" s="358"/>
      <c r="R9" s="358"/>
      <c r="S9" s="358"/>
      <c r="T9" s="358"/>
      <c r="U9" s="358"/>
      <c r="V9" s="358"/>
      <c r="W9" s="358"/>
      <c r="X9" s="358"/>
      <c r="Y9" s="358"/>
      <c r="Z9" s="358"/>
      <c r="AA9" s="358"/>
      <c r="AB9" s="358"/>
      <c r="AC9" s="358"/>
      <c r="AD9" s="358"/>
      <c r="AE9" s="358"/>
      <c r="AF9" s="358"/>
      <c r="AG9" s="358"/>
    </row>
    <row r="10" ht="15.6">
      <c r="A10" s="357" t="s">
        <v>247</v>
      </c>
      <c r="B10" s="173"/>
      <c r="C10" s="173"/>
      <c r="D10" s="358"/>
      <c r="E10" s="358"/>
      <c r="F10" s="317"/>
      <c r="G10" s="359"/>
      <c r="H10" s="359"/>
      <c r="I10" s="358"/>
      <c r="J10" s="358"/>
      <c r="K10" s="358"/>
      <c r="L10" s="358"/>
      <c r="M10" s="358"/>
      <c r="N10" s="358"/>
      <c r="O10" s="358"/>
      <c r="P10" s="358"/>
      <c r="Q10" s="358"/>
      <c r="R10" s="358"/>
      <c r="S10" s="358"/>
      <c r="T10" s="358"/>
      <c r="U10" s="358"/>
      <c r="V10" s="358"/>
      <c r="W10" s="358"/>
      <c r="X10" s="358"/>
      <c r="Y10" s="358"/>
      <c r="Z10" s="358"/>
      <c r="AA10" s="358"/>
      <c r="AB10" s="358"/>
      <c r="AC10" s="358"/>
      <c r="AD10" s="358"/>
      <c r="AE10" s="358"/>
      <c r="AF10" s="358"/>
      <c r="AG10" s="358"/>
    </row>
    <row r="11" ht="15.6">
      <c r="A11" s="357" t="s">
        <v>248</v>
      </c>
      <c r="B11" s="173"/>
      <c r="C11" s="173"/>
      <c r="D11" s="358"/>
      <c r="E11" s="358"/>
      <c r="F11" s="317"/>
      <c r="G11" s="359"/>
      <c r="H11" s="359"/>
      <c r="I11" s="358"/>
      <c r="J11" s="358"/>
      <c r="K11" s="358"/>
      <c r="L11" s="358"/>
      <c r="M11" s="358"/>
      <c r="N11" s="358"/>
      <c r="O11" s="358"/>
      <c r="P11" s="358"/>
      <c r="Q11" s="358"/>
      <c r="R11" s="358"/>
      <c r="S11" s="358"/>
      <c r="T11" s="358"/>
      <c r="U11" s="358"/>
      <c r="V11" s="358"/>
      <c r="W11" s="358"/>
      <c r="X11" s="358"/>
      <c r="Y11" s="358"/>
      <c r="Z11" s="358"/>
      <c r="AA11" s="358"/>
      <c r="AB11" s="358"/>
      <c r="AC11" s="358"/>
      <c r="AD11" s="358"/>
      <c r="AE11" s="358"/>
      <c r="AF11" s="358"/>
      <c r="AG11" s="358"/>
    </row>
    <row r="12" ht="15.6">
      <c r="A12" s="357" t="s">
        <v>249</v>
      </c>
      <c r="B12" s="173"/>
      <c r="C12" s="173"/>
      <c r="D12" s="358"/>
      <c r="E12" s="358"/>
      <c r="F12" s="317"/>
      <c r="G12" s="359"/>
      <c r="H12" s="359"/>
      <c r="I12" s="358"/>
      <c r="J12" s="358"/>
      <c r="K12" s="358"/>
      <c r="L12" s="358"/>
      <c r="M12" s="358"/>
      <c r="N12" s="358"/>
      <c r="O12" s="358"/>
      <c r="P12" s="358"/>
      <c r="Q12" s="358"/>
      <c r="R12" s="358"/>
      <c r="S12" s="358"/>
      <c r="T12" s="358"/>
      <c r="U12" s="358"/>
      <c r="V12" s="358"/>
      <c r="W12" s="358"/>
      <c r="X12" s="358"/>
      <c r="Y12" s="358"/>
      <c r="Z12" s="358"/>
      <c r="AA12" s="358"/>
      <c r="AB12" s="358"/>
      <c r="AC12" s="358"/>
      <c r="AD12" s="358"/>
      <c r="AE12" s="358"/>
      <c r="AF12" s="358"/>
      <c r="AG12" s="358"/>
    </row>
    <row r="13" ht="15.6">
      <c r="A13" s="171" t="s">
        <v>634</v>
      </c>
      <c r="B13" s="173"/>
      <c r="C13" s="173"/>
      <c r="D13" s="358"/>
      <c r="E13" s="358"/>
      <c r="F13" s="317"/>
      <c r="G13" s="359"/>
      <c r="H13" s="359"/>
      <c r="I13" s="358"/>
      <c r="J13" s="358"/>
      <c r="K13" s="358"/>
      <c r="L13" s="358"/>
      <c r="M13" s="358"/>
      <c r="N13" s="358"/>
      <c r="O13" s="358"/>
      <c r="P13" s="358"/>
      <c r="Q13" s="358"/>
      <c r="R13" s="358"/>
      <c r="S13" s="358"/>
      <c r="T13" s="358"/>
      <c r="U13" s="358"/>
      <c r="V13" s="358"/>
      <c r="W13" s="358"/>
      <c r="X13" s="358"/>
      <c r="Y13" s="358"/>
      <c r="Z13" s="358"/>
      <c r="AA13" s="358"/>
      <c r="AB13" s="358"/>
      <c r="AC13" s="358"/>
      <c r="AD13" s="358"/>
      <c r="AE13" s="358"/>
      <c r="AF13" s="358"/>
      <c r="AG13" s="358"/>
    </row>
    <row r="14" ht="15.6">
      <c r="A14" s="77" t="s">
        <v>452</v>
      </c>
    </row>
    <row r="17" ht="15.6">
      <c r="A17" s="66" t="s">
        <v>635</v>
      </c>
    </row>
    <row r="18" s="360" customFormat="1" ht="28.550000000000001">
      <c r="A18" s="361" t="s">
        <v>177</v>
      </c>
      <c r="B18" s="361" t="s">
        <v>424</v>
      </c>
      <c r="C18" s="361" t="s">
        <v>425</v>
      </c>
      <c r="D18" s="361" t="s">
        <v>433</v>
      </c>
      <c r="E18" s="361" t="s">
        <v>426</v>
      </c>
      <c r="F18" s="361" t="s">
        <v>433</v>
      </c>
      <c r="G18" s="361" t="s">
        <v>427</v>
      </c>
      <c r="H18" s="361" t="s">
        <v>433</v>
      </c>
      <c r="I18" s="361" t="s">
        <v>428</v>
      </c>
      <c r="J18" s="361" t="s">
        <v>433</v>
      </c>
      <c r="K18" s="361" t="s">
        <v>429</v>
      </c>
      <c r="L18" s="361" t="s">
        <v>433</v>
      </c>
      <c r="M18" s="361" t="s">
        <v>430</v>
      </c>
      <c r="N18" s="361" t="s">
        <v>433</v>
      </c>
      <c r="O18" s="361" t="s">
        <v>431</v>
      </c>
      <c r="P18" s="361" t="s">
        <v>433</v>
      </c>
    </row>
    <row r="19" ht="15.6">
      <c r="A19" s="171" t="s">
        <v>636</v>
      </c>
      <c r="B19" s="173"/>
      <c r="C19" s="173"/>
      <c r="D19" s="173"/>
      <c r="E19" s="358"/>
      <c r="F19" s="358"/>
      <c r="G19" s="358"/>
      <c r="H19" s="358"/>
      <c r="I19" s="358"/>
      <c r="J19" s="358"/>
      <c r="K19" s="358"/>
      <c r="L19" s="358"/>
      <c r="M19" s="358"/>
      <c r="N19" s="358"/>
      <c r="O19" s="358"/>
      <c r="P19" s="358"/>
    </row>
    <row r="20" ht="28.550000000000001">
      <c r="A20" s="171" t="s">
        <v>637</v>
      </c>
      <c r="B20" s="173"/>
      <c r="C20" s="173"/>
      <c r="D20" s="173"/>
      <c r="E20" s="358"/>
      <c r="F20" s="358"/>
      <c r="G20" s="358"/>
      <c r="H20" s="358"/>
      <c r="I20" s="358"/>
      <c r="J20" s="358"/>
      <c r="K20" s="358"/>
      <c r="L20" s="358"/>
      <c r="M20" s="358"/>
      <c r="N20" s="358"/>
      <c r="O20" s="358"/>
      <c r="P20" s="358"/>
    </row>
    <row r="21" ht="42.100000000000001">
      <c r="A21" s="171" t="s">
        <v>638</v>
      </c>
      <c r="B21" s="173"/>
      <c r="C21" s="173"/>
      <c r="D21" s="173"/>
      <c r="E21" s="358"/>
      <c r="F21" s="358"/>
      <c r="G21" s="358"/>
      <c r="H21" s="358"/>
      <c r="I21" s="358"/>
      <c r="J21" s="358"/>
      <c r="K21" s="358"/>
      <c r="L21" s="358"/>
      <c r="M21" s="358"/>
      <c r="N21" s="358"/>
      <c r="O21" s="358"/>
      <c r="P21" s="358"/>
    </row>
    <row r="22" ht="15.6">
      <c r="A22" s="171" t="s">
        <v>639</v>
      </c>
      <c r="B22" s="173"/>
      <c r="C22" s="173"/>
      <c r="D22" s="173"/>
      <c r="E22" s="358"/>
      <c r="F22" s="358"/>
      <c r="G22" s="358"/>
      <c r="H22" s="358"/>
      <c r="I22" s="358"/>
      <c r="J22" s="358"/>
      <c r="K22" s="358"/>
      <c r="L22" s="358"/>
      <c r="M22" s="358"/>
      <c r="N22" s="358"/>
      <c r="O22" s="358"/>
      <c r="P22" s="358"/>
    </row>
    <row r="23" ht="28.550000000000001">
      <c r="A23" s="171" t="s">
        <v>640</v>
      </c>
      <c r="B23" s="173"/>
      <c r="C23" s="173"/>
      <c r="D23" s="173"/>
      <c r="E23" s="358"/>
      <c r="F23" s="358"/>
      <c r="G23" s="358"/>
      <c r="H23" s="358"/>
      <c r="I23" s="358"/>
      <c r="J23" s="358"/>
      <c r="K23" s="358"/>
      <c r="L23" s="358"/>
      <c r="M23" s="358"/>
      <c r="N23" s="358"/>
      <c r="O23" s="358"/>
      <c r="P23" s="358"/>
    </row>
    <row r="24" ht="42.100000000000001">
      <c r="A24" s="171" t="s">
        <v>641</v>
      </c>
      <c r="B24" s="358"/>
      <c r="C24" s="358"/>
      <c r="D24" s="173"/>
      <c r="E24" s="358"/>
      <c r="F24" s="358"/>
      <c r="G24" s="358"/>
      <c r="H24" s="358"/>
      <c r="I24" s="358"/>
      <c r="J24" s="358"/>
      <c r="K24" s="358"/>
      <c r="L24" s="358"/>
      <c r="M24" s="358"/>
      <c r="N24" s="358"/>
      <c r="O24" s="358"/>
      <c r="P24" s="358"/>
    </row>
    <row r="25" ht="15.6">
      <c r="A25" s="66"/>
    </row>
    <row r="26" ht="15.6">
      <c r="A26" s="66" t="s">
        <v>642</v>
      </c>
    </row>
    <row r="27" s="183" customFormat="1" ht="15.75" customHeight="1">
      <c r="A27" s="168" t="s">
        <v>177</v>
      </c>
      <c r="B27" s="168" t="s">
        <v>421</v>
      </c>
      <c r="C27" s="168"/>
      <c r="D27" s="168"/>
      <c r="E27" s="168"/>
      <c r="F27" s="168"/>
      <c r="G27" s="168"/>
      <c r="H27" s="168"/>
      <c r="I27" s="168"/>
      <c r="J27" s="274" t="s">
        <v>422</v>
      </c>
      <c r="K27" s="274"/>
      <c r="L27" s="274"/>
      <c r="M27" s="274"/>
      <c r="N27" s="274"/>
      <c r="O27" s="274"/>
      <c r="P27" s="274"/>
      <c r="Q27" s="274"/>
      <c r="R27" s="274" t="s">
        <v>516</v>
      </c>
      <c r="S27" s="274"/>
      <c r="T27" s="274"/>
      <c r="U27" s="274"/>
      <c r="V27" s="274"/>
      <c r="W27" s="274"/>
      <c r="X27" s="274"/>
      <c r="Y27" s="274"/>
      <c r="Z27" s="274"/>
      <c r="AA27" s="274"/>
      <c r="AB27" s="274"/>
      <c r="AC27" s="274"/>
      <c r="AD27" s="274"/>
      <c r="AE27" s="274"/>
      <c r="AF27" s="274"/>
      <c r="AG27" s="274"/>
      <c r="AH27" s="274"/>
      <c r="AI27" s="274"/>
      <c r="AJ27" s="274"/>
      <c r="AK27" s="274"/>
      <c r="AL27" s="274"/>
    </row>
    <row r="28" s="199" customFormat="1" ht="15.6">
      <c r="A28" s="168"/>
      <c r="B28" s="168"/>
      <c r="C28" s="168"/>
      <c r="D28" s="168"/>
      <c r="E28" s="168"/>
      <c r="F28" s="168"/>
      <c r="G28" s="168"/>
      <c r="H28" s="168"/>
      <c r="I28" s="168"/>
      <c r="J28" s="274"/>
      <c r="K28" s="274"/>
      <c r="L28" s="274"/>
      <c r="M28" s="274"/>
      <c r="N28" s="274"/>
      <c r="O28" s="274"/>
      <c r="P28" s="274"/>
      <c r="Q28" s="274"/>
      <c r="R28" s="195" t="str">
        <f>аб!S3</f>
        <v xml:space="preserve">2019 год</v>
      </c>
      <c r="S28" s="195"/>
      <c r="T28" s="195"/>
      <c r="U28" s="195" t="str">
        <f>аб!V3</f>
        <v xml:space="preserve">2018 год</v>
      </c>
      <c r="V28" s="195"/>
      <c r="W28" s="195"/>
      <c r="X28" s="195" t="str">
        <f>аб!Y3</f>
        <v xml:space="preserve">2017 год</v>
      </c>
      <c r="Y28" s="195"/>
      <c r="Z28" s="195"/>
      <c r="AA28" s="195" t="str">
        <f>аб!AB3</f>
        <v xml:space="preserve">2016 год</v>
      </c>
      <c r="AB28" s="195"/>
      <c r="AC28" s="195"/>
      <c r="AD28" s="195" t="str">
        <f>аб!AE3</f>
        <v xml:space="preserve">2015 год</v>
      </c>
      <c r="AE28" s="195"/>
      <c r="AF28" s="195"/>
      <c r="AG28" s="195" t="str">
        <f>аб!AH3</f>
        <v xml:space="preserve">2014 год</v>
      </c>
      <c r="AH28" s="195"/>
      <c r="AI28" s="195"/>
      <c r="AJ28" s="195" t="str">
        <f>аб!AK3</f>
        <v xml:space="preserve">2013 год</v>
      </c>
      <c r="AK28" s="195"/>
      <c r="AL28" s="195"/>
    </row>
    <row r="29" s="199" customFormat="1" ht="28.550000000000001">
      <c r="A29" s="168"/>
      <c r="B29" s="274" t="str">
        <f>аб!C4</f>
        <v>31.12.2019</v>
      </c>
      <c r="C29" s="274" t="str">
        <f>аб!D4</f>
        <v>31.12.2018</v>
      </c>
      <c r="D29" s="274" t="str">
        <f>аб!E4</f>
        <v>31.12.2017</v>
      </c>
      <c r="E29" s="274" t="str">
        <f>аб!F4</f>
        <v>31.12.2016</v>
      </c>
      <c r="F29" s="274" t="str">
        <f>аб!G4</f>
        <v>31.12.2015</v>
      </c>
      <c r="G29" s="274" t="str">
        <f>аб!H4</f>
        <v>31.12.2014</v>
      </c>
      <c r="H29" s="274" t="str">
        <f>аб!I4</f>
        <v>31.12.2013</v>
      </c>
      <c r="I29" s="274" t="str">
        <f>аб!J4</f>
        <v>31.12.2012</v>
      </c>
      <c r="J29" s="274" t="str">
        <f>аб!K4</f>
        <v>31.12.2019</v>
      </c>
      <c r="K29" s="274" t="str">
        <f>аб!L4</f>
        <v>31.12.2018</v>
      </c>
      <c r="L29" s="274" t="str">
        <f>аб!M4</f>
        <v>31.12.2017</v>
      </c>
      <c r="M29" s="274" t="str">
        <f>аб!N4</f>
        <v>31.12.2016</v>
      </c>
      <c r="N29" s="274" t="str">
        <f>аб!O4</f>
        <v>31.12.2015</v>
      </c>
      <c r="O29" s="274" t="str">
        <f>аб!P4</f>
        <v>31.12.2014</v>
      </c>
      <c r="P29" s="274" t="str">
        <f>аб!Q4</f>
        <v>31.12.2013</v>
      </c>
      <c r="Q29" s="274" t="str">
        <f>аб!R4</f>
        <v>31.12.2012</v>
      </c>
      <c r="R29" s="274" t="str">
        <f>аб!S4</f>
        <v xml:space="preserve">в тыс. руб.</v>
      </c>
      <c r="S29" s="274" t="str">
        <f>аб!T4</f>
        <v xml:space="preserve">темп прироста, %</v>
      </c>
      <c r="T29" s="274" t="str">
        <f>аб!U4</f>
        <v xml:space="preserve">в структуре, %</v>
      </c>
      <c r="U29" s="274" t="str">
        <f>аб!V4</f>
        <v xml:space="preserve">в тыс. руб.</v>
      </c>
      <c r="V29" s="274" t="str">
        <f>аб!W4</f>
        <v xml:space="preserve">темп прироста, %</v>
      </c>
      <c r="W29" s="274" t="str">
        <f>аб!X4</f>
        <v xml:space="preserve">в структуре, %</v>
      </c>
      <c r="X29" s="274" t="str">
        <f>аб!Y4</f>
        <v xml:space="preserve">в тыс. руб.</v>
      </c>
      <c r="Y29" s="274" t="str">
        <f>аб!Z4</f>
        <v xml:space="preserve">темп прироста, %</v>
      </c>
      <c r="Z29" s="274" t="str">
        <f>аб!AA4</f>
        <v xml:space="preserve">в структуре, %</v>
      </c>
      <c r="AA29" s="274" t="str">
        <f>аб!AB4</f>
        <v xml:space="preserve">в тыс. руб.</v>
      </c>
      <c r="AB29" s="274" t="str">
        <f>аб!AC4</f>
        <v xml:space="preserve">темп прироста, %</v>
      </c>
      <c r="AC29" s="274" t="str">
        <f>аб!AD4</f>
        <v xml:space="preserve">в структуре, %</v>
      </c>
      <c r="AD29" s="274" t="str">
        <f>аб!AE4</f>
        <v xml:space="preserve">в тыс. руб.</v>
      </c>
      <c r="AE29" s="274" t="str">
        <f>аб!AF4</f>
        <v xml:space="preserve">темп прироста, %</v>
      </c>
      <c r="AF29" s="274" t="str">
        <f>аб!AG4</f>
        <v xml:space="preserve">в структуре, %</v>
      </c>
      <c r="AG29" s="274" t="str">
        <f>аб!AH4</f>
        <v xml:space="preserve">в тыс. руб.</v>
      </c>
      <c r="AH29" s="274" t="str">
        <f>аб!AI4</f>
        <v xml:space="preserve">темп прироста, %</v>
      </c>
      <c r="AI29" s="274" t="str">
        <f>аб!AJ4</f>
        <v xml:space="preserve">в структуре, %</v>
      </c>
      <c r="AJ29" s="274" t="str">
        <f>аб!AK4</f>
        <v xml:space="preserve">в тыс. руб.</v>
      </c>
      <c r="AK29" s="274" t="str">
        <f>аб!AL4</f>
        <v xml:space="preserve">темп прироста, %</v>
      </c>
      <c r="AL29" s="274" t="str">
        <f>аб!AM4</f>
        <v xml:space="preserve">в структуре, %</v>
      </c>
    </row>
    <row r="30" ht="28.550000000000001">
      <c r="A30" s="171" t="s">
        <v>643</v>
      </c>
      <c r="B30" s="317"/>
      <c r="C30" s="317"/>
      <c r="D30" s="362"/>
      <c r="E30" s="362"/>
      <c r="F30" s="317"/>
      <c r="G30" s="362"/>
      <c r="H30" s="362"/>
      <c r="I30" s="362"/>
      <c r="J30" s="362"/>
      <c r="K30" s="362"/>
      <c r="L30" s="362"/>
      <c r="M30" s="362"/>
      <c r="N30" s="362"/>
      <c r="O30" s="362"/>
      <c r="P30" s="362"/>
      <c r="Q30" s="362"/>
      <c r="R30" s="362"/>
      <c r="S30" s="362"/>
      <c r="T30" s="362"/>
      <c r="U30" s="362"/>
      <c r="V30" s="362"/>
      <c r="W30" s="362"/>
      <c r="X30" s="362"/>
      <c r="Y30" s="362"/>
      <c r="Z30" s="362"/>
      <c r="AA30" s="362"/>
      <c r="AB30" s="362"/>
      <c r="AC30" s="362"/>
      <c r="AD30" s="362"/>
      <c r="AE30" s="362"/>
      <c r="AF30" s="362"/>
      <c r="AG30" s="362"/>
      <c r="AH30" s="362"/>
      <c r="AI30" s="362"/>
      <c r="AJ30" s="362"/>
      <c r="AK30" s="362"/>
      <c r="AL30" s="362"/>
    </row>
    <row r="31" ht="28.550000000000001">
      <c r="A31" s="171" t="s">
        <v>644</v>
      </c>
      <c r="B31" s="317"/>
      <c r="C31" s="317"/>
      <c r="D31" s="362"/>
      <c r="E31" s="362"/>
      <c r="F31" s="317"/>
      <c r="G31" s="362"/>
      <c r="H31" s="362"/>
      <c r="I31" s="362"/>
      <c r="J31" s="362"/>
      <c r="K31" s="362"/>
      <c r="L31" s="362"/>
      <c r="M31" s="362"/>
      <c r="N31" s="362"/>
      <c r="O31" s="362"/>
      <c r="P31" s="362"/>
      <c r="Q31" s="362"/>
      <c r="R31" s="362"/>
      <c r="S31" s="362"/>
      <c r="T31" s="362"/>
      <c r="U31" s="362"/>
      <c r="V31" s="362"/>
      <c r="W31" s="362"/>
      <c r="X31" s="362"/>
      <c r="Y31" s="362"/>
      <c r="Z31" s="362"/>
      <c r="AA31" s="362"/>
      <c r="AB31" s="362"/>
      <c r="AC31" s="362"/>
      <c r="AD31" s="362"/>
      <c r="AE31" s="362"/>
      <c r="AF31" s="362"/>
      <c r="AG31" s="362"/>
      <c r="AH31" s="362"/>
      <c r="AI31" s="362"/>
      <c r="AJ31" s="362"/>
      <c r="AK31" s="362"/>
      <c r="AL31" s="362"/>
    </row>
    <row r="32" ht="28.550000000000001">
      <c r="A32" s="171" t="s">
        <v>645</v>
      </c>
      <c r="B32" s="317"/>
      <c r="C32" s="317"/>
      <c r="D32" s="362"/>
      <c r="E32" s="362"/>
      <c r="F32" s="317"/>
      <c r="G32" s="362"/>
      <c r="H32" s="362"/>
      <c r="I32" s="362"/>
      <c r="J32" s="362"/>
      <c r="K32" s="362"/>
      <c r="L32" s="362"/>
      <c r="M32" s="362"/>
      <c r="N32" s="362"/>
      <c r="O32" s="362"/>
      <c r="P32" s="362"/>
      <c r="Q32" s="362"/>
      <c r="R32" s="362"/>
      <c r="S32" s="362"/>
      <c r="T32" s="362"/>
      <c r="U32" s="362"/>
      <c r="V32" s="362"/>
      <c r="W32" s="362"/>
      <c r="X32" s="362"/>
      <c r="Y32" s="362"/>
      <c r="Z32" s="362"/>
      <c r="AA32" s="362"/>
      <c r="AB32" s="362"/>
      <c r="AC32" s="362"/>
      <c r="AD32" s="362"/>
      <c r="AE32" s="362"/>
      <c r="AF32" s="362"/>
      <c r="AG32" s="362"/>
      <c r="AH32" s="362"/>
      <c r="AI32" s="362"/>
      <c r="AJ32" s="362"/>
      <c r="AK32" s="362"/>
      <c r="AL32" s="362"/>
    </row>
    <row r="33" ht="15.6">
      <c r="A33" s="255"/>
      <c r="B33" s="255"/>
      <c r="C33" s="255"/>
      <c r="D33" s="265"/>
      <c r="E33" s="265"/>
      <c r="F33" s="255"/>
      <c r="G33" s="265"/>
      <c r="H33" s="265"/>
      <c r="I33" s="265"/>
      <c r="J33" s="265"/>
    </row>
    <row r="34" ht="15.6">
      <c r="A34" s="66" t="s">
        <v>642</v>
      </c>
    </row>
    <row r="35" s="183" customFormat="1" ht="15.75" customHeight="1">
      <c r="A35" s="168" t="s">
        <v>177</v>
      </c>
      <c r="B35" s="168" t="s">
        <v>421</v>
      </c>
      <c r="C35" s="168"/>
      <c r="D35" s="168"/>
      <c r="E35" s="168"/>
      <c r="F35" s="168"/>
      <c r="G35" s="168"/>
      <c r="H35" s="168"/>
      <c r="I35" s="168"/>
      <c r="J35" s="274" t="s">
        <v>422</v>
      </c>
      <c r="K35" s="274"/>
      <c r="L35" s="274"/>
      <c r="M35" s="274"/>
      <c r="N35" s="274"/>
      <c r="O35" s="274"/>
      <c r="P35" s="274"/>
      <c r="Q35" s="274"/>
      <c r="R35" s="274" t="s">
        <v>516</v>
      </c>
      <c r="S35" s="274"/>
      <c r="T35" s="274"/>
      <c r="U35" s="274"/>
      <c r="V35" s="274"/>
      <c r="W35" s="274"/>
      <c r="X35" s="274"/>
      <c r="Y35" s="274"/>
      <c r="Z35" s="274"/>
      <c r="AA35" s="274"/>
      <c r="AB35" s="274"/>
      <c r="AC35" s="274"/>
      <c r="AD35" s="274"/>
      <c r="AE35" s="274"/>
      <c r="AF35" s="274"/>
      <c r="AG35" s="274"/>
      <c r="AH35" s="274"/>
      <c r="AI35" s="274"/>
      <c r="AJ35" s="274"/>
      <c r="AK35" s="274"/>
      <c r="AL35" s="274"/>
    </row>
    <row r="36" s="199" customFormat="1" ht="15.6">
      <c r="A36" s="168"/>
      <c r="B36" s="168"/>
      <c r="C36" s="168"/>
      <c r="D36" s="168"/>
      <c r="E36" s="168"/>
      <c r="F36" s="168"/>
      <c r="G36" s="168"/>
      <c r="H36" s="168"/>
      <c r="I36" s="168"/>
      <c r="J36" s="274"/>
      <c r="K36" s="274"/>
      <c r="L36" s="274"/>
      <c r="M36" s="274"/>
      <c r="N36" s="274"/>
      <c r="O36" s="274"/>
      <c r="P36" s="274"/>
      <c r="Q36" s="274"/>
      <c r="R36" s="195" t="str">
        <f t="shared" ref="R36:R37" si="224">R28</f>
        <v xml:space="preserve">2019 год</v>
      </c>
      <c r="S36" s="195"/>
      <c r="T36" s="195"/>
      <c r="U36" s="195" t="str">
        <f t="shared" ref="U36:U37" si="225">U28</f>
        <v xml:space="preserve">2018 год</v>
      </c>
      <c r="V36" s="195"/>
      <c r="W36" s="195"/>
      <c r="X36" s="195" t="str">
        <f t="shared" ref="X36:X37" si="226">X28</f>
        <v xml:space="preserve">2017 год</v>
      </c>
      <c r="Y36" s="195"/>
      <c r="Z36" s="195"/>
      <c r="AA36" s="195" t="str">
        <f t="shared" ref="AA36:AA37" si="227">AA28</f>
        <v xml:space="preserve">2016 год</v>
      </c>
      <c r="AB36" s="195"/>
      <c r="AC36" s="195"/>
      <c r="AD36" s="195" t="str">
        <f t="shared" ref="AD36:AD37" si="228">AD28</f>
        <v xml:space="preserve">2015 год</v>
      </c>
      <c r="AE36" s="195"/>
      <c r="AF36" s="195"/>
      <c r="AG36" s="195" t="str">
        <f t="shared" ref="AG36:AG37" si="229">AG28</f>
        <v xml:space="preserve">2014 год</v>
      </c>
      <c r="AH36" s="195"/>
      <c r="AI36" s="195"/>
      <c r="AJ36" s="195" t="str">
        <f t="shared" ref="AJ36:AJ37" si="230">AJ28</f>
        <v xml:space="preserve">2013 год</v>
      </c>
      <c r="AK36" s="195"/>
      <c r="AL36" s="195"/>
    </row>
    <row r="37" s="199" customFormat="1" ht="28.550000000000001">
      <c r="A37" s="168"/>
      <c r="B37" s="274" t="str">
        <f>B29</f>
        <v>31.12.2019</v>
      </c>
      <c r="C37" s="274" t="str">
        <f>C29</f>
        <v>31.12.2018</v>
      </c>
      <c r="D37" s="274" t="str">
        <f>D29</f>
        <v>31.12.2017</v>
      </c>
      <c r="E37" s="274" t="str">
        <f>E29</f>
        <v>31.12.2016</v>
      </c>
      <c r="F37" s="274" t="str">
        <f>F29</f>
        <v>31.12.2015</v>
      </c>
      <c r="G37" s="274" t="str">
        <f>G29</f>
        <v>31.12.2014</v>
      </c>
      <c r="H37" s="274" t="str">
        <f>H29</f>
        <v>31.12.2013</v>
      </c>
      <c r="I37" s="274" t="str">
        <f>I29</f>
        <v>31.12.2012</v>
      </c>
      <c r="J37" s="274" t="str">
        <f>J29</f>
        <v>31.12.2019</v>
      </c>
      <c r="K37" s="274" t="str">
        <f>K29</f>
        <v>31.12.2018</v>
      </c>
      <c r="L37" s="274" t="str">
        <f>L29</f>
        <v>31.12.2017</v>
      </c>
      <c r="M37" s="274" t="str">
        <f>M29</f>
        <v>31.12.2016</v>
      </c>
      <c r="N37" s="274" t="str">
        <f>N29</f>
        <v>31.12.2015</v>
      </c>
      <c r="O37" s="274" t="str">
        <f>O29</f>
        <v>31.12.2014</v>
      </c>
      <c r="P37" s="274" t="str">
        <f>P29</f>
        <v>31.12.2013</v>
      </c>
      <c r="Q37" s="274" t="str">
        <f>Q29</f>
        <v>31.12.2012</v>
      </c>
      <c r="R37" s="274" t="str">
        <f t="shared" si="224"/>
        <v xml:space="preserve">в тыс. руб.</v>
      </c>
      <c r="S37" s="274" t="str">
        <f>S29</f>
        <v xml:space="preserve">темп прироста, %</v>
      </c>
      <c r="T37" s="274" t="str">
        <f>T29</f>
        <v xml:space="preserve">в структуре, %</v>
      </c>
      <c r="U37" s="274" t="str">
        <f t="shared" si="225"/>
        <v xml:space="preserve">в тыс. руб.</v>
      </c>
      <c r="V37" s="274" t="str">
        <f>V29</f>
        <v xml:space="preserve">темп прироста, %</v>
      </c>
      <c r="W37" s="274" t="str">
        <f>W29</f>
        <v xml:space="preserve">в структуре, %</v>
      </c>
      <c r="X37" s="274" t="str">
        <f t="shared" si="226"/>
        <v xml:space="preserve">в тыс. руб.</v>
      </c>
      <c r="Y37" s="274" t="str">
        <f>Y29</f>
        <v xml:space="preserve">темп прироста, %</v>
      </c>
      <c r="Z37" s="274" t="str">
        <f>Z29</f>
        <v xml:space="preserve">в структуре, %</v>
      </c>
      <c r="AA37" s="274" t="str">
        <f t="shared" si="227"/>
        <v xml:space="preserve">в тыс. руб.</v>
      </c>
      <c r="AB37" s="274" t="str">
        <f>AB29</f>
        <v xml:space="preserve">темп прироста, %</v>
      </c>
      <c r="AC37" s="274" t="str">
        <f>AC29</f>
        <v xml:space="preserve">в структуре, %</v>
      </c>
      <c r="AD37" s="274" t="str">
        <f t="shared" si="228"/>
        <v xml:space="preserve">в тыс. руб.</v>
      </c>
      <c r="AE37" s="274" t="str">
        <f>AE29</f>
        <v xml:space="preserve">темп прироста, %</v>
      </c>
      <c r="AF37" s="274" t="str">
        <f>AF29</f>
        <v xml:space="preserve">в структуре, %</v>
      </c>
      <c r="AG37" s="274" t="str">
        <f t="shared" si="229"/>
        <v xml:space="preserve">в тыс. руб.</v>
      </c>
      <c r="AH37" s="274" t="str">
        <f>AH29</f>
        <v xml:space="preserve">темп прироста, %</v>
      </c>
      <c r="AI37" s="274" t="str">
        <f>AI29</f>
        <v xml:space="preserve">в структуре, %</v>
      </c>
      <c r="AJ37" s="274" t="str">
        <f t="shared" si="230"/>
        <v xml:space="preserve">в тыс. руб.</v>
      </c>
      <c r="AK37" s="274" t="str">
        <f>AK29</f>
        <v xml:space="preserve">темп прироста, %</v>
      </c>
      <c r="AL37" s="274" t="str">
        <f>AL29</f>
        <v xml:space="preserve">в структуре, %</v>
      </c>
    </row>
    <row r="38" ht="15.6">
      <c r="A38" s="171" t="s">
        <v>646</v>
      </c>
      <c r="B38" s="317"/>
      <c r="C38" s="317"/>
      <c r="D38" s="363"/>
      <c r="E38" s="363"/>
      <c r="F38" s="317"/>
      <c r="G38" s="363"/>
      <c r="H38" s="363"/>
      <c r="I38" s="363"/>
      <c r="J38" s="363"/>
      <c r="K38" s="363"/>
      <c r="L38" s="363"/>
      <c r="M38" s="363"/>
      <c r="N38" s="363"/>
      <c r="O38" s="363"/>
      <c r="P38" s="363"/>
      <c r="Q38" s="363"/>
      <c r="R38" s="363"/>
      <c r="S38" s="363"/>
      <c r="T38" s="363"/>
      <c r="U38" s="363"/>
      <c r="V38" s="363"/>
      <c r="W38" s="363"/>
      <c r="X38" s="363"/>
      <c r="Y38" s="363"/>
      <c r="Z38" s="363"/>
      <c r="AA38" s="363"/>
      <c r="AB38" s="363"/>
      <c r="AC38" s="363"/>
      <c r="AD38" s="363"/>
      <c r="AE38" s="363"/>
      <c r="AF38" s="363"/>
      <c r="AG38" s="363"/>
      <c r="AH38" s="363"/>
      <c r="AI38" s="363"/>
      <c r="AJ38" s="363"/>
      <c r="AK38" s="363"/>
      <c r="AL38" s="363"/>
    </row>
    <row r="39" ht="15.6">
      <c r="A39" s="171" t="s">
        <v>639</v>
      </c>
      <c r="B39" s="317"/>
      <c r="C39" s="317"/>
      <c r="D39" s="363"/>
      <c r="E39" s="363"/>
      <c r="F39" s="317"/>
      <c r="G39" s="363"/>
      <c r="H39" s="363"/>
      <c r="I39" s="363"/>
      <c r="J39" s="363"/>
      <c r="K39" s="363"/>
      <c r="L39" s="363"/>
      <c r="M39" s="363"/>
      <c r="N39" s="363"/>
      <c r="O39" s="363"/>
      <c r="P39" s="363"/>
      <c r="Q39" s="363"/>
      <c r="R39" s="363"/>
      <c r="S39" s="363"/>
      <c r="T39" s="363"/>
      <c r="U39" s="363"/>
      <c r="V39" s="363"/>
      <c r="W39" s="363"/>
      <c r="X39" s="363"/>
      <c r="Y39" s="363"/>
      <c r="Z39" s="363"/>
      <c r="AA39" s="363"/>
      <c r="AB39" s="363"/>
      <c r="AC39" s="363"/>
      <c r="AD39" s="363"/>
      <c r="AE39" s="363"/>
      <c r="AF39" s="363"/>
      <c r="AG39" s="363"/>
      <c r="AH39" s="363"/>
      <c r="AI39" s="363"/>
      <c r="AJ39" s="363"/>
      <c r="AK39" s="363"/>
      <c r="AL39" s="363"/>
    </row>
    <row r="40" ht="15.6">
      <c r="A40" s="171" t="s">
        <v>647</v>
      </c>
      <c r="B40" s="317"/>
      <c r="C40" s="317"/>
      <c r="D40" s="363"/>
      <c r="E40" s="363"/>
      <c r="F40" s="317"/>
      <c r="G40" s="363"/>
      <c r="H40" s="363"/>
      <c r="I40" s="363"/>
      <c r="J40" s="363"/>
      <c r="K40" s="363"/>
      <c r="L40" s="363"/>
      <c r="M40" s="363"/>
      <c r="N40" s="363"/>
      <c r="O40" s="363"/>
      <c r="P40" s="363"/>
      <c r="Q40" s="363"/>
      <c r="R40" s="363"/>
      <c r="S40" s="363"/>
      <c r="T40" s="363"/>
      <c r="U40" s="363"/>
      <c r="V40" s="363"/>
      <c r="W40" s="363"/>
      <c r="X40" s="363"/>
      <c r="Y40" s="363"/>
      <c r="Z40" s="363"/>
      <c r="AA40" s="363"/>
      <c r="AB40" s="363"/>
      <c r="AC40" s="363"/>
      <c r="AD40" s="363"/>
      <c r="AE40" s="363"/>
      <c r="AF40" s="363"/>
      <c r="AG40" s="363"/>
      <c r="AH40" s="363"/>
      <c r="AI40" s="363"/>
      <c r="AJ40" s="363"/>
      <c r="AK40" s="363"/>
      <c r="AL40" s="363"/>
    </row>
    <row r="41" ht="28.550000000000001">
      <c r="A41" s="171" t="s">
        <v>645</v>
      </c>
      <c r="B41" s="317"/>
      <c r="C41" s="317"/>
      <c r="D41" s="363"/>
      <c r="E41" s="363"/>
      <c r="F41" s="317"/>
      <c r="G41" s="363"/>
      <c r="H41" s="363"/>
      <c r="I41" s="363"/>
      <c r="J41" s="363"/>
      <c r="K41" s="363"/>
      <c r="L41" s="363"/>
      <c r="M41" s="363"/>
      <c r="N41" s="363"/>
      <c r="O41" s="363"/>
      <c r="P41" s="363"/>
      <c r="Q41" s="363"/>
      <c r="R41" s="363"/>
      <c r="S41" s="363"/>
      <c r="T41" s="363"/>
      <c r="U41" s="363"/>
      <c r="V41" s="363"/>
      <c r="W41" s="363"/>
      <c r="X41" s="363"/>
      <c r="Y41" s="363"/>
      <c r="Z41" s="363"/>
      <c r="AA41" s="363"/>
      <c r="AB41" s="363"/>
      <c r="AC41" s="363"/>
      <c r="AD41" s="363"/>
      <c r="AE41" s="363"/>
      <c r="AF41" s="363"/>
      <c r="AG41" s="363"/>
      <c r="AH41" s="363"/>
      <c r="AI41" s="363"/>
      <c r="AJ41" s="363"/>
      <c r="AK41" s="363"/>
      <c r="AL41" s="363"/>
    </row>
    <row r="42" ht="15.6">
      <c r="A42" s="77" t="s">
        <v>452</v>
      </c>
      <c r="B42" s="177"/>
      <c r="C42" s="177"/>
      <c r="D42" s="177"/>
      <c r="E42" s="364"/>
      <c r="F42" s="177"/>
      <c r="G42" s="265"/>
      <c r="H42" s="265"/>
      <c r="I42" s="364"/>
      <c r="J42" s="364"/>
    </row>
    <row r="43" ht="15.6">
      <c r="B43" s="177"/>
      <c r="C43" s="177"/>
      <c r="D43" s="177"/>
      <c r="E43" s="364"/>
      <c r="F43" s="177"/>
      <c r="G43" s="265"/>
      <c r="H43" s="265"/>
      <c r="I43" s="364"/>
      <c r="J43" s="364"/>
    </row>
    <row r="45" ht="15.6">
      <c r="A45" s="66" t="s">
        <v>648</v>
      </c>
    </row>
    <row r="46" s="183" customFormat="1" ht="15.75" customHeight="1">
      <c r="A46" s="168" t="s">
        <v>177</v>
      </c>
      <c r="B46" s="168" t="s">
        <v>421</v>
      </c>
      <c r="C46" s="168"/>
      <c r="D46" s="168"/>
      <c r="E46" s="168"/>
      <c r="F46" s="168"/>
      <c r="G46" s="168"/>
      <c r="H46" s="168"/>
      <c r="I46" s="168"/>
      <c r="J46" s="274" t="s">
        <v>422</v>
      </c>
      <c r="K46" s="274"/>
      <c r="L46" s="274"/>
      <c r="M46" s="274"/>
      <c r="N46" s="274"/>
      <c r="O46" s="274"/>
      <c r="P46" s="274"/>
      <c r="Q46" s="274"/>
      <c r="R46" s="274" t="s">
        <v>516</v>
      </c>
      <c r="S46" s="274"/>
      <c r="T46" s="274"/>
      <c r="U46" s="274"/>
      <c r="V46" s="274"/>
      <c r="W46" s="274"/>
      <c r="X46" s="274"/>
      <c r="Y46" s="274"/>
      <c r="Z46" s="274"/>
      <c r="AA46" s="274"/>
      <c r="AB46" s="274"/>
      <c r="AC46" s="274"/>
      <c r="AD46" s="274"/>
      <c r="AE46" s="274"/>
      <c r="AF46" s="274"/>
      <c r="AG46" s="274"/>
      <c r="AH46" s="274"/>
      <c r="AI46" s="274"/>
      <c r="AJ46" s="274"/>
      <c r="AK46" s="274"/>
      <c r="AL46" s="274"/>
    </row>
    <row r="47" s="199" customFormat="1" ht="15.6">
      <c r="A47" s="168"/>
      <c r="B47" s="168"/>
      <c r="C47" s="168"/>
      <c r="D47" s="168"/>
      <c r="E47" s="168"/>
      <c r="F47" s="168"/>
      <c r="G47" s="168"/>
      <c r="H47" s="168"/>
      <c r="I47" s="168"/>
      <c r="J47" s="274"/>
      <c r="K47" s="274"/>
      <c r="L47" s="274"/>
      <c r="M47" s="274"/>
      <c r="N47" s="274"/>
      <c r="O47" s="274"/>
      <c r="P47" s="274"/>
      <c r="Q47" s="274"/>
      <c r="R47" s="195" t="str">
        <f t="shared" ref="R47:R48" si="231">R36</f>
        <v xml:space="preserve">2019 год</v>
      </c>
      <c r="S47" s="195"/>
      <c r="T47" s="195"/>
      <c r="U47" s="195" t="str">
        <f t="shared" ref="U47:U48" si="232">U36</f>
        <v xml:space="preserve">2018 год</v>
      </c>
      <c r="V47" s="195"/>
      <c r="W47" s="195"/>
      <c r="X47" s="195" t="str">
        <f t="shared" ref="X47:X48" si="233">X36</f>
        <v xml:space="preserve">2017 год</v>
      </c>
      <c r="Y47" s="195"/>
      <c r="Z47" s="195"/>
      <c r="AA47" s="195" t="str">
        <f t="shared" ref="AA47:AA48" si="234">AA36</f>
        <v xml:space="preserve">2016 год</v>
      </c>
      <c r="AB47" s="195"/>
      <c r="AC47" s="195"/>
      <c r="AD47" s="195" t="str">
        <f t="shared" ref="AD47:AD48" si="235">AD36</f>
        <v xml:space="preserve">2015 год</v>
      </c>
      <c r="AE47" s="195"/>
      <c r="AF47" s="195"/>
      <c r="AG47" s="195" t="str">
        <f t="shared" ref="AG47:AG48" si="236">AG36</f>
        <v xml:space="preserve">2014 год</v>
      </c>
      <c r="AH47" s="195"/>
      <c r="AI47" s="195"/>
      <c r="AJ47" s="195" t="str">
        <f t="shared" ref="AJ47:AJ48" si="237">AJ36</f>
        <v xml:space="preserve">2013 год</v>
      </c>
      <c r="AK47" s="195"/>
      <c r="AL47" s="195"/>
    </row>
    <row r="48" s="199" customFormat="1" ht="28.550000000000001">
      <c r="A48" s="168"/>
      <c r="B48" s="274" t="str">
        <f>B37</f>
        <v>31.12.2019</v>
      </c>
      <c r="C48" s="274" t="str">
        <f>C37</f>
        <v>31.12.2018</v>
      </c>
      <c r="D48" s="274" t="str">
        <f>D37</f>
        <v>31.12.2017</v>
      </c>
      <c r="E48" s="274" t="str">
        <f>E37</f>
        <v>31.12.2016</v>
      </c>
      <c r="F48" s="274" t="str">
        <f>F37</f>
        <v>31.12.2015</v>
      </c>
      <c r="G48" s="274" t="str">
        <f>G37</f>
        <v>31.12.2014</v>
      </c>
      <c r="H48" s="274" t="str">
        <f>H37</f>
        <v>31.12.2013</v>
      </c>
      <c r="I48" s="274" t="str">
        <f>I37</f>
        <v>31.12.2012</v>
      </c>
      <c r="J48" s="274" t="str">
        <f>J37</f>
        <v>31.12.2019</v>
      </c>
      <c r="K48" s="274" t="str">
        <f>K37</f>
        <v>31.12.2018</v>
      </c>
      <c r="L48" s="274" t="str">
        <f>L37</f>
        <v>31.12.2017</v>
      </c>
      <c r="M48" s="274" t="str">
        <f>M37</f>
        <v>31.12.2016</v>
      </c>
      <c r="N48" s="274" t="str">
        <f>N37</f>
        <v>31.12.2015</v>
      </c>
      <c r="O48" s="274" t="str">
        <f>O37</f>
        <v>31.12.2014</v>
      </c>
      <c r="P48" s="274" t="str">
        <f>P37</f>
        <v>31.12.2013</v>
      </c>
      <c r="Q48" s="274" t="str">
        <f>Q37</f>
        <v>31.12.2012</v>
      </c>
      <c r="R48" s="274" t="str">
        <f t="shared" si="231"/>
        <v xml:space="preserve">в тыс. руб.</v>
      </c>
      <c r="S48" s="274" t="str">
        <f>S37</f>
        <v xml:space="preserve">темп прироста, %</v>
      </c>
      <c r="T48" s="274" t="str">
        <f>T37</f>
        <v xml:space="preserve">в структуре, %</v>
      </c>
      <c r="U48" s="274" t="str">
        <f t="shared" si="232"/>
        <v xml:space="preserve">в тыс. руб.</v>
      </c>
      <c r="V48" s="274" t="str">
        <f>V37</f>
        <v xml:space="preserve">темп прироста, %</v>
      </c>
      <c r="W48" s="274" t="str">
        <f>W37</f>
        <v xml:space="preserve">в структуре, %</v>
      </c>
      <c r="X48" s="274" t="str">
        <f t="shared" si="233"/>
        <v xml:space="preserve">в тыс. руб.</v>
      </c>
      <c r="Y48" s="274" t="str">
        <f>Y37</f>
        <v xml:space="preserve">темп прироста, %</v>
      </c>
      <c r="Z48" s="274" t="str">
        <f>Z37</f>
        <v xml:space="preserve">в структуре, %</v>
      </c>
      <c r="AA48" s="274" t="str">
        <f t="shared" si="234"/>
        <v xml:space="preserve">в тыс. руб.</v>
      </c>
      <c r="AB48" s="274" t="str">
        <f>AB37</f>
        <v xml:space="preserve">темп прироста, %</v>
      </c>
      <c r="AC48" s="274" t="str">
        <f>AC37</f>
        <v xml:space="preserve">в структуре, %</v>
      </c>
      <c r="AD48" s="274" t="str">
        <f t="shared" si="235"/>
        <v xml:space="preserve">в тыс. руб.</v>
      </c>
      <c r="AE48" s="274" t="str">
        <f>AE37</f>
        <v xml:space="preserve">темп прироста, %</v>
      </c>
      <c r="AF48" s="274" t="str">
        <f>AF37</f>
        <v xml:space="preserve">в структуре, %</v>
      </c>
      <c r="AG48" s="274" t="str">
        <f t="shared" si="236"/>
        <v xml:space="preserve">в тыс. руб.</v>
      </c>
      <c r="AH48" s="274" t="str">
        <f>AH37</f>
        <v xml:space="preserve">темп прироста, %</v>
      </c>
      <c r="AI48" s="274" t="str">
        <f>AI37</f>
        <v xml:space="preserve">в структуре, %</v>
      </c>
      <c r="AJ48" s="274" t="str">
        <f t="shared" si="237"/>
        <v xml:space="preserve">в тыс. руб.</v>
      </c>
      <c r="AK48" s="274" t="str">
        <f>AK37</f>
        <v xml:space="preserve">темп прироста, %</v>
      </c>
      <c r="AL48" s="274" t="str">
        <f>AL37</f>
        <v xml:space="preserve">в структуре, %</v>
      </c>
    </row>
    <row r="49" ht="15.6">
      <c r="A49" s="357" t="s">
        <v>276</v>
      </c>
      <c r="B49" s="317"/>
      <c r="C49" s="317"/>
      <c r="D49" s="363"/>
      <c r="E49" s="363"/>
      <c r="F49" s="317"/>
      <c r="G49" s="363"/>
      <c r="H49" s="363"/>
      <c r="I49" s="363"/>
      <c r="J49" s="363"/>
      <c r="K49" s="363"/>
      <c r="L49" s="363"/>
      <c r="M49" s="363"/>
      <c r="N49" s="363"/>
      <c r="O49" s="363"/>
      <c r="P49" s="363"/>
      <c r="Q49" s="363"/>
      <c r="R49" s="363"/>
      <c r="S49" s="363"/>
      <c r="T49" s="363"/>
      <c r="U49" s="363"/>
      <c r="V49" s="363"/>
      <c r="W49" s="363"/>
      <c r="X49" s="363"/>
      <c r="Y49" s="363"/>
      <c r="Z49" s="363"/>
      <c r="AA49" s="363"/>
      <c r="AB49" s="363"/>
      <c r="AC49" s="363"/>
      <c r="AD49" s="363"/>
      <c r="AE49" s="363"/>
      <c r="AF49" s="363"/>
      <c r="AG49" s="363"/>
      <c r="AH49" s="363"/>
      <c r="AI49" s="363"/>
      <c r="AJ49" s="363"/>
      <c r="AK49" s="363"/>
      <c r="AL49" s="363"/>
    </row>
    <row r="50" ht="15.6">
      <c r="A50" s="357" t="s">
        <v>277</v>
      </c>
      <c r="B50" s="317"/>
      <c r="C50" s="317"/>
      <c r="D50" s="363"/>
      <c r="E50" s="363"/>
      <c r="F50" s="317"/>
      <c r="G50" s="363"/>
      <c r="H50" s="363"/>
      <c r="I50" s="363"/>
      <c r="J50" s="363"/>
      <c r="K50" s="363"/>
      <c r="L50" s="363"/>
      <c r="M50" s="363"/>
      <c r="N50" s="363"/>
      <c r="O50" s="363"/>
      <c r="P50" s="363"/>
      <c r="Q50" s="363"/>
      <c r="R50" s="363"/>
      <c r="S50" s="363"/>
      <c r="T50" s="363"/>
      <c r="U50" s="363"/>
      <c r="V50" s="363"/>
      <c r="W50" s="363"/>
      <c r="X50" s="363"/>
      <c r="Y50" s="363"/>
      <c r="Z50" s="363"/>
      <c r="AA50" s="363"/>
      <c r="AB50" s="363"/>
      <c r="AC50" s="363"/>
      <c r="AD50" s="363"/>
      <c r="AE50" s="363"/>
      <c r="AF50" s="363"/>
      <c r="AG50" s="363"/>
      <c r="AH50" s="363"/>
      <c r="AI50" s="363"/>
      <c r="AJ50" s="363"/>
      <c r="AK50" s="363"/>
      <c r="AL50" s="363"/>
    </row>
    <row r="51" ht="28.550000000000001">
      <c r="A51" s="357" t="s">
        <v>278</v>
      </c>
      <c r="B51" s="317"/>
      <c r="C51" s="317"/>
      <c r="D51" s="363"/>
      <c r="E51" s="363"/>
      <c r="F51" s="317"/>
      <c r="G51" s="363"/>
      <c r="H51" s="363"/>
      <c r="I51" s="363"/>
      <c r="J51" s="363"/>
      <c r="K51" s="363"/>
      <c r="L51" s="363"/>
      <c r="M51" s="363"/>
      <c r="N51" s="363"/>
      <c r="O51" s="363"/>
      <c r="P51" s="363"/>
      <c r="Q51" s="363"/>
      <c r="R51" s="363"/>
      <c r="S51" s="363"/>
      <c r="T51" s="363"/>
      <c r="U51" s="363"/>
      <c r="V51" s="363"/>
      <c r="W51" s="363"/>
      <c r="X51" s="363"/>
      <c r="Y51" s="363"/>
      <c r="Z51" s="363"/>
      <c r="AA51" s="363"/>
      <c r="AB51" s="363"/>
      <c r="AC51" s="363"/>
      <c r="AD51" s="363"/>
      <c r="AE51" s="363"/>
      <c r="AF51" s="363"/>
      <c r="AG51" s="363"/>
      <c r="AH51" s="363"/>
      <c r="AI51" s="363"/>
      <c r="AJ51" s="363"/>
      <c r="AK51" s="363"/>
      <c r="AL51" s="363"/>
    </row>
    <row r="52" ht="42.100000000000001">
      <c r="A52" s="357" t="s">
        <v>279</v>
      </c>
      <c r="B52" s="317"/>
      <c r="C52" s="317"/>
      <c r="D52" s="363"/>
      <c r="E52" s="363"/>
      <c r="F52" s="317"/>
      <c r="G52" s="363"/>
      <c r="H52" s="363"/>
      <c r="I52" s="363"/>
      <c r="J52" s="363"/>
      <c r="K52" s="363"/>
      <c r="L52" s="363"/>
      <c r="M52" s="363"/>
      <c r="N52" s="363"/>
      <c r="O52" s="363"/>
      <c r="P52" s="363"/>
      <c r="Q52" s="363"/>
      <c r="R52" s="363"/>
      <c r="S52" s="363"/>
      <c r="T52" s="363"/>
      <c r="U52" s="363"/>
      <c r="V52" s="363"/>
      <c r="W52" s="363"/>
      <c r="X52" s="363"/>
      <c r="Y52" s="363"/>
      <c r="Z52" s="363"/>
      <c r="AA52" s="363"/>
      <c r="AB52" s="363"/>
      <c r="AC52" s="363"/>
      <c r="AD52" s="363"/>
      <c r="AE52" s="363"/>
      <c r="AF52" s="363"/>
      <c r="AG52" s="363"/>
      <c r="AH52" s="363"/>
      <c r="AI52" s="363"/>
      <c r="AJ52" s="363"/>
      <c r="AK52" s="363"/>
      <c r="AL52" s="363"/>
    </row>
    <row r="53" ht="28.550000000000001">
      <c r="A53" s="357" t="s">
        <v>280</v>
      </c>
      <c r="B53" s="317"/>
      <c r="C53" s="317"/>
      <c r="D53" s="363"/>
      <c r="E53" s="363"/>
      <c r="F53" s="317"/>
      <c r="G53" s="363"/>
      <c r="H53" s="363"/>
      <c r="I53" s="363"/>
      <c r="J53" s="363"/>
      <c r="K53" s="363"/>
      <c r="L53" s="363"/>
      <c r="M53" s="363"/>
      <c r="N53" s="363"/>
      <c r="O53" s="363"/>
      <c r="P53" s="363"/>
      <c r="Q53" s="363"/>
      <c r="R53" s="363"/>
      <c r="S53" s="363"/>
      <c r="T53" s="363"/>
      <c r="U53" s="363"/>
      <c r="V53" s="363"/>
      <c r="W53" s="363"/>
      <c r="X53" s="363"/>
      <c r="Y53" s="363"/>
      <c r="Z53" s="363"/>
      <c r="AA53" s="363"/>
      <c r="AB53" s="363"/>
      <c r="AC53" s="363"/>
      <c r="AD53" s="363"/>
      <c r="AE53" s="363"/>
      <c r="AF53" s="363"/>
      <c r="AG53" s="363"/>
      <c r="AH53" s="363"/>
      <c r="AI53" s="363"/>
      <c r="AJ53" s="363"/>
      <c r="AK53" s="363"/>
      <c r="AL53" s="363"/>
    </row>
    <row r="54" ht="15.6">
      <c r="A54" s="357" t="s">
        <v>281</v>
      </c>
      <c r="B54" s="317"/>
      <c r="C54" s="317"/>
      <c r="D54" s="363"/>
      <c r="E54" s="363"/>
      <c r="F54" s="317"/>
      <c r="G54" s="363"/>
      <c r="H54" s="363"/>
      <c r="I54" s="363"/>
      <c r="J54" s="363"/>
      <c r="K54" s="363"/>
      <c r="L54" s="363"/>
      <c r="M54" s="363"/>
      <c r="N54" s="363"/>
      <c r="O54" s="363"/>
      <c r="P54" s="363"/>
      <c r="Q54" s="363"/>
      <c r="R54" s="363"/>
      <c r="S54" s="363"/>
      <c r="T54" s="363"/>
      <c r="U54" s="363"/>
      <c r="V54" s="363"/>
      <c r="W54" s="363"/>
      <c r="X54" s="363"/>
      <c r="Y54" s="363"/>
      <c r="Z54" s="363"/>
      <c r="AA54" s="363"/>
      <c r="AB54" s="363"/>
      <c r="AC54" s="363"/>
      <c r="AD54" s="363"/>
      <c r="AE54" s="363"/>
      <c r="AF54" s="363"/>
      <c r="AG54" s="363"/>
      <c r="AH54" s="363"/>
      <c r="AI54" s="363"/>
      <c r="AJ54" s="363"/>
      <c r="AK54" s="363"/>
      <c r="AL54" s="363"/>
    </row>
    <row r="55" ht="28.550000000000001">
      <c r="A55" s="357" t="s">
        <v>649</v>
      </c>
      <c r="B55" s="317"/>
      <c r="C55" s="317"/>
      <c r="D55" s="363"/>
      <c r="E55" s="363"/>
      <c r="F55" s="317"/>
      <c r="G55" s="363"/>
      <c r="H55" s="363"/>
      <c r="I55" s="363"/>
      <c r="J55" s="363"/>
      <c r="K55" s="363"/>
      <c r="L55" s="363"/>
      <c r="M55" s="363"/>
      <c r="N55" s="363"/>
      <c r="O55" s="363"/>
      <c r="P55" s="363"/>
      <c r="Q55" s="363"/>
      <c r="R55" s="363"/>
      <c r="S55" s="363"/>
      <c r="T55" s="363"/>
      <c r="U55" s="363"/>
      <c r="V55" s="363"/>
      <c r="W55" s="363"/>
      <c r="X55" s="363"/>
      <c r="Y55" s="363"/>
      <c r="Z55" s="363"/>
      <c r="AA55" s="363"/>
      <c r="AB55" s="363"/>
      <c r="AC55" s="363"/>
      <c r="AD55" s="363"/>
      <c r="AE55" s="363"/>
      <c r="AF55" s="363"/>
      <c r="AG55" s="363"/>
      <c r="AH55" s="363"/>
      <c r="AI55" s="363"/>
      <c r="AJ55" s="363"/>
      <c r="AK55" s="363"/>
      <c r="AL55" s="363"/>
    </row>
    <row r="58" ht="15.6">
      <c r="A58" s="37" t="s">
        <v>650</v>
      </c>
      <c r="B58" s="31"/>
      <c r="C58" s="31"/>
      <c r="D58" s="31"/>
      <c r="E58" s="31"/>
      <c r="P58" s="72"/>
    </row>
    <row r="59" s="360" customFormat="1" ht="28.550000000000001">
      <c r="A59" s="361" t="s">
        <v>177</v>
      </c>
      <c r="B59" s="361" t="s">
        <v>320</v>
      </c>
      <c r="C59" s="361" t="s">
        <v>321</v>
      </c>
      <c r="D59" s="361" t="s">
        <v>433</v>
      </c>
      <c r="E59" s="361" t="s">
        <v>322</v>
      </c>
      <c r="F59" s="361" t="s">
        <v>433</v>
      </c>
      <c r="G59" s="361" t="s">
        <v>323</v>
      </c>
      <c r="H59" s="361" t="s">
        <v>322</v>
      </c>
      <c r="I59" s="361" t="s">
        <v>433</v>
      </c>
      <c r="J59" s="361" t="s">
        <v>324</v>
      </c>
      <c r="K59" s="361" t="s">
        <v>433</v>
      </c>
      <c r="L59" s="361" t="s">
        <v>325</v>
      </c>
      <c r="M59" s="361" t="s">
        <v>433</v>
      </c>
      <c r="N59" s="361" t="s">
        <v>326</v>
      </c>
      <c r="O59" s="361" t="s">
        <v>433</v>
      </c>
      <c r="P59" s="70"/>
    </row>
    <row r="60" ht="55.600000000000001">
      <c r="A60" s="365" t="s">
        <v>651</v>
      </c>
      <c r="B60" s="45"/>
      <c r="C60" s="45"/>
      <c r="D60" s="366"/>
      <c r="E60" s="366"/>
      <c r="F60" s="45"/>
      <c r="G60" s="45"/>
      <c r="H60" s="45"/>
      <c r="I60" s="366"/>
      <c r="J60" s="366"/>
      <c r="K60" s="45"/>
      <c r="L60" s="45"/>
      <c r="M60" s="366"/>
      <c r="N60" s="366"/>
      <c r="O60" s="45"/>
      <c r="P60" s="72"/>
    </row>
    <row r="61" ht="42.100000000000001">
      <c r="A61" s="365" t="s">
        <v>652</v>
      </c>
      <c r="B61" s="45"/>
      <c r="C61" s="45"/>
      <c r="D61" s="366"/>
      <c r="E61" s="366"/>
      <c r="F61" s="45"/>
      <c r="G61" s="45"/>
      <c r="H61" s="45"/>
      <c r="I61" s="366"/>
      <c r="J61" s="366"/>
      <c r="K61" s="45"/>
      <c r="L61" s="45"/>
      <c r="M61" s="366"/>
      <c r="N61" s="366"/>
      <c r="O61" s="45"/>
      <c r="P61" s="72"/>
    </row>
    <row r="62" ht="15.6">
      <c r="A62" s="367" t="s">
        <v>466</v>
      </c>
      <c r="B62" s="46"/>
      <c r="C62" s="46"/>
      <c r="D62" s="368"/>
      <c r="E62" s="368"/>
      <c r="F62" s="46"/>
      <c r="G62" s="46"/>
      <c r="H62" s="46"/>
      <c r="I62" s="368"/>
      <c r="J62" s="368"/>
      <c r="K62" s="46"/>
      <c r="L62" s="46"/>
      <c r="M62" s="368"/>
      <c r="N62" s="368"/>
      <c r="O62" s="46"/>
      <c r="P62" s="369"/>
    </row>
    <row r="63" ht="28.550000000000001">
      <c r="A63" s="370" t="s">
        <v>653</v>
      </c>
      <c r="B63" s="45"/>
      <c r="C63" s="45"/>
      <c r="D63" s="45"/>
      <c r="E63" s="366"/>
      <c r="F63" s="45"/>
      <c r="G63" s="45"/>
      <c r="H63" s="45"/>
      <c r="I63" s="45"/>
      <c r="J63" s="366"/>
      <c r="K63" s="45"/>
      <c r="L63" s="45"/>
      <c r="M63" s="45"/>
      <c r="N63" s="366"/>
      <c r="O63" s="45"/>
      <c r="P63" s="70"/>
    </row>
    <row r="64" ht="15.6">
      <c r="A64" s="371" t="s">
        <v>654</v>
      </c>
      <c r="B64" s="45"/>
      <c r="C64" s="45"/>
      <c r="D64" s="45"/>
      <c r="E64" s="366"/>
      <c r="F64" s="45"/>
      <c r="G64" s="45"/>
      <c r="H64" s="45"/>
      <c r="I64" s="45"/>
      <c r="J64" s="366"/>
      <c r="K64" s="45"/>
      <c r="L64" s="45"/>
      <c r="M64" s="45"/>
      <c r="N64" s="366"/>
      <c r="O64" s="45"/>
      <c r="P64" s="72"/>
    </row>
    <row r="65" ht="28.550000000000001">
      <c r="A65" s="372" t="s">
        <v>655</v>
      </c>
      <c r="B65" s="373"/>
      <c r="C65" s="373"/>
      <c r="D65" s="366"/>
      <c r="E65" s="366"/>
      <c r="F65" s="373"/>
      <c r="G65" s="373"/>
      <c r="H65" s="373"/>
      <c r="I65" s="366"/>
      <c r="J65" s="366"/>
      <c r="K65" s="373"/>
      <c r="L65" s="373"/>
      <c r="M65" s="366"/>
      <c r="N65" s="366"/>
      <c r="O65" s="373"/>
      <c r="P65" s="369"/>
    </row>
    <row r="66" ht="15.6">
      <c r="A66" s="367" t="s">
        <v>466</v>
      </c>
      <c r="B66" s="46"/>
      <c r="C66" s="46"/>
      <c r="D66" s="368"/>
      <c r="E66" s="368"/>
      <c r="F66" s="46"/>
      <c r="G66" s="46"/>
      <c r="H66" s="46"/>
      <c r="I66" s="368"/>
      <c r="J66" s="368"/>
      <c r="K66" s="46"/>
      <c r="L66" s="46"/>
      <c r="M66" s="368"/>
      <c r="N66" s="368"/>
      <c r="O66" s="46"/>
      <c r="P66" s="70"/>
    </row>
    <row r="67" ht="15.6">
      <c r="A67" s="374" t="s">
        <v>656</v>
      </c>
      <c r="B67" s="45"/>
      <c r="C67" s="45"/>
      <c r="D67" s="45"/>
      <c r="E67" s="366"/>
      <c r="F67" s="45"/>
      <c r="G67" s="45"/>
      <c r="H67" s="45"/>
      <c r="I67" s="45"/>
      <c r="J67" s="366"/>
      <c r="K67" s="45"/>
      <c r="L67" s="45"/>
      <c r="M67" s="45"/>
      <c r="N67" s="366"/>
      <c r="O67" s="45"/>
      <c r="P67" s="375"/>
    </row>
    <row r="68" ht="55.600000000000001">
      <c r="A68" s="374" t="s">
        <v>657</v>
      </c>
      <c r="B68" s="373"/>
      <c r="C68" s="373"/>
      <c r="D68" s="45"/>
      <c r="E68" s="366"/>
      <c r="F68" s="373"/>
      <c r="G68" s="373"/>
      <c r="H68" s="373"/>
      <c r="I68" s="45"/>
      <c r="J68" s="366"/>
      <c r="K68" s="373"/>
      <c r="L68" s="373"/>
      <c r="M68" s="45"/>
      <c r="N68" s="366"/>
      <c r="O68" s="373"/>
      <c r="P68" s="375"/>
    </row>
    <row r="69" ht="15.6">
      <c r="A69" s="367" t="s">
        <v>466</v>
      </c>
      <c r="B69" s="46"/>
      <c r="C69" s="46"/>
      <c r="D69" s="366"/>
      <c r="E69" s="366"/>
      <c r="F69" s="46"/>
      <c r="G69" s="46"/>
      <c r="H69" s="46"/>
      <c r="I69" s="366"/>
      <c r="J69" s="366"/>
      <c r="K69" s="46"/>
      <c r="L69" s="46"/>
      <c r="M69" s="366"/>
      <c r="N69" s="366"/>
      <c r="O69" s="46"/>
      <c r="P69" s="375"/>
    </row>
    <row r="70" ht="15.6">
      <c r="A70" s="374" t="s">
        <v>413</v>
      </c>
      <c r="B70" s="74"/>
      <c r="C70" s="366"/>
      <c r="D70" s="366"/>
      <c r="E70" s="366"/>
      <c r="F70" s="74"/>
      <c r="G70" s="366"/>
      <c r="H70" s="366"/>
      <c r="I70" s="366"/>
      <c r="J70" s="366"/>
      <c r="K70" s="74"/>
      <c r="L70" s="366"/>
      <c r="M70" s="366"/>
      <c r="N70" s="366"/>
      <c r="O70" s="74"/>
      <c r="P70" s="72"/>
    </row>
    <row r="71" ht="42.100000000000001">
      <c r="A71" s="374" t="s">
        <v>658</v>
      </c>
      <c r="B71" s="74"/>
      <c r="C71" s="366"/>
      <c r="D71" s="366"/>
      <c r="E71" s="366"/>
      <c r="F71" s="74"/>
      <c r="G71" s="366"/>
      <c r="H71" s="366"/>
      <c r="I71" s="366"/>
      <c r="J71" s="366"/>
      <c r="K71" s="74"/>
      <c r="L71" s="366"/>
      <c r="M71" s="366"/>
      <c r="N71" s="366"/>
      <c r="O71" s="74"/>
      <c r="P71" s="376"/>
    </row>
    <row r="72" ht="15.6">
      <c r="A72" s="367" t="s">
        <v>466</v>
      </c>
      <c r="B72" s="74"/>
      <c r="C72" s="46"/>
      <c r="D72" s="368"/>
      <c r="E72" s="368"/>
      <c r="F72" s="74"/>
      <c r="G72" s="46"/>
      <c r="H72" s="46"/>
      <c r="I72" s="368"/>
      <c r="J72" s="368"/>
      <c r="K72" s="74"/>
      <c r="L72" s="46"/>
      <c r="M72" s="368"/>
      <c r="N72" s="368"/>
      <c r="O72" s="74"/>
      <c r="P72" s="70"/>
    </row>
    <row r="73" ht="69.150000000000006">
      <c r="A73" s="371" t="s">
        <v>659</v>
      </c>
      <c r="B73" s="45"/>
      <c r="C73" s="45"/>
      <c r="D73" s="45"/>
      <c r="E73" s="366"/>
      <c r="F73" s="45"/>
      <c r="G73" s="45"/>
      <c r="H73" s="45"/>
      <c r="I73" s="45"/>
      <c r="J73" s="366"/>
      <c r="K73" s="45"/>
      <c r="L73" s="45"/>
      <c r="M73" s="45"/>
      <c r="N73" s="366"/>
      <c r="O73" s="45"/>
      <c r="P73" s="72"/>
    </row>
    <row r="74" ht="69.150000000000006">
      <c r="A74" s="370" t="s">
        <v>660</v>
      </c>
      <c r="B74" s="366"/>
      <c r="C74" s="366"/>
      <c r="D74" s="366"/>
      <c r="E74" s="366"/>
      <c r="F74" s="366"/>
      <c r="G74" s="366"/>
      <c r="H74" s="366"/>
      <c r="I74" s="366"/>
      <c r="J74" s="366"/>
      <c r="K74" s="366"/>
      <c r="L74" s="366"/>
      <c r="M74" s="366"/>
      <c r="N74" s="366"/>
      <c r="O74" s="366"/>
      <c r="P74" s="377"/>
    </row>
    <row r="75" ht="15.6">
      <c r="A75" s="378" t="s">
        <v>466</v>
      </c>
      <c r="B75" s="46"/>
      <c r="C75" s="46"/>
      <c r="D75" s="379"/>
      <c r="E75" s="368"/>
      <c r="F75" s="46"/>
      <c r="G75" s="46"/>
      <c r="H75" s="46"/>
      <c r="I75" s="379"/>
      <c r="J75" s="368"/>
      <c r="K75" s="46"/>
      <c r="L75" s="46"/>
      <c r="M75" s="379"/>
      <c r="N75" s="368"/>
      <c r="O75" s="46"/>
      <c r="P75" s="70"/>
    </row>
    <row r="76" ht="28.550000000000001">
      <c r="A76" s="380" t="s">
        <v>661</v>
      </c>
      <c r="B76" s="45"/>
      <c r="C76" s="45"/>
      <c r="D76" s="381"/>
      <c r="E76" s="366"/>
      <c r="F76" s="45"/>
      <c r="G76" s="45"/>
      <c r="H76" s="45"/>
      <c r="I76" s="381"/>
      <c r="J76" s="366"/>
      <c r="K76" s="45"/>
      <c r="L76" s="45"/>
      <c r="M76" s="381"/>
      <c r="N76" s="366"/>
      <c r="O76" s="45"/>
    </row>
    <row r="77" ht="42.100000000000001">
      <c r="A77" s="380" t="s">
        <v>662</v>
      </c>
      <c r="B77" s="300"/>
      <c r="C77" s="300"/>
      <c r="D77" s="382"/>
      <c r="E77" s="366"/>
      <c r="F77" s="300"/>
      <c r="G77" s="300"/>
      <c r="H77" s="300"/>
      <c r="I77" s="382"/>
      <c r="J77" s="366"/>
      <c r="K77" s="300"/>
      <c r="L77" s="300"/>
      <c r="M77" s="382"/>
      <c r="N77" s="366"/>
      <c r="O77" s="300"/>
    </row>
    <row r="78" ht="15.6">
      <c r="A78" s="378" t="s">
        <v>466</v>
      </c>
      <c r="B78" s="46"/>
      <c r="C78" s="46"/>
      <c r="D78" s="379"/>
      <c r="E78" s="368"/>
      <c r="F78" s="46"/>
      <c r="G78" s="46"/>
      <c r="H78" s="46"/>
      <c r="I78" s="379"/>
      <c r="J78" s="368"/>
      <c r="K78" s="46"/>
      <c r="L78" s="46"/>
      <c r="M78" s="379"/>
      <c r="N78" s="368"/>
      <c r="O78" s="46"/>
    </row>
  </sheetData>
  <mergeCells count="44">
    <mergeCell ref="A4:A6"/>
    <mergeCell ref="B4:I5"/>
    <mergeCell ref="J4:Q5"/>
    <mergeCell ref="R4:AL4"/>
    <mergeCell ref="R5:T5"/>
    <mergeCell ref="U5:W5"/>
    <mergeCell ref="X5:Z5"/>
    <mergeCell ref="AA5:AC5"/>
    <mergeCell ref="AD5:AF5"/>
    <mergeCell ref="AG5:AI5"/>
    <mergeCell ref="AJ5:AL5"/>
    <mergeCell ref="A27:A29"/>
    <mergeCell ref="B27:I28"/>
    <mergeCell ref="J27:Q28"/>
    <mergeCell ref="R27:AL27"/>
    <mergeCell ref="R28:T28"/>
    <mergeCell ref="U28:W28"/>
    <mergeCell ref="X28:Z28"/>
    <mergeCell ref="AA28:AC28"/>
    <mergeCell ref="AD28:AF28"/>
    <mergeCell ref="AG28:AI28"/>
    <mergeCell ref="AJ28:AL28"/>
    <mergeCell ref="A35:A37"/>
    <mergeCell ref="B35:I36"/>
    <mergeCell ref="J35:Q36"/>
    <mergeCell ref="R35:AL35"/>
    <mergeCell ref="R36:T36"/>
    <mergeCell ref="U36:W36"/>
    <mergeCell ref="X36:Z36"/>
    <mergeCell ref="AA36:AC36"/>
    <mergeCell ref="AD36:AF36"/>
    <mergeCell ref="AG36:AI36"/>
    <mergeCell ref="AJ36:AL36"/>
    <mergeCell ref="A46:A48"/>
    <mergeCell ref="B46:I47"/>
    <mergeCell ref="J46:Q47"/>
    <mergeCell ref="R46:AL46"/>
    <mergeCell ref="R47:T47"/>
    <mergeCell ref="U47:W47"/>
    <mergeCell ref="X47:Z47"/>
    <mergeCell ref="AA47:AC47"/>
    <mergeCell ref="AD47:AF47"/>
    <mergeCell ref="AG47:AI47"/>
    <mergeCell ref="AJ47:AL47"/>
  </mergeCells>
  <printOptions headings="0" gridLines="0" horizontalCentered="0" verticalCentered="0"/>
  <pageMargins left="0.75" right="0.75" top="1" bottom="1"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7030A0"/>
    <outlinePr applyStyles="0" summaryBelow="1" summaryRight="1" showOutlineSymbols="1"/>
    <pageSetUpPr autoPageBreaks="1" fitToPage="0"/>
  </sheetPr>
  <sheetViews>
    <sheetView showFormulas="0" showGridLines="1" showRowColHeaders="1" showZeros="1" rightToLeft="0" view="normal" topLeftCell="A1" zoomScale="70" workbookViewId="0">
      <pane xSplit="1" topLeftCell="B1" activePane="topRight" state="frozen"/>
      <selection activeCell="A1" activeCellId="0" sqref="A1"/>
    </sheetView>
  </sheetViews>
  <sheetFormatPr defaultColWidth="9.109375" defaultRowHeight="15.6"/>
  <cols>
    <col customWidth="1" min="1" max="1" style="64" width="56.670000000000002"/>
    <col customWidth="1" min="2" max="2" style="64" width="18.559999999999999"/>
    <col customWidth="1" min="3" max="42" style="64" width="18.34"/>
    <col customWidth="0" min="43" max="16384" style="64" width="9.1099999999999994"/>
  </cols>
  <sheetData>
    <row r="1" ht="15.6">
      <c r="A1" s="66" t="s">
        <v>663</v>
      </c>
    </row>
    <row r="2" ht="15.6">
      <c r="A2" s="66"/>
    </row>
    <row r="3" ht="15.6">
      <c r="A3" s="66" t="s">
        <v>664</v>
      </c>
    </row>
    <row r="4" s="204" customFormat="1" ht="15.75" customHeight="1">
      <c r="A4" s="206" t="s">
        <v>177</v>
      </c>
      <c r="B4" s="206" t="s">
        <v>421</v>
      </c>
      <c r="C4" s="206"/>
      <c r="D4" s="206"/>
      <c r="E4" s="206"/>
      <c r="F4" s="206"/>
      <c r="G4" s="206"/>
      <c r="H4" s="206"/>
      <c r="I4" s="206"/>
      <c r="J4" s="208" t="s">
        <v>422</v>
      </c>
      <c r="K4" s="208"/>
      <c r="L4" s="208"/>
      <c r="M4" s="208"/>
      <c r="N4" s="208"/>
      <c r="O4" s="208"/>
      <c r="P4" s="208"/>
      <c r="Q4" s="208"/>
      <c r="R4" s="209" t="s">
        <v>423</v>
      </c>
      <c r="S4" s="209"/>
      <c r="T4" s="209"/>
      <c r="U4" s="209"/>
      <c r="V4" s="209"/>
      <c r="W4" s="209"/>
      <c r="X4" s="209"/>
      <c r="Y4" s="209"/>
      <c r="Z4" s="209"/>
      <c r="AA4" s="209"/>
      <c r="AB4" s="209"/>
      <c r="AC4" s="209"/>
      <c r="AD4" s="209"/>
      <c r="AE4" s="209"/>
      <c r="AF4" s="209"/>
      <c r="AG4" s="209"/>
      <c r="AH4" s="209"/>
      <c r="AI4" s="209"/>
      <c r="AJ4" s="209"/>
      <c r="AK4" s="209"/>
      <c r="AL4" s="209"/>
    </row>
    <row r="5" s="204" customFormat="1" ht="15.6" customHeight="1">
      <c r="A5" s="206"/>
      <c r="B5" s="206"/>
      <c r="C5" s="206"/>
      <c r="D5" s="206"/>
      <c r="E5" s="206"/>
      <c r="F5" s="206"/>
      <c r="G5" s="206"/>
      <c r="H5" s="206"/>
      <c r="I5" s="206"/>
      <c r="J5" s="208"/>
      <c r="K5" s="208"/>
      <c r="L5" s="208"/>
      <c r="M5" s="208"/>
      <c r="N5" s="208"/>
      <c r="O5" s="208"/>
      <c r="P5" s="208"/>
      <c r="Q5" s="208"/>
      <c r="R5" s="210" t="s">
        <v>320</v>
      </c>
      <c r="S5" s="210"/>
      <c r="T5" s="210"/>
      <c r="U5" s="211" t="s">
        <v>321</v>
      </c>
      <c r="V5" s="211"/>
      <c r="W5" s="211"/>
      <c r="X5" s="211" t="s">
        <v>322</v>
      </c>
      <c r="Y5" s="211"/>
      <c r="Z5" s="211"/>
      <c r="AA5" s="211" t="s">
        <v>323</v>
      </c>
      <c r="AB5" s="211"/>
      <c r="AC5" s="211"/>
      <c r="AD5" s="211" t="s">
        <v>324</v>
      </c>
      <c r="AE5" s="211"/>
      <c r="AF5" s="211"/>
      <c r="AG5" s="212" t="s">
        <v>325</v>
      </c>
      <c r="AH5" s="212"/>
      <c r="AI5" s="212"/>
      <c r="AJ5" s="212" t="s">
        <v>326</v>
      </c>
      <c r="AK5" s="212"/>
      <c r="AL5" s="212"/>
      <c r="AM5" s="213"/>
      <c r="AN5" s="213"/>
      <c r="AO5" s="213"/>
      <c r="AP5" s="213"/>
      <c r="AQ5" s="213"/>
      <c r="AR5" s="213"/>
      <c r="AS5" s="213"/>
      <c r="AT5" s="213"/>
      <c r="AU5" s="213"/>
      <c r="AV5" s="213"/>
      <c r="AW5" s="213"/>
      <c r="AX5" s="213"/>
      <c r="AY5" s="213"/>
      <c r="AZ5" s="213"/>
      <c r="BA5" s="213"/>
      <c r="BB5" s="213"/>
      <c r="BC5" s="213"/>
      <c r="BD5" s="213"/>
      <c r="BE5" s="213"/>
      <c r="BF5" s="213"/>
      <c r="BG5" s="213"/>
      <c r="BH5" s="213"/>
      <c r="BI5" s="213"/>
      <c r="BJ5" s="213"/>
      <c r="BK5" s="213"/>
      <c r="BL5" s="213"/>
      <c r="BM5" s="213"/>
      <c r="BN5" s="213"/>
      <c r="BO5" s="213"/>
      <c r="BP5" s="213"/>
      <c r="BQ5" s="213"/>
      <c r="BR5" s="213"/>
      <c r="BS5" s="213"/>
      <c r="BT5" s="213"/>
      <c r="BU5" s="213"/>
      <c r="BV5" s="213"/>
      <c r="BW5" s="213"/>
      <c r="BX5" s="213"/>
      <c r="BY5" s="213"/>
      <c r="BZ5" s="213"/>
      <c r="CA5" s="213"/>
      <c r="CB5" s="213"/>
      <c r="CC5" s="213"/>
      <c r="CD5" s="213"/>
      <c r="CE5" s="213"/>
      <c r="CF5" s="213"/>
      <c r="CG5" s="213"/>
      <c r="CH5" s="213"/>
      <c r="CI5" s="213"/>
      <c r="CJ5" s="213"/>
      <c r="CK5" s="213"/>
      <c r="CL5" s="213"/>
      <c r="CM5" s="213"/>
      <c r="CN5" s="213"/>
      <c r="CO5" s="213"/>
      <c r="CP5" s="213"/>
      <c r="CQ5" s="213"/>
      <c r="CR5" s="213"/>
      <c r="CS5" s="213"/>
      <c r="CT5" s="213"/>
      <c r="CU5" s="213"/>
      <c r="CV5" s="213"/>
      <c r="CW5" s="213"/>
      <c r="CX5" s="213"/>
      <c r="CY5" s="213"/>
      <c r="CZ5" s="213"/>
      <c r="DA5" s="213"/>
      <c r="DB5" s="213"/>
      <c r="DC5" s="213"/>
      <c r="DD5" s="213"/>
      <c r="DE5" s="213"/>
      <c r="DF5" s="213"/>
      <c r="DG5" s="213"/>
      <c r="DH5" s="213"/>
      <c r="DI5" s="213"/>
      <c r="DJ5" s="213"/>
      <c r="DK5" s="213"/>
      <c r="DL5" s="213"/>
      <c r="DM5" s="213"/>
      <c r="DN5" s="213"/>
      <c r="DO5" s="213"/>
      <c r="DP5" s="213"/>
      <c r="DQ5" s="213"/>
      <c r="DR5" s="213"/>
      <c r="DS5" s="213"/>
      <c r="DT5" s="213"/>
      <c r="DU5" s="213"/>
      <c r="DV5" s="213"/>
      <c r="DW5" s="213"/>
      <c r="DX5" s="213"/>
      <c r="DY5" s="213"/>
      <c r="DZ5" s="213"/>
      <c r="EA5" s="213"/>
      <c r="EB5" s="213"/>
      <c r="EC5" s="213"/>
      <c r="ED5" s="213"/>
      <c r="EE5" s="213"/>
      <c r="EF5" s="213"/>
      <c r="EG5" s="213"/>
      <c r="EH5" s="213"/>
      <c r="EI5" s="213"/>
      <c r="EJ5" s="213"/>
      <c r="EK5" s="213"/>
      <c r="EL5" s="213"/>
      <c r="EM5" s="213"/>
      <c r="EN5" s="213"/>
      <c r="EO5" s="213"/>
      <c r="EP5" s="213"/>
      <c r="EQ5" s="213"/>
      <c r="ER5" s="213"/>
      <c r="ES5" s="213"/>
      <c r="ET5" s="213"/>
      <c r="EU5" s="213"/>
      <c r="EV5" s="213"/>
      <c r="EW5" s="213"/>
      <c r="EX5" s="213"/>
      <c r="EY5" s="213"/>
      <c r="EZ5" s="213"/>
      <c r="FA5" s="213"/>
      <c r="FB5" s="213"/>
      <c r="FC5" s="213"/>
      <c r="FD5" s="213"/>
      <c r="FE5" s="213"/>
      <c r="FF5" s="213"/>
      <c r="FG5" s="213"/>
      <c r="FH5" s="213"/>
      <c r="FI5" s="213"/>
      <c r="FJ5" s="213"/>
      <c r="FK5" s="213"/>
      <c r="FL5" s="213"/>
      <c r="FM5" s="213"/>
      <c r="FN5" s="213"/>
      <c r="FO5" s="213"/>
      <c r="FP5" s="213"/>
      <c r="FQ5" s="213"/>
      <c r="FR5" s="213"/>
      <c r="FS5" s="213"/>
      <c r="FT5" s="213"/>
      <c r="FU5" s="213"/>
      <c r="FV5" s="213"/>
      <c r="FW5" s="213"/>
      <c r="FX5" s="213"/>
      <c r="FY5" s="213"/>
      <c r="FZ5" s="213"/>
      <c r="GA5" s="213"/>
      <c r="GB5" s="213"/>
      <c r="GC5" s="213"/>
      <c r="GD5" s="213"/>
      <c r="GE5" s="213"/>
      <c r="GF5" s="213"/>
      <c r="GG5" s="213"/>
      <c r="GH5" s="213"/>
      <c r="GI5" s="213"/>
      <c r="GJ5" s="213"/>
      <c r="GK5" s="213"/>
      <c r="GL5" s="213"/>
      <c r="GM5" s="213"/>
      <c r="GN5" s="213"/>
      <c r="GO5" s="213"/>
      <c r="GP5" s="213"/>
      <c r="GQ5" s="213"/>
      <c r="GR5" s="213"/>
      <c r="GS5" s="213"/>
      <c r="GT5" s="213"/>
      <c r="GU5" s="213"/>
      <c r="GV5" s="213"/>
      <c r="GW5" s="213"/>
      <c r="GX5" s="213"/>
      <c r="GY5" s="213"/>
      <c r="GZ5" s="213"/>
      <c r="HA5" s="213"/>
      <c r="HB5" s="213"/>
      <c r="HC5" s="213"/>
      <c r="HD5" s="213"/>
      <c r="HE5" s="213"/>
      <c r="HF5" s="213"/>
      <c r="HG5" s="213"/>
      <c r="HH5" s="213"/>
      <c r="HI5" s="213"/>
      <c r="HJ5" s="213"/>
      <c r="HK5" s="213"/>
      <c r="HL5" s="213"/>
      <c r="HM5" s="213"/>
      <c r="HN5" s="213"/>
      <c r="HO5" s="213"/>
      <c r="HP5" s="213"/>
      <c r="HQ5" s="213"/>
      <c r="HR5" s="213"/>
      <c r="HS5" s="213"/>
      <c r="HT5" s="213"/>
      <c r="HU5" s="213"/>
      <c r="HV5" s="213"/>
      <c r="HW5" s="213"/>
      <c r="HX5" s="213"/>
      <c r="HY5" s="213"/>
      <c r="HZ5" s="213"/>
      <c r="IA5" s="213"/>
      <c r="IB5" s="213"/>
      <c r="IC5" s="213"/>
      <c r="ID5" s="213"/>
      <c r="IE5" s="213"/>
      <c r="IF5" s="213"/>
      <c r="IG5" s="213"/>
      <c r="IH5" s="213"/>
      <c r="II5" s="213"/>
      <c r="IJ5" s="213"/>
      <c r="IK5" s="213"/>
      <c r="IL5" s="213"/>
      <c r="IM5" s="213"/>
      <c r="IN5" s="213"/>
      <c r="IO5" s="213"/>
      <c r="IP5" s="213"/>
      <c r="IQ5" s="213"/>
      <c r="IR5" s="213"/>
      <c r="IS5" s="213"/>
      <c r="IT5" s="213"/>
      <c r="IU5" s="213"/>
    </row>
    <row r="6" s="204" customFormat="1" ht="15.6">
      <c r="A6" s="206"/>
      <c r="B6" s="383">
        <v>43830</v>
      </c>
      <c r="C6" s="383" t="s">
        <v>425</v>
      </c>
      <c r="D6" s="383" t="s">
        <v>426</v>
      </c>
      <c r="E6" s="383" t="s">
        <v>427</v>
      </c>
      <c r="F6" s="383" t="s">
        <v>428</v>
      </c>
      <c r="G6" s="383" t="s">
        <v>429</v>
      </c>
      <c r="H6" s="383" t="s">
        <v>430</v>
      </c>
      <c r="I6" s="383" t="s">
        <v>431</v>
      </c>
      <c r="J6" s="384" t="s">
        <v>424</v>
      </c>
      <c r="K6" s="384" t="str">
        <f>C6</f>
        <v>31.12.2018</v>
      </c>
      <c r="L6" s="384" t="str">
        <f>D6</f>
        <v>31.12.2017</v>
      </c>
      <c r="M6" s="384" t="str">
        <f>E6</f>
        <v>31.12.2016</v>
      </c>
      <c r="N6" s="384" t="str">
        <f>F6</f>
        <v>31.12.2015</v>
      </c>
      <c r="O6" s="384" t="str">
        <f>G6</f>
        <v>31.12.2014</v>
      </c>
      <c r="P6" s="384" t="str">
        <f>H6</f>
        <v>31.12.2013</v>
      </c>
      <c r="Q6" s="384" t="str">
        <f>I6</f>
        <v>31.12.2012</v>
      </c>
      <c r="R6" s="215" t="s">
        <v>432</v>
      </c>
      <c r="S6" s="215" t="s">
        <v>433</v>
      </c>
      <c r="T6" s="215" t="s">
        <v>434</v>
      </c>
      <c r="U6" s="215" t="s">
        <v>432</v>
      </c>
      <c r="V6" s="215" t="s">
        <v>433</v>
      </c>
      <c r="W6" s="215" t="s">
        <v>434</v>
      </c>
      <c r="X6" s="215" t="str">
        <f>U6</f>
        <v xml:space="preserve">в тыс. руб.</v>
      </c>
      <c r="Y6" s="215" t="str">
        <f>V6</f>
        <v xml:space="preserve">темп прироста, %</v>
      </c>
      <c r="Z6" s="215" t="str">
        <f>W6</f>
        <v xml:space="preserve">в структуре, %</v>
      </c>
      <c r="AA6" s="215" t="str">
        <f>X6</f>
        <v xml:space="preserve">в тыс. руб.</v>
      </c>
      <c r="AB6" s="215" t="str">
        <f>Y6</f>
        <v xml:space="preserve">темп прироста, %</v>
      </c>
      <c r="AC6" s="215" t="str">
        <f>Z6</f>
        <v xml:space="preserve">в структуре, %</v>
      </c>
      <c r="AD6" s="215" t="str">
        <f>AA6</f>
        <v xml:space="preserve">в тыс. руб.</v>
      </c>
      <c r="AE6" s="215" t="str">
        <f>AB6</f>
        <v xml:space="preserve">темп прироста, %</v>
      </c>
      <c r="AF6" s="215" t="str">
        <f>AC6</f>
        <v xml:space="preserve">в структуре, %</v>
      </c>
      <c r="AG6" s="215" t="str">
        <f>AD6</f>
        <v xml:space="preserve">в тыс. руб.</v>
      </c>
      <c r="AH6" s="215" t="str">
        <f>AE6</f>
        <v xml:space="preserve">темп прироста, %</v>
      </c>
      <c r="AI6" s="215" t="str">
        <f>AF6</f>
        <v xml:space="preserve">в структуре, %</v>
      </c>
      <c r="AJ6" s="215" t="str">
        <f>AG6</f>
        <v xml:space="preserve">в тыс. руб.</v>
      </c>
      <c r="AK6" s="215" t="str">
        <f>AH6</f>
        <v xml:space="preserve">темп прироста, %</v>
      </c>
      <c r="AL6" s="215" t="str">
        <f>AI6</f>
        <v xml:space="preserve">в структуре, %</v>
      </c>
      <c r="AM6" s="213"/>
      <c r="AN6" s="213"/>
      <c r="AO6" s="213"/>
      <c r="AP6" s="213"/>
      <c r="AQ6" s="213"/>
      <c r="AR6" s="213"/>
      <c r="AS6" s="213"/>
      <c r="AT6" s="213"/>
      <c r="AU6" s="213"/>
      <c r="AV6" s="213"/>
      <c r="AW6" s="213"/>
      <c r="AX6" s="213"/>
      <c r="AY6" s="213"/>
      <c r="AZ6" s="213"/>
      <c r="BA6" s="213"/>
      <c r="BB6" s="213"/>
      <c r="BC6" s="213"/>
      <c r="BD6" s="213"/>
      <c r="BE6" s="213"/>
      <c r="BF6" s="213"/>
      <c r="BG6" s="213"/>
      <c r="BH6" s="213"/>
      <c r="BI6" s="213"/>
      <c r="BJ6" s="213"/>
      <c r="BK6" s="213"/>
      <c r="BL6" s="213"/>
      <c r="BM6" s="213"/>
      <c r="BN6" s="213"/>
      <c r="BO6" s="213"/>
      <c r="BP6" s="213"/>
      <c r="BQ6" s="213"/>
      <c r="BR6" s="213"/>
      <c r="BS6" s="213"/>
      <c r="BT6" s="213"/>
      <c r="BU6" s="213"/>
      <c r="BV6" s="213"/>
      <c r="BW6" s="213"/>
      <c r="BX6" s="213"/>
      <c r="BY6" s="213"/>
      <c r="BZ6" s="213"/>
      <c r="CA6" s="213"/>
      <c r="CB6" s="213"/>
      <c r="CC6" s="213"/>
      <c r="CD6" s="213"/>
      <c r="CE6" s="213"/>
      <c r="CF6" s="213"/>
      <c r="CG6" s="213"/>
      <c r="CH6" s="213"/>
      <c r="CI6" s="213"/>
      <c r="CJ6" s="213"/>
      <c r="CK6" s="213"/>
      <c r="CL6" s="213"/>
      <c r="CM6" s="213"/>
      <c r="CN6" s="213"/>
      <c r="CO6" s="213"/>
      <c r="CP6" s="213"/>
      <c r="CQ6" s="213"/>
      <c r="CR6" s="213"/>
      <c r="CS6" s="213"/>
      <c r="CT6" s="213"/>
      <c r="CU6" s="213"/>
      <c r="CV6" s="213"/>
      <c r="CW6" s="213"/>
      <c r="CX6" s="213"/>
      <c r="CY6" s="213"/>
      <c r="CZ6" s="213"/>
      <c r="DA6" s="213"/>
      <c r="DB6" s="213"/>
      <c r="DC6" s="213"/>
      <c r="DD6" s="213"/>
      <c r="DE6" s="213"/>
      <c r="DF6" s="213"/>
      <c r="DG6" s="213"/>
      <c r="DH6" s="213"/>
      <c r="DI6" s="213"/>
      <c r="DJ6" s="213"/>
      <c r="DK6" s="213"/>
      <c r="DL6" s="213"/>
      <c r="DM6" s="213"/>
      <c r="DN6" s="213"/>
      <c r="DO6" s="213"/>
      <c r="DP6" s="213"/>
      <c r="DQ6" s="213"/>
      <c r="DR6" s="213"/>
      <c r="DS6" s="213"/>
      <c r="DT6" s="213"/>
      <c r="DU6" s="213"/>
      <c r="DV6" s="213"/>
      <c r="DW6" s="213"/>
      <c r="DX6" s="213"/>
      <c r="DY6" s="213"/>
      <c r="DZ6" s="213"/>
      <c r="EA6" s="213"/>
      <c r="EB6" s="213"/>
      <c r="EC6" s="213"/>
      <c r="ED6" s="213"/>
      <c r="EE6" s="213"/>
      <c r="EF6" s="213"/>
      <c r="EG6" s="213"/>
      <c r="EH6" s="213"/>
      <c r="EI6" s="213"/>
      <c r="EJ6" s="213"/>
      <c r="EK6" s="213"/>
      <c r="EL6" s="213"/>
      <c r="EM6" s="213"/>
      <c r="EN6" s="213"/>
      <c r="EO6" s="213"/>
      <c r="EP6" s="213"/>
      <c r="EQ6" s="213"/>
      <c r="ER6" s="213"/>
      <c r="ES6" s="213"/>
      <c r="ET6" s="213"/>
      <c r="EU6" s="213"/>
      <c r="EV6" s="213"/>
      <c r="EW6" s="213"/>
      <c r="EX6" s="213"/>
      <c r="EY6" s="213"/>
      <c r="EZ6" s="213"/>
      <c r="FA6" s="213"/>
      <c r="FB6" s="213"/>
      <c r="FC6" s="213"/>
      <c r="FD6" s="213"/>
      <c r="FE6" s="213"/>
      <c r="FF6" s="213"/>
      <c r="FG6" s="213"/>
      <c r="FH6" s="213"/>
      <c r="FI6" s="213"/>
      <c r="FJ6" s="213"/>
      <c r="FK6" s="213"/>
      <c r="FL6" s="213"/>
      <c r="FM6" s="213"/>
      <c r="FN6" s="213"/>
      <c r="FO6" s="213"/>
      <c r="FP6" s="213"/>
      <c r="FQ6" s="213"/>
      <c r="FR6" s="213"/>
      <c r="FS6" s="213"/>
      <c r="FT6" s="213"/>
      <c r="FU6" s="213"/>
      <c r="FV6" s="213"/>
      <c r="FW6" s="213"/>
      <c r="FX6" s="213"/>
      <c r="FY6" s="213"/>
      <c r="FZ6" s="213"/>
      <c r="GA6" s="213"/>
      <c r="GB6" s="213"/>
      <c r="GC6" s="213"/>
      <c r="GD6" s="213"/>
      <c r="GE6" s="213"/>
      <c r="GF6" s="213"/>
      <c r="GG6" s="213"/>
      <c r="GH6" s="213"/>
      <c r="GI6" s="213"/>
      <c r="GJ6" s="213"/>
      <c r="GK6" s="213"/>
      <c r="GL6" s="213"/>
      <c r="GM6" s="213"/>
      <c r="GN6" s="213"/>
      <c r="GO6" s="213"/>
      <c r="GP6" s="213"/>
      <c r="GQ6" s="213"/>
      <c r="GR6" s="213"/>
      <c r="GS6" s="213"/>
      <c r="GT6" s="213"/>
      <c r="GU6" s="213"/>
      <c r="GV6" s="213"/>
      <c r="GW6" s="213"/>
      <c r="GX6" s="213"/>
      <c r="GY6" s="213"/>
      <c r="GZ6" s="213"/>
      <c r="HA6" s="213"/>
      <c r="HB6" s="213"/>
      <c r="HC6" s="213"/>
      <c r="HD6" s="213"/>
      <c r="HE6" s="213"/>
      <c r="HF6" s="213"/>
      <c r="HG6" s="213"/>
      <c r="HH6" s="213"/>
      <c r="HI6" s="213"/>
      <c r="HJ6" s="213"/>
      <c r="HK6" s="213"/>
      <c r="HL6" s="213"/>
      <c r="HM6" s="213"/>
      <c r="HN6" s="213"/>
      <c r="HO6" s="213"/>
      <c r="HP6" s="213"/>
      <c r="HQ6" s="213"/>
      <c r="HR6" s="213"/>
      <c r="HS6" s="213"/>
      <c r="HT6" s="213"/>
      <c r="HU6" s="213"/>
      <c r="HV6" s="213"/>
      <c r="HW6" s="213"/>
      <c r="HX6" s="213"/>
      <c r="HY6" s="213"/>
      <c r="HZ6" s="213"/>
      <c r="IA6" s="213"/>
      <c r="IB6" s="213"/>
      <c r="IC6" s="213"/>
      <c r="ID6" s="213"/>
      <c r="IE6" s="213"/>
      <c r="IF6" s="213"/>
      <c r="IG6" s="213"/>
      <c r="IH6" s="213"/>
      <c r="II6" s="213"/>
      <c r="IJ6" s="213"/>
      <c r="IK6" s="213"/>
      <c r="IL6" s="213"/>
      <c r="IM6" s="213"/>
      <c r="IN6" s="213"/>
      <c r="IO6" s="213"/>
      <c r="IP6" s="213"/>
      <c r="IQ6" s="213"/>
      <c r="IR6" s="213"/>
      <c r="IS6" s="213"/>
      <c r="IT6" s="213"/>
      <c r="IU6" s="213"/>
    </row>
    <row r="7" ht="15.6">
      <c r="A7" s="171" t="s">
        <v>665</v>
      </c>
      <c r="B7" s="362"/>
      <c r="C7" s="317"/>
      <c r="D7" s="362"/>
      <c r="E7" s="317"/>
      <c r="F7" s="362"/>
      <c r="G7" s="358"/>
      <c r="H7" s="358"/>
      <c r="I7" s="358"/>
      <c r="J7" s="358"/>
      <c r="K7" s="358"/>
      <c r="L7" s="358"/>
      <c r="M7" s="358"/>
      <c r="N7" s="358"/>
      <c r="O7" s="358"/>
      <c r="P7" s="358"/>
      <c r="Q7" s="358"/>
      <c r="R7" s="358"/>
      <c r="S7" s="358"/>
      <c r="T7" s="358"/>
      <c r="U7" s="358"/>
      <c r="V7" s="358"/>
      <c r="W7" s="358"/>
      <c r="X7" s="358"/>
      <c r="Y7" s="358"/>
      <c r="Z7" s="358"/>
      <c r="AA7" s="358"/>
      <c r="AB7" s="358"/>
      <c r="AC7" s="358"/>
      <c r="AD7" s="358"/>
      <c r="AE7" s="358"/>
      <c r="AF7" s="358"/>
      <c r="AG7" s="358"/>
      <c r="AH7" s="358"/>
      <c r="AI7" s="358"/>
      <c r="AJ7" s="358"/>
      <c r="AK7" s="358"/>
      <c r="AL7" s="358"/>
    </row>
    <row r="8" ht="15.6">
      <c r="A8" s="171" t="s">
        <v>666</v>
      </c>
      <c r="B8" s="362"/>
      <c r="C8" s="317"/>
      <c r="D8" s="362"/>
      <c r="E8" s="317"/>
      <c r="F8" s="362"/>
      <c r="G8" s="358"/>
      <c r="H8" s="358"/>
      <c r="I8" s="358"/>
      <c r="J8" s="358"/>
      <c r="K8" s="358"/>
      <c r="L8" s="358"/>
      <c r="M8" s="358"/>
      <c r="N8" s="358"/>
      <c r="O8" s="358"/>
      <c r="P8" s="358"/>
      <c r="Q8" s="358"/>
      <c r="R8" s="358"/>
      <c r="S8" s="358"/>
      <c r="T8" s="358"/>
      <c r="U8" s="358"/>
      <c r="V8" s="358"/>
      <c r="W8" s="358"/>
      <c r="X8" s="358"/>
      <c r="Y8" s="358"/>
      <c r="Z8" s="358"/>
      <c r="AA8" s="358"/>
      <c r="AB8" s="358"/>
      <c r="AC8" s="358"/>
      <c r="AD8" s="358"/>
      <c r="AE8" s="358"/>
      <c r="AF8" s="358"/>
      <c r="AG8" s="358"/>
      <c r="AH8" s="358"/>
      <c r="AI8" s="358"/>
      <c r="AJ8" s="358"/>
      <c r="AK8" s="358"/>
      <c r="AL8" s="358"/>
    </row>
    <row r="9" ht="15.6">
      <c r="A9" s="171" t="s">
        <v>585</v>
      </c>
      <c r="B9" s="362"/>
      <c r="C9" s="317"/>
      <c r="D9" s="362"/>
      <c r="E9" s="317"/>
      <c r="F9" s="362"/>
      <c r="G9" s="358"/>
      <c r="H9" s="358"/>
      <c r="I9" s="358"/>
      <c r="J9" s="358"/>
      <c r="K9" s="358"/>
      <c r="L9" s="358"/>
      <c r="M9" s="358"/>
      <c r="N9" s="358"/>
      <c r="O9" s="358"/>
      <c r="P9" s="358"/>
      <c r="Q9" s="358"/>
      <c r="R9" s="358"/>
      <c r="S9" s="358"/>
      <c r="T9" s="358"/>
      <c r="U9" s="358"/>
      <c r="V9" s="358"/>
      <c r="W9" s="358"/>
      <c r="X9" s="358"/>
      <c r="Y9" s="358"/>
      <c r="Z9" s="358"/>
      <c r="AA9" s="358"/>
      <c r="AB9" s="358"/>
      <c r="AC9" s="358"/>
      <c r="AD9" s="358"/>
      <c r="AE9" s="358"/>
      <c r="AF9" s="358"/>
      <c r="AG9" s="358"/>
      <c r="AH9" s="358"/>
      <c r="AI9" s="358"/>
      <c r="AJ9" s="358"/>
      <c r="AK9" s="358"/>
      <c r="AL9" s="358"/>
    </row>
    <row r="10" ht="15.6">
      <c r="A10" s="171" t="s">
        <v>571</v>
      </c>
      <c r="B10" s="362"/>
      <c r="C10" s="317"/>
      <c r="D10" s="362"/>
      <c r="E10" s="317"/>
      <c r="F10" s="362"/>
      <c r="G10" s="358"/>
      <c r="H10" s="358"/>
      <c r="I10" s="358"/>
      <c r="J10" s="358"/>
      <c r="K10" s="358"/>
      <c r="L10" s="358"/>
      <c r="M10" s="358"/>
      <c r="N10" s="358"/>
      <c r="O10" s="358"/>
      <c r="P10" s="358"/>
      <c r="Q10" s="358"/>
      <c r="R10" s="358"/>
      <c r="S10" s="358"/>
      <c r="T10" s="358"/>
      <c r="U10" s="358"/>
      <c r="V10" s="358"/>
      <c r="W10" s="358"/>
      <c r="X10" s="358"/>
      <c r="Y10" s="358"/>
      <c r="Z10" s="358"/>
      <c r="AA10" s="358"/>
      <c r="AB10" s="358"/>
      <c r="AC10" s="358"/>
      <c r="AD10" s="358"/>
      <c r="AE10" s="358"/>
      <c r="AF10" s="358"/>
      <c r="AG10" s="358"/>
      <c r="AH10" s="358"/>
      <c r="AI10" s="358"/>
      <c r="AJ10" s="358"/>
      <c r="AK10" s="358"/>
      <c r="AL10" s="358"/>
    </row>
    <row r="11" ht="28.550000000000001">
      <c r="A11" s="171" t="s">
        <v>572</v>
      </c>
      <c r="B11" s="362"/>
      <c r="C11" s="173"/>
      <c r="D11" s="362"/>
      <c r="E11" s="173"/>
      <c r="F11" s="362"/>
      <c r="G11" s="358"/>
      <c r="H11" s="358"/>
      <c r="I11" s="358"/>
      <c r="J11" s="358"/>
      <c r="K11" s="358"/>
      <c r="L11" s="358"/>
      <c r="M11" s="358"/>
      <c r="N11" s="358"/>
      <c r="O11" s="358"/>
      <c r="P11" s="358"/>
      <c r="Q11" s="358"/>
      <c r="R11" s="358"/>
      <c r="S11" s="358"/>
      <c r="T11" s="358"/>
      <c r="U11" s="358"/>
      <c r="V11" s="358"/>
      <c r="W11" s="358"/>
      <c r="X11" s="358"/>
      <c r="Y11" s="358"/>
      <c r="Z11" s="358"/>
      <c r="AA11" s="358"/>
      <c r="AB11" s="358"/>
      <c r="AC11" s="358"/>
      <c r="AD11" s="358"/>
      <c r="AE11" s="358"/>
      <c r="AF11" s="358"/>
      <c r="AG11" s="358"/>
      <c r="AH11" s="358"/>
      <c r="AI11" s="358"/>
      <c r="AJ11" s="358"/>
      <c r="AK11" s="358"/>
      <c r="AL11" s="358"/>
    </row>
    <row r="12" ht="15.6">
      <c r="A12" s="316" t="s">
        <v>667</v>
      </c>
      <c r="B12" s="260"/>
      <c r="C12" s="26"/>
      <c r="D12" s="260"/>
      <c r="E12" s="26"/>
      <c r="F12" s="260"/>
      <c r="G12" s="358"/>
      <c r="H12" s="358"/>
      <c r="I12" s="358"/>
      <c r="J12" s="358"/>
      <c r="K12" s="358"/>
      <c r="L12" s="358"/>
      <c r="M12" s="358"/>
      <c r="N12" s="358"/>
      <c r="O12" s="358"/>
      <c r="P12" s="358"/>
      <c r="Q12" s="358"/>
      <c r="R12" s="358"/>
      <c r="S12" s="358"/>
      <c r="T12" s="358"/>
      <c r="U12" s="358"/>
      <c r="V12" s="358"/>
      <c r="W12" s="358"/>
      <c r="X12" s="358"/>
      <c r="Y12" s="358"/>
      <c r="Z12" s="358"/>
      <c r="AA12" s="358"/>
      <c r="AB12" s="358"/>
      <c r="AC12" s="358"/>
      <c r="AD12" s="358"/>
      <c r="AE12" s="358"/>
      <c r="AF12" s="358"/>
      <c r="AG12" s="358"/>
      <c r="AH12" s="358"/>
      <c r="AI12" s="358"/>
      <c r="AJ12" s="358"/>
      <c r="AK12" s="358"/>
      <c r="AL12" s="358"/>
    </row>
    <row r="13" ht="15.6">
      <c r="A13" s="78" t="s">
        <v>668</v>
      </c>
    </row>
    <row r="14" ht="15.6">
      <c r="A14" s="66" t="s">
        <v>669</v>
      </c>
      <c r="E14" s="177"/>
      <c r="F14" s="265"/>
      <c r="G14" s="385"/>
    </row>
    <row r="15" s="204" customFormat="1" ht="15.75" customHeight="1">
      <c r="A15" s="206" t="s">
        <v>177</v>
      </c>
      <c r="B15" s="206" t="s">
        <v>421</v>
      </c>
      <c r="C15" s="206"/>
      <c r="D15" s="206"/>
      <c r="E15" s="206"/>
      <c r="F15" s="206"/>
      <c r="G15" s="206"/>
      <c r="H15" s="206"/>
      <c r="I15" s="206"/>
      <c r="J15" s="208" t="s">
        <v>422</v>
      </c>
      <c r="K15" s="208"/>
      <c r="L15" s="208"/>
      <c r="M15" s="208"/>
      <c r="N15" s="208"/>
      <c r="O15" s="208"/>
      <c r="P15" s="208"/>
      <c r="Q15" s="208"/>
      <c r="R15" s="209" t="s">
        <v>423</v>
      </c>
      <c r="S15" s="209"/>
      <c r="T15" s="209"/>
      <c r="U15" s="209"/>
      <c r="V15" s="209"/>
      <c r="W15" s="209"/>
      <c r="X15" s="209"/>
      <c r="Y15" s="209"/>
      <c r="Z15" s="209"/>
      <c r="AA15" s="209"/>
      <c r="AB15" s="209"/>
      <c r="AC15" s="209"/>
      <c r="AD15" s="209"/>
      <c r="AE15" s="209"/>
      <c r="AF15" s="209"/>
      <c r="AG15" s="209"/>
      <c r="AH15" s="209"/>
      <c r="AI15" s="209"/>
      <c r="AJ15" s="209"/>
      <c r="AK15" s="209"/>
      <c r="AL15" s="209"/>
    </row>
    <row r="16" s="204" customFormat="1" ht="15.6" customHeight="1">
      <c r="A16" s="206"/>
      <c r="B16" s="206"/>
      <c r="C16" s="206"/>
      <c r="D16" s="206"/>
      <c r="E16" s="206"/>
      <c r="F16" s="206"/>
      <c r="G16" s="206"/>
      <c r="H16" s="206"/>
      <c r="I16" s="206"/>
      <c r="J16" s="208"/>
      <c r="K16" s="208"/>
      <c r="L16" s="208"/>
      <c r="M16" s="208"/>
      <c r="N16" s="208"/>
      <c r="O16" s="208"/>
      <c r="P16" s="208"/>
      <c r="Q16" s="208"/>
      <c r="R16" s="210" t="s">
        <v>320</v>
      </c>
      <c r="S16" s="210"/>
      <c r="T16" s="210"/>
      <c r="U16" s="211" t="s">
        <v>321</v>
      </c>
      <c r="V16" s="211"/>
      <c r="W16" s="211"/>
      <c r="X16" s="211" t="s">
        <v>322</v>
      </c>
      <c r="Y16" s="211"/>
      <c r="Z16" s="211"/>
      <c r="AA16" s="211" t="s">
        <v>323</v>
      </c>
      <c r="AB16" s="211"/>
      <c r="AC16" s="211"/>
      <c r="AD16" s="211" t="s">
        <v>324</v>
      </c>
      <c r="AE16" s="211"/>
      <c r="AF16" s="211"/>
      <c r="AG16" s="212" t="s">
        <v>325</v>
      </c>
      <c r="AH16" s="212"/>
      <c r="AI16" s="212"/>
      <c r="AJ16" s="212" t="s">
        <v>326</v>
      </c>
      <c r="AK16" s="212"/>
      <c r="AL16" s="212"/>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c r="CL16" s="213"/>
      <c r="CM16" s="213"/>
      <c r="CN16" s="213"/>
      <c r="CO16" s="213"/>
      <c r="CP16" s="213"/>
      <c r="CQ16" s="213"/>
      <c r="CR16" s="213"/>
      <c r="CS16" s="213"/>
      <c r="CT16" s="213"/>
      <c r="CU16" s="213"/>
      <c r="CV16" s="213"/>
      <c r="CW16" s="213"/>
      <c r="CX16" s="213"/>
      <c r="CY16" s="213"/>
      <c r="CZ16" s="213"/>
      <c r="DA16" s="213"/>
      <c r="DB16" s="213"/>
      <c r="DC16" s="213"/>
      <c r="DD16" s="213"/>
      <c r="DE16" s="213"/>
      <c r="DF16" s="213"/>
      <c r="DG16" s="213"/>
      <c r="DH16" s="213"/>
      <c r="DI16" s="213"/>
      <c r="DJ16" s="213"/>
      <c r="DK16" s="213"/>
      <c r="DL16" s="213"/>
      <c r="DM16" s="213"/>
      <c r="DN16" s="213"/>
      <c r="DO16" s="213"/>
      <c r="DP16" s="213"/>
      <c r="DQ16" s="213"/>
      <c r="DR16" s="213"/>
      <c r="DS16" s="213"/>
      <c r="DT16" s="213"/>
      <c r="DU16" s="213"/>
      <c r="DV16" s="213"/>
      <c r="DW16" s="213"/>
      <c r="DX16" s="213"/>
      <c r="DY16" s="213"/>
      <c r="DZ16" s="213"/>
      <c r="EA16" s="213"/>
      <c r="EB16" s="213"/>
      <c r="EC16" s="213"/>
      <c r="ED16" s="213"/>
      <c r="EE16" s="213"/>
      <c r="EF16" s="213"/>
      <c r="EG16" s="213"/>
      <c r="EH16" s="213"/>
      <c r="EI16" s="213"/>
      <c r="EJ16" s="213"/>
      <c r="EK16" s="213"/>
      <c r="EL16" s="213"/>
      <c r="EM16" s="213"/>
      <c r="EN16" s="213"/>
      <c r="EO16" s="213"/>
      <c r="EP16" s="213"/>
      <c r="EQ16" s="213"/>
      <c r="ER16" s="213"/>
      <c r="ES16" s="213"/>
      <c r="ET16" s="213"/>
      <c r="EU16" s="213"/>
      <c r="EV16" s="213"/>
      <c r="EW16" s="213"/>
      <c r="EX16" s="213"/>
      <c r="EY16" s="213"/>
      <c r="EZ16" s="213"/>
      <c r="FA16" s="213"/>
      <c r="FB16" s="213"/>
      <c r="FC16" s="213"/>
      <c r="FD16" s="213"/>
      <c r="FE16" s="213"/>
      <c r="FF16" s="213"/>
      <c r="FG16" s="213"/>
      <c r="FH16" s="213"/>
      <c r="FI16" s="213"/>
      <c r="FJ16" s="213"/>
      <c r="FK16" s="213"/>
      <c r="FL16" s="213"/>
      <c r="FM16" s="213"/>
      <c r="FN16" s="213"/>
      <c r="FO16" s="213"/>
      <c r="FP16" s="213"/>
      <c r="FQ16" s="213"/>
      <c r="FR16" s="213"/>
      <c r="FS16" s="213"/>
      <c r="FT16" s="213"/>
      <c r="FU16" s="213"/>
      <c r="FV16" s="213"/>
      <c r="FW16" s="213"/>
      <c r="FX16" s="213"/>
      <c r="FY16" s="213"/>
      <c r="FZ16" s="213"/>
      <c r="GA16" s="213"/>
      <c r="GB16" s="213"/>
      <c r="GC16" s="213"/>
      <c r="GD16" s="213"/>
      <c r="GE16" s="213"/>
      <c r="GF16" s="213"/>
      <c r="GG16" s="213"/>
      <c r="GH16" s="213"/>
      <c r="GI16" s="213"/>
      <c r="GJ16" s="213"/>
      <c r="GK16" s="213"/>
      <c r="GL16" s="213"/>
      <c r="GM16" s="213"/>
      <c r="GN16" s="213"/>
      <c r="GO16" s="213"/>
      <c r="GP16" s="213"/>
      <c r="GQ16" s="213"/>
      <c r="GR16" s="213"/>
      <c r="GS16" s="213"/>
      <c r="GT16" s="213"/>
      <c r="GU16" s="213"/>
      <c r="GV16" s="213"/>
      <c r="GW16" s="213"/>
      <c r="GX16" s="213"/>
      <c r="GY16" s="213"/>
      <c r="GZ16" s="213"/>
      <c r="HA16" s="213"/>
      <c r="HB16" s="213"/>
      <c r="HC16" s="213"/>
      <c r="HD16" s="213"/>
      <c r="HE16" s="213"/>
      <c r="HF16" s="213"/>
      <c r="HG16" s="213"/>
      <c r="HH16" s="213"/>
      <c r="HI16" s="213"/>
      <c r="HJ16" s="213"/>
      <c r="HK16" s="213"/>
      <c r="HL16" s="213"/>
      <c r="HM16" s="213"/>
      <c r="HN16" s="213"/>
      <c r="HO16" s="213"/>
      <c r="HP16" s="213"/>
      <c r="HQ16" s="213"/>
      <c r="HR16" s="213"/>
      <c r="HS16" s="213"/>
      <c r="HT16" s="213"/>
      <c r="HU16" s="213"/>
      <c r="HV16" s="213"/>
      <c r="HW16" s="213"/>
      <c r="HX16" s="213"/>
      <c r="HY16" s="213"/>
      <c r="HZ16" s="213"/>
      <c r="IA16" s="213"/>
      <c r="IB16" s="213"/>
      <c r="IC16" s="213"/>
      <c r="ID16" s="213"/>
      <c r="IE16" s="213"/>
      <c r="IF16" s="213"/>
      <c r="IG16" s="213"/>
      <c r="IH16" s="213"/>
      <c r="II16" s="213"/>
      <c r="IJ16" s="213"/>
      <c r="IK16" s="213"/>
      <c r="IL16" s="213"/>
      <c r="IM16" s="213"/>
      <c r="IN16" s="213"/>
      <c r="IO16" s="213"/>
      <c r="IP16" s="213"/>
      <c r="IQ16" s="213"/>
      <c r="IR16" s="213"/>
      <c r="IS16" s="213"/>
      <c r="IT16" s="213"/>
      <c r="IU16" s="213"/>
    </row>
    <row r="17" s="204" customFormat="1" ht="15.6">
      <c r="A17" s="206"/>
      <c r="B17" s="383">
        <v>43830</v>
      </c>
      <c r="C17" s="383" t="s">
        <v>425</v>
      </c>
      <c r="D17" s="383" t="s">
        <v>426</v>
      </c>
      <c r="E17" s="383" t="s">
        <v>427</v>
      </c>
      <c r="F17" s="383" t="s">
        <v>428</v>
      </c>
      <c r="G17" s="383" t="s">
        <v>429</v>
      </c>
      <c r="H17" s="383" t="s">
        <v>430</v>
      </c>
      <c r="I17" s="383" t="s">
        <v>431</v>
      </c>
      <c r="J17" s="384">
        <f>B17</f>
        <v>43830</v>
      </c>
      <c r="K17" s="384" t="str">
        <f>C17</f>
        <v>31.12.2018</v>
      </c>
      <c r="L17" s="384" t="str">
        <f>D17</f>
        <v>31.12.2017</v>
      </c>
      <c r="M17" s="384" t="str">
        <f>E17</f>
        <v>31.12.2016</v>
      </c>
      <c r="N17" s="384" t="str">
        <f>F17</f>
        <v>31.12.2015</v>
      </c>
      <c r="O17" s="384" t="str">
        <f>G17</f>
        <v>31.12.2014</v>
      </c>
      <c r="P17" s="384" t="str">
        <f>H17</f>
        <v>31.12.2013</v>
      </c>
      <c r="Q17" s="384" t="str">
        <f>I17</f>
        <v>31.12.2012</v>
      </c>
      <c r="R17" s="215" t="s">
        <v>432</v>
      </c>
      <c r="S17" s="215" t="s">
        <v>433</v>
      </c>
      <c r="T17" s="215" t="s">
        <v>434</v>
      </c>
      <c r="U17" s="215" t="s">
        <v>432</v>
      </c>
      <c r="V17" s="215" t="s">
        <v>433</v>
      </c>
      <c r="W17" s="215" t="s">
        <v>434</v>
      </c>
      <c r="X17" s="215" t="str">
        <f>U17</f>
        <v xml:space="preserve">в тыс. руб.</v>
      </c>
      <c r="Y17" s="215" t="str">
        <f>V17</f>
        <v xml:space="preserve">темп прироста, %</v>
      </c>
      <c r="Z17" s="215" t="str">
        <f>W17</f>
        <v xml:space="preserve">в структуре, %</v>
      </c>
      <c r="AA17" s="215" t="str">
        <f>X17</f>
        <v xml:space="preserve">в тыс. руб.</v>
      </c>
      <c r="AB17" s="215" t="str">
        <f>Y17</f>
        <v xml:space="preserve">темп прироста, %</v>
      </c>
      <c r="AC17" s="215" t="str">
        <f>Z17</f>
        <v xml:space="preserve">в структуре, %</v>
      </c>
      <c r="AD17" s="215" t="str">
        <f>AA17</f>
        <v xml:space="preserve">в тыс. руб.</v>
      </c>
      <c r="AE17" s="215" t="str">
        <f>AB17</f>
        <v xml:space="preserve">темп прироста, %</v>
      </c>
      <c r="AF17" s="215" t="str">
        <f>AC17</f>
        <v xml:space="preserve">в структуре, %</v>
      </c>
      <c r="AG17" s="215" t="str">
        <f>AD17</f>
        <v xml:space="preserve">в тыс. руб.</v>
      </c>
      <c r="AH17" s="215" t="str">
        <f>AE17</f>
        <v xml:space="preserve">темп прироста, %</v>
      </c>
      <c r="AI17" s="215" t="str">
        <f>AF17</f>
        <v xml:space="preserve">в структуре, %</v>
      </c>
      <c r="AJ17" s="215" t="str">
        <f>AG17</f>
        <v xml:space="preserve">в тыс. руб.</v>
      </c>
      <c r="AK17" s="215" t="str">
        <f>AH17</f>
        <v xml:space="preserve">темп прироста, %</v>
      </c>
      <c r="AL17" s="215" t="str">
        <f>AI17</f>
        <v xml:space="preserve">в структуре, %</v>
      </c>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213"/>
      <c r="DG17" s="213"/>
      <c r="DH17" s="213"/>
      <c r="DI17" s="213"/>
      <c r="DJ17" s="213"/>
      <c r="DK17" s="213"/>
      <c r="DL17" s="213"/>
      <c r="DM17" s="213"/>
      <c r="DN17" s="213"/>
      <c r="DO17" s="213"/>
      <c r="DP17" s="213"/>
      <c r="DQ17" s="213"/>
      <c r="DR17" s="213"/>
      <c r="DS17" s="213"/>
      <c r="DT17" s="213"/>
      <c r="DU17" s="213"/>
      <c r="DV17" s="213"/>
      <c r="DW17" s="213"/>
      <c r="DX17" s="213"/>
      <c r="DY17" s="213"/>
      <c r="DZ17" s="213"/>
      <c r="EA17" s="213"/>
      <c r="EB17" s="213"/>
      <c r="EC17" s="213"/>
      <c r="ED17" s="213"/>
      <c r="EE17" s="213"/>
      <c r="EF17" s="213"/>
      <c r="EG17" s="213"/>
      <c r="EH17" s="213"/>
      <c r="EI17" s="213"/>
      <c r="EJ17" s="213"/>
      <c r="EK17" s="213"/>
      <c r="EL17" s="213"/>
      <c r="EM17" s="213"/>
      <c r="EN17" s="213"/>
      <c r="EO17" s="213"/>
      <c r="EP17" s="213"/>
      <c r="EQ17" s="213"/>
      <c r="ER17" s="213"/>
      <c r="ES17" s="213"/>
      <c r="ET17" s="213"/>
      <c r="EU17" s="213"/>
      <c r="EV17" s="213"/>
      <c r="EW17" s="213"/>
      <c r="EX17" s="213"/>
      <c r="EY17" s="213"/>
      <c r="EZ17" s="213"/>
      <c r="FA17" s="213"/>
      <c r="FB17" s="213"/>
      <c r="FC17" s="213"/>
      <c r="FD17" s="213"/>
      <c r="FE17" s="213"/>
      <c r="FF17" s="213"/>
      <c r="FG17" s="213"/>
      <c r="FH17" s="213"/>
      <c r="FI17" s="213"/>
      <c r="FJ17" s="213"/>
      <c r="FK17" s="213"/>
      <c r="FL17" s="213"/>
      <c r="FM17" s="213"/>
      <c r="FN17" s="213"/>
      <c r="FO17" s="213"/>
      <c r="FP17" s="213"/>
      <c r="FQ17" s="213"/>
      <c r="FR17" s="213"/>
      <c r="FS17" s="213"/>
      <c r="FT17" s="213"/>
      <c r="FU17" s="213"/>
      <c r="FV17" s="213"/>
      <c r="FW17" s="213"/>
      <c r="FX17" s="213"/>
      <c r="FY17" s="213"/>
      <c r="FZ17" s="213"/>
      <c r="GA17" s="213"/>
      <c r="GB17" s="213"/>
      <c r="GC17" s="213"/>
      <c r="GD17" s="213"/>
      <c r="GE17" s="213"/>
      <c r="GF17" s="213"/>
      <c r="GG17" s="213"/>
      <c r="GH17" s="213"/>
      <c r="GI17" s="213"/>
      <c r="GJ17" s="213"/>
      <c r="GK17" s="213"/>
      <c r="GL17" s="213"/>
      <c r="GM17" s="213"/>
      <c r="GN17" s="213"/>
      <c r="GO17" s="213"/>
      <c r="GP17" s="213"/>
      <c r="GQ17" s="213"/>
      <c r="GR17" s="213"/>
      <c r="GS17" s="213"/>
      <c r="GT17" s="213"/>
      <c r="GU17" s="213"/>
      <c r="GV17" s="213"/>
      <c r="GW17" s="213"/>
      <c r="GX17" s="213"/>
      <c r="GY17" s="213"/>
      <c r="GZ17" s="213"/>
      <c r="HA17" s="213"/>
      <c r="HB17" s="213"/>
      <c r="HC17" s="213"/>
      <c r="HD17" s="213"/>
      <c r="HE17" s="213"/>
      <c r="HF17" s="213"/>
      <c r="HG17" s="213"/>
      <c r="HH17" s="213"/>
      <c r="HI17" s="213"/>
      <c r="HJ17" s="213"/>
      <c r="HK17" s="213"/>
      <c r="HL17" s="213"/>
      <c r="HM17" s="213"/>
      <c r="HN17" s="213"/>
      <c r="HO17" s="213"/>
      <c r="HP17" s="213"/>
      <c r="HQ17" s="213"/>
      <c r="HR17" s="213"/>
      <c r="HS17" s="213"/>
      <c r="HT17" s="213"/>
      <c r="HU17" s="213"/>
      <c r="HV17" s="213"/>
      <c r="HW17" s="213"/>
      <c r="HX17" s="213"/>
      <c r="HY17" s="213"/>
      <c r="HZ17" s="213"/>
      <c r="IA17" s="213"/>
      <c r="IB17" s="213"/>
      <c r="IC17" s="213"/>
      <c r="ID17" s="213"/>
      <c r="IE17" s="213"/>
      <c r="IF17" s="213"/>
      <c r="IG17" s="213"/>
      <c r="IH17" s="213"/>
      <c r="II17" s="213"/>
      <c r="IJ17" s="213"/>
      <c r="IK17" s="213"/>
      <c r="IL17" s="213"/>
      <c r="IM17" s="213"/>
      <c r="IN17" s="213"/>
      <c r="IO17" s="213"/>
      <c r="IP17" s="213"/>
      <c r="IQ17" s="213"/>
      <c r="IR17" s="213"/>
      <c r="IS17" s="213"/>
      <c r="IT17" s="213"/>
      <c r="IU17" s="213"/>
    </row>
    <row r="18" ht="15.6">
      <c r="A18" s="171" t="s">
        <v>665</v>
      </c>
      <c r="B18" s="358"/>
      <c r="C18" s="317"/>
      <c r="D18" s="358"/>
      <c r="E18" s="317"/>
      <c r="F18" s="358"/>
      <c r="G18" s="358"/>
      <c r="H18" s="358"/>
      <c r="I18" s="358"/>
      <c r="J18" s="358"/>
      <c r="K18" s="358"/>
      <c r="L18" s="358"/>
      <c r="M18" s="358"/>
      <c r="N18" s="358"/>
      <c r="O18" s="358"/>
      <c r="P18" s="358"/>
      <c r="Q18" s="358"/>
      <c r="R18" s="358"/>
      <c r="S18" s="358"/>
      <c r="T18" s="358"/>
      <c r="U18" s="358"/>
      <c r="V18" s="358"/>
      <c r="W18" s="358"/>
      <c r="X18" s="358"/>
      <c r="Y18" s="358"/>
      <c r="Z18" s="358"/>
      <c r="AA18" s="358"/>
      <c r="AB18" s="358"/>
      <c r="AC18" s="358"/>
      <c r="AD18" s="358"/>
      <c r="AE18" s="358"/>
      <c r="AF18" s="358"/>
      <c r="AG18" s="358"/>
      <c r="AH18" s="358"/>
      <c r="AI18" s="358"/>
      <c r="AJ18" s="358"/>
      <c r="AK18" s="358"/>
      <c r="AL18" s="358"/>
    </row>
    <row r="19" ht="15.6">
      <c r="A19" s="171" t="s">
        <v>666</v>
      </c>
      <c r="B19" s="358"/>
      <c r="C19" s="317"/>
      <c r="D19" s="358"/>
      <c r="E19" s="317"/>
      <c r="F19" s="358"/>
      <c r="G19" s="358"/>
      <c r="H19" s="358"/>
      <c r="I19" s="358"/>
      <c r="J19" s="358"/>
      <c r="K19" s="358"/>
      <c r="L19" s="358"/>
      <c r="M19" s="358"/>
      <c r="N19" s="358"/>
      <c r="O19" s="358"/>
      <c r="P19" s="358"/>
      <c r="Q19" s="358"/>
      <c r="R19" s="358"/>
      <c r="S19" s="358"/>
      <c r="T19" s="358"/>
      <c r="U19" s="358"/>
      <c r="V19" s="358"/>
      <c r="W19" s="358"/>
      <c r="X19" s="358"/>
      <c r="Y19" s="358"/>
      <c r="Z19" s="358"/>
      <c r="AA19" s="358"/>
      <c r="AB19" s="358"/>
      <c r="AC19" s="358"/>
      <c r="AD19" s="358"/>
      <c r="AE19" s="358"/>
      <c r="AF19" s="358"/>
      <c r="AG19" s="358"/>
      <c r="AH19" s="358"/>
      <c r="AI19" s="358"/>
      <c r="AJ19" s="358"/>
      <c r="AK19" s="358"/>
      <c r="AL19" s="358"/>
    </row>
    <row r="20" ht="15.6">
      <c r="A20" s="171" t="s">
        <v>585</v>
      </c>
      <c r="B20" s="358"/>
      <c r="C20" s="317"/>
      <c r="D20" s="358"/>
      <c r="E20" s="317"/>
      <c r="F20" s="358"/>
      <c r="G20" s="358"/>
      <c r="H20" s="358"/>
      <c r="I20" s="358"/>
      <c r="J20" s="358"/>
      <c r="K20" s="358"/>
      <c r="L20" s="358"/>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58"/>
      <c r="AL20" s="358"/>
    </row>
    <row r="21" ht="15.6">
      <c r="A21" s="171" t="s">
        <v>571</v>
      </c>
      <c r="B21" s="358"/>
      <c r="C21" s="317"/>
      <c r="D21" s="358"/>
      <c r="E21" s="317"/>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58"/>
    </row>
    <row r="22" ht="15.6">
      <c r="A22" s="316" t="s">
        <v>670</v>
      </c>
      <c r="B22" s="260"/>
      <c r="C22" s="26"/>
      <c r="D22" s="260"/>
      <c r="E22" s="26"/>
      <c r="F22" s="260"/>
      <c r="G22" s="358"/>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c r="AE22" s="358"/>
      <c r="AF22" s="358"/>
      <c r="AG22" s="358"/>
      <c r="AH22" s="358"/>
      <c r="AI22" s="358"/>
      <c r="AJ22" s="358"/>
      <c r="AK22" s="358"/>
      <c r="AL22" s="358"/>
    </row>
    <row r="24" ht="15.6">
      <c r="A24" s="66" t="s">
        <v>671</v>
      </c>
      <c r="B24" s="386"/>
      <c r="C24" s="386"/>
      <c r="D24" s="386"/>
      <c r="E24" s="386"/>
      <c r="F24" s="386"/>
      <c r="G24" s="386"/>
    </row>
    <row r="25" s="204" customFormat="1" ht="15.75" customHeight="1">
      <c r="A25" s="206" t="s">
        <v>177</v>
      </c>
      <c r="B25" s="206" t="s">
        <v>421</v>
      </c>
      <c r="C25" s="206"/>
      <c r="D25" s="206"/>
      <c r="E25" s="206"/>
      <c r="F25" s="206"/>
      <c r="G25" s="206"/>
      <c r="H25" s="206"/>
      <c r="I25" s="206"/>
      <c r="J25" s="208" t="s">
        <v>422</v>
      </c>
      <c r="K25" s="208"/>
      <c r="L25" s="208"/>
      <c r="M25" s="208"/>
      <c r="N25" s="208"/>
      <c r="O25" s="208"/>
      <c r="P25" s="208"/>
      <c r="Q25" s="208"/>
      <c r="R25" s="209" t="s">
        <v>423</v>
      </c>
      <c r="S25" s="209"/>
      <c r="T25" s="209"/>
      <c r="U25" s="209"/>
      <c r="V25" s="209"/>
      <c r="W25" s="209"/>
      <c r="X25" s="209"/>
      <c r="Y25" s="209"/>
      <c r="Z25" s="209"/>
      <c r="AA25" s="209"/>
      <c r="AB25" s="209"/>
      <c r="AC25" s="209"/>
      <c r="AD25" s="209"/>
      <c r="AE25" s="209"/>
      <c r="AF25" s="209"/>
      <c r="AG25" s="209"/>
      <c r="AH25" s="209"/>
      <c r="AI25" s="209"/>
      <c r="AJ25" s="209"/>
      <c r="AK25" s="209"/>
      <c r="AL25" s="209"/>
    </row>
    <row r="26" s="204" customFormat="1" ht="15.6" customHeight="1">
      <c r="A26" s="206"/>
      <c r="B26" s="206"/>
      <c r="C26" s="206"/>
      <c r="D26" s="206"/>
      <c r="E26" s="206"/>
      <c r="F26" s="206"/>
      <c r="G26" s="206"/>
      <c r="H26" s="206"/>
      <c r="I26" s="206"/>
      <c r="J26" s="208"/>
      <c r="K26" s="208"/>
      <c r="L26" s="208"/>
      <c r="M26" s="208"/>
      <c r="N26" s="208"/>
      <c r="O26" s="208"/>
      <c r="P26" s="208"/>
      <c r="Q26" s="208"/>
      <c r="R26" s="210" t="s">
        <v>320</v>
      </c>
      <c r="S26" s="210"/>
      <c r="T26" s="210"/>
      <c r="U26" s="211" t="s">
        <v>321</v>
      </c>
      <c r="V26" s="211"/>
      <c r="W26" s="211"/>
      <c r="X26" s="211" t="s">
        <v>322</v>
      </c>
      <c r="Y26" s="211"/>
      <c r="Z26" s="211"/>
      <c r="AA26" s="211" t="s">
        <v>323</v>
      </c>
      <c r="AB26" s="211"/>
      <c r="AC26" s="211"/>
      <c r="AD26" s="211" t="s">
        <v>324</v>
      </c>
      <c r="AE26" s="211"/>
      <c r="AF26" s="211"/>
      <c r="AG26" s="212" t="s">
        <v>325</v>
      </c>
      <c r="AH26" s="212"/>
      <c r="AI26" s="212"/>
      <c r="AJ26" s="212" t="s">
        <v>326</v>
      </c>
      <c r="AK26" s="212"/>
      <c r="AL26" s="212"/>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c r="BV26" s="213"/>
      <c r="BW26" s="213"/>
      <c r="BX26" s="213"/>
      <c r="BY26" s="213"/>
      <c r="BZ26" s="213"/>
      <c r="CA26" s="213"/>
      <c r="CB26" s="213"/>
      <c r="CC26" s="213"/>
      <c r="CD26" s="213"/>
      <c r="CE26" s="213"/>
      <c r="CF26" s="213"/>
      <c r="CG26" s="213"/>
      <c r="CH26" s="213"/>
      <c r="CI26" s="213"/>
      <c r="CJ26" s="213"/>
      <c r="CK26" s="213"/>
      <c r="CL26" s="213"/>
      <c r="CM26" s="213"/>
      <c r="CN26" s="213"/>
      <c r="CO26" s="213"/>
      <c r="CP26" s="213"/>
      <c r="CQ26" s="213"/>
      <c r="CR26" s="213"/>
      <c r="CS26" s="213"/>
      <c r="CT26" s="213"/>
      <c r="CU26" s="213"/>
      <c r="CV26" s="213"/>
      <c r="CW26" s="213"/>
      <c r="CX26" s="213"/>
      <c r="CY26" s="213"/>
      <c r="CZ26" s="213"/>
      <c r="DA26" s="213"/>
      <c r="DB26" s="213"/>
      <c r="DC26" s="213"/>
      <c r="DD26" s="213"/>
      <c r="DE26" s="213"/>
      <c r="DF26" s="213"/>
      <c r="DG26" s="213"/>
      <c r="DH26" s="213"/>
      <c r="DI26" s="213"/>
      <c r="DJ26" s="213"/>
      <c r="DK26" s="213"/>
      <c r="DL26" s="213"/>
      <c r="DM26" s="213"/>
      <c r="DN26" s="213"/>
      <c r="DO26" s="213"/>
      <c r="DP26" s="213"/>
      <c r="DQ26" s="213"/>
      <c r="DR26" s="213"/>
      <c r="DS26" s="213"/>
      <c r="DT26" s="213"/>
      <c r="DU26" s="213"/>
      <c r="DV26" s="213"/>
      <c r="DW26" s="213"/>
      <c r="DX26" s="213"/>
      <c r="DY26" s="213"/>
      <c r="DZ26" s="213"/>
      <c r="EA26" s="213"/>
      <c r="EB26" s="213"/>
      <c r="EC26" s="213"/>
      <c r="ED26" s="213"/>
      <c r="EE26" s="213"/>
      <c r="EF26" s="213"/>
      <c r="EG26" s="213"/>
      <c r="EH26" s="213"/>
      <c r="EI26" s="213"/>
      <c r="EJ26" s="213"/>
      <c r="EK26" s="213"/>
      <c r="EL26" s="213"/>
      <c r="EM26" s="213"/>
      <c r="EN26" s="213"/>
      <c r="EO26" s="213"/>
      <c r="EP26" s="213"/>
      <c r="EQ26" s="213"/>
      <c r="ER26" s="213"/>
      <c r="ES26" s="213"/>
      <c r="ET26" s="213"/>
      <c r="EU26" s="213"/>
      <c r="EV26" s="213"/>
      <c r="EW26" s="213"/>
      <c r="EX26" s="213"/>
      <c r="EY26" s="213"/>
      <c r="EZ26" s="213"/>
      <c r="FA26" s="213"/>
      <c r="FB26" s="213"/>
      <c r="FC26" s="213"/>
      <c r="FD26" s="213"/>
      <c r="FE26" s="213"/>
      <c r="FF26" s="213"/>
      <c r="FG26" s="213"/>
      <c r="FH26" s="213"/>
      <c r="FI26" s="213"/>
      <c r="FJ26" s="213"/>
      <c r="FK26" s="213"/>
      <c r="FL26" s="213"/>
      <c r="FM26" s="213"/>
      <c r="FN26" s="213"/>
      <c r="FO26" s="213"/>
      <c r="FP26" s="213"/>
      <c r="FQ26" s="213"/>
      <c r="FR26" s="213"/>
      <c r="FS26" s="213"/>
      <c r="FT26" s="213"/>
      <c r="FU26" s="213"/>
      <c r="FV26" s="213"/>
      <c r="FW26" s="213"/>
      <c r="FX26" s="213"/>
      <c r="FY26" s="213"/>
      <c r="FZ26" s="213"/>
      <c r="GA26" s="213"/>
      <c r="GB26" s="213"/>
      <c r="GC26" s="213"/>
      <c r="GD26" s="213"/>
      <c r="GE26" s="213"/>
      <c r="GF26" s="213"/>
      <c r="GG26" s="213"/>
      <c r="GH26" s="213"/>
      <c r="GI26" s="213"/>
      <c r="GJ26" s="213"/>
      <c r="GK26" s="213"/>
      <c r="GL26" s="213"/>
      <c r="GM26" s="213"/>
      <c r="GN26" s="213"/>
      <c r="GO26" s="213"/>
      <c r="GP26" s="213"/>
      <c r="GQ26" s="213"/>
      <c r="GR26" s="213"/>
      <c r="GS26" s="213"/>
      <c r="GT26" s="213"/>
      <c r="GU26" s="213"/>
      <c r="GV26" s="213"/>
      <c r="GW26" s="213"/>
      <c r="GX26" s="213"/>
      <c r="GY26" s="213"/>
      <c r="GZ26" s="213"/>
      <c r="HA26" s="213"/>
      <c r="HB26" s="213"/>
      <c r="HC26" s="213"/>
      <c r="HD26" s="213"/>
      <c r="HE26" s="213"/>
      <c r="HF26" s="213"/>
      <c r="HG26" s="213"/>
      <c r="HH26" s="213"/>
      <c r="HI26" s="213"/>
      <c r="HJ26" s="213"/>
      <c r="HK26" s="213"/>
      <c r="HL26" s="213"/>
      <c r="HM26" s="213"/>
      <c r="HN26" s="213"/>
      <c r="HO26" s="213"/>
      <c r="HP26" s="213"/>
      <c r="HQ26" s="213"/>
      <c r="HR26" s="213"/>
      <c r="HS26" s="213"/>
      <c r="HT26" s="213"/>
      <c r="HU26" s="213"/>
      <c r="HV26" s="213"/>
      <c r="HW26" s="213"/>
      <c r="HX26" s="213"/>
      <c r="HY26" s="213"/>
      <c r="HZ26" s="213"/>
      <c r="IA26" s="213"/>
      <c r="IB26" s="213"/>
      <c r="IC26" s="213"/>
      <c r="ID26" s="213"/>
      <c r="IE26" s="213"/>
      <c r="IF26" s="213"/>
      <c r="IG26" s="213"/>
      <c r="IH26" s="213"/>
      <c r="II26" s="213"/>
      <c r="IJ26" s="213"/>
      <c r="IK26" s="213"/>
      <c r="IL26" s="213"/>
      <c r="IM26" s="213"/>
      <c r="IN26" s="213"/>
      <c r="IO26" s="213"/>
      <c r="IP26" s="213"/>
      <c r="IQ26" s="213"/>
      <c r="IR26" s="213"/>
      <c r="IS26" s="213"/>
      <c r="IT26" s="213"/>
      <c r="IU26" s="213"/>
    </row>
    <row r="27" s="204" customFormat="1" ht="15.6">
      <c r="A27" s="206"/>
      <c r="B27" s="383">
        <v>43830</v>
      </c>
      <c r="C27" s="383" t="s">
        <v>425</v>
      </c>
      <c r="D27" s="383" t="s">
        <v>426</v>
      </c>
      <c r="E27" s="383" t="s">
        <v>427</v>
      </c>
      <c r="F27" s="383" t="s">
        <v>428</v>
      </c>
      <c r="G27" s="383" t="s">
        <v>429</v>
      </c>
      <c r="H27" s="383" t="s">
        <v>430</v>
      </c>
      <c r="I27" s="383" t="s">
        <v>431</v>
      </c>
      <c r="J27" s="383">
        <v>43830</v>
      </c>
      <c r="K27" s="383" t="s">
        <v>425</v>
      </c>
      <c r="L27" s="383" t="s">
        <v>426</v>
      </c>
      <c r="M27" s="383" t="s">
        <v>427</v>
      </c>
      <c r="N27" s="383" t="s">
        <v>428</v>
      </c>
      <c r="O27" s="383" t="s">
        <v>429</v>
      </c>
      <c r="P27" s="383" t="s">
        <v>430</v>
      </c>
      <c r="Q27" s="383" t="s">
        <v>431</v>
      </c>
      <c r="R27" s="215" t="s">
        <v>432</v>
      </c>
      <c r="S27" s="215" t="s">
        <v>433</v>
      </c>
      <c r="T27" s="215" t="s">
        <v>434</v>
      </c>
      <c r="U27" s="215" t="s">
        <v>432</v>
      </c>
      <c r="V27" s="215" t="s">
        <v>433</v>
      </c>
      <c r="W27" s="215" t="s">
        <v>434</v>
      </c>
      <c r="X27" s="215" t="str">
        <f>U27</f>
        <v xml:space="preserve">в тыс. руб.</v>
      </c>
      <c r="Y27" s="215" t="str">
        <f>V27</f>
        <v xml:space="preserve">темп прироста, %</v>
      </c>
      <c r="Z27" s="215" t="str">
        <f>W27</f>
        <v xml:space="preserve">в структуре, %</v>
      </c>
      <c r="AA27" s="215" t="str">
        <f>X27</f>
        <v xml:space="preserve">в тыс. руб.</v>
      </c>
      <c r="AB27" s="215" t="str">
        <f>Y27</f>
        <v xml:space="preserve">темп прироста, %</v>
      </c>
      <c r="AC27" s="215" t="str">
        <f>Z27</f>
        <v xml:space="preserve">в структуре, %</v>
      </c>
      <c r="AD27" s="215" t="str">
        <f>AA27</f>
        <v xml:space="preserve">в тыс. руб.</v>
      </c>
      <c r="AE27" s="215" t="str">
        <f>AB27</f>
        <v xml:space="preserve">темп прироста, %</v>
      </c>
      <c r="AF27" s="215" t="str">
        <f>AC27</f>
        <v xml:space="preserve">в структуре, %</v>
      </c>
      <c r="AG27" s="215" t="str">
        <f>AD27</f>
        <v xml:space="preserve">в тыс. руб.</v>
      </c>
      <c r="AH27" s="215" t="str">
        <f>AE27</f>
        <v xml:space="preserve">темп прироста, %</v>
      </c>
      <c r="AI27" s="215" t="str">
        <f>AF27</f>
        <v xml:space="preserve">в структуре, %</v>
      </c>
      <c r="AJ27" s="215" t="str">
        <f>AG27</f>
        <v xml:space="preserve">в тыс. руб.</v>
      </c>
      <c r="AK27" s="215" t="str">
        <f>AH27</f>
        <v xml:space="preserve">темп прироста, %</v>
      </c>
      <c r="AL27" s="215" t="str">
        <f>AI27</f>
        <v xml:space="preserve">в структуре, %</v>
      </c>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3"/>
      <c r="DL27" s="213"/>
      <c r="DM27" s="213"/>
      <c r="DN27" s="213"/>
      <c r="DO27" s="213"/>
      <c r="DP27" s="213"/>
      <c r="DQ27" s="213"/>
      <c r="DR27" s="213"/>
      <c r="DS27" s="213"/>
      <c r="DT27" s="213"/>
      <c r="DU27" s="213"/>
      <c r="DV27" s="213"/>
      <c r="DW27" s="213"/>
      <c r="DX27" s="213"/>
      <c r="DY27" s="213"/>
      <c r="DZ27" s="213"/>
      <c r="EA27" s="213"/>
      <c r="EB27" s="213"/>
      <c r="EC27" s="213"/>
      <c r="ED27" s="213"/>
      <c r="EE27" s="213"/>
      <c r="EF27" s="213"/>
      <c r="EG27" s="213"/>
      <c r="EH27" s="213"/>
      <c r="EI27" s="213"/>
      <c r="EJ27" s="213"/>
      <c r="EK27" s="213"/>
      <c r="EL27" s="213"/>
      <c r="EM27" s="213"/>
      <c r="EN27" s="213"/>
      <c r="EO27" s="213"/>
      <c r="EP27" s="213"/>
      <c r="EQ27" s="213"/>
      <c r="ER27" s="213"/>
      <c r="ES27" s="213"/>
      <c r="ET27" s="213"/>
      <c r="EU27" s="213"/>
      <c r="EV27" s="213"/>
      <c r="EW27" s="213"/>
      <c r="EX27" s="213"/>
      <c r="EY27" s="213"/>
      <c r="EZ27" s="213"/>
      <c r="FA27" s="213"/>
      <c r="FB27" s="213"/>
      <c r="FC27" s="213"/>
      <c r="FD27" s="213"/>
      <c r="FE27" s="213"/>
      <c r="FF27" s="213"/>
      <c r="FG27" s="213"/>
      <c r="FH27" s="213"/>
      <c r="FI27" s="213"/>
      <c r="FJ27" s="213"/>
      <c r="FK27" s="213"/>
      <c r="FL27" s="213"/>
      <c r="FM27" s="213"/>
      <c r="FN27" s="213"/>
      <c r="FO27" s="213"/>
      <c r="FP27" s="213"/>
      <c r="FQ27" s="213"/>
      <c r="FR27" s="213"/>
      <c r="FS27" s="213"/>
      <c r="FT27" s="213"/>
      <c r="FU27" s="213"/>
      <c r="FV27" s="213"/>
      <c r="FW27" s="213"/>
      <c r="FX27" s="213"/>
      <c r="FY27" s="213"/>
      <c r="FZ27" s="213"/>
      <c r="GA27" s="213"/>
      <c r="GB27" s="213"/>
      <c r="GC27" s="213"/>
      <c r="GD27" s="213"/>
      <c r="GE27" s="213"/>
      <c r="GF27" s="213"/>
      <c r="GG27" s="213"/>
      <c r="GH27" s="213"/>
      <c r="GI27" s="213"/>
      <c r="GJ27" s="213"/>
      <c r="GK27" s="213"/>
      <c r="GL27" s="213"/>
      <c r="GM27" s="213"/>
      <c r="GN27" s="213"/>
      <c r="GO27" s="213"/>
      <c r="GP27" s="213"/>
      <c r="GQ27" s="213"/>
      <c r="GR27" s="213"/>
      <c r="GS27" s="213"/>
      <c r="GT27" s="213"/>
      <c r="GU27" s="213"/>
      <c r="GV27" s="213"/>
      <c r="GW27" s="213"/>
      <c r="GX27" s="213"/>
      <c r="GY27" s="213"/>
      <c r="GZ27" s="213"/>
      <c r="HA27" s="213"/>
      <c r="HB27" s="213"/>
      <c r="HC27" s="213"/>
      <c r="HD27" s="213"/>
      <c r="HE27" s="213"/>
      <c r="HF27" s="213"/>
      <c r="HG27" s="213"/>
      <c r="HH27" s="213"/>
      <c r="HI27" s="213"/>
      <c r="HJ27" s="213"/>
      <c r="HK27" s="213"/>
      <c r="HL27" s="213"/>
      <c r="HM27" s="213"/>
      <c r="HN27" s="213"/>
      <c r="HO27" s="213"/>
      <c r="HP27" s="213"/>
      <c r="HQ27" s="213"/>
      <c r="HR27" s="213"/>
      <c r="HS27" s="213"/>
      <c r="HT27" s="213"/>
      <c r="HU27" s="213"/>
      <c r="HV27" s="213"/>
      <c r="HW27" s="213"/>
      <c r="HX27" s="213"/>
      <c r="HY27" s="213"/>
      <c r="HZ27" s="213"/>
      <c r="IA27" s="213"/>
      <c r="IB27" s="213"/>
      <c r="IC27" s="213"/>
      <c r="ID27" s="213"/>
      <c r="IE27" s="213"/>
      <c r="IF27" s="213"/>
      <c r="IG27" s="213"/>
      <c r="IH27" s="213"/>
      <c r="II27" s="213"/>
      <c r="IJ27" s="213"/>
      <c r="IK27" s="213"/>
      <c r="IL27" s="213"/>
      <c r="IM27" s="213"/>
      <c r="IN27" s="213"/>
      <c r="IO27" s="213"/>
      <c r="IP27" s="213"/>
      <c r="IQ27" s="213"/>
      <c r="IR27" s="213"/>
      <c r="IS27" s="213"/>
      <c r="IT27" s="213"/>
      <c r="IU27" s="213"/>
    </row>
    <row r="28" ht="15.6">
      <c r="A28" s="171" t="s">
        <v>672</v>
      </c>
      <c r="B28" s="387"/>
      <c r="C28" s="387"/>
      <c r="D28" s="387"/>
      <c r="E28" s="387"/>
      <c r="F28" s="387"/>
      <c r="G28" s="387"/>
      <c r="H28" s="387"/>
      <c r="I28" s="387"/>
      <c r="J28" s="387"/>
      <c r="K28" s="387"/>
      <c r="L28" s="387"/>
      <c r="M28" s="387"/>
      <c r="N28" s="387"/>
      <c r="O28" s="387"/>
      <c r="P28" s="387"/>
      <c r="Q28" s="387"/>
      <c r="R28" s="387"/>
      <c r="S28" s="387"/>
      <c r="T28" s="387"/>
      <c r="U28" s="387"/>
      <c r="V28" s="387"/>
      <c r="W28" s="387"/>
      <c r="X28" s="387"/>
      <c r="Y28" s="387"/>
      <c r="Z28" s="387"/>
      <c r="AA28" s="387"/>
      <c r="AB28" s="387"/>
      <c r="AC28" s="387"/>
      <c r="AD28" s="387"/>
      <c r="AE28" s="387"/>
      <c r="AF28" s="387"/>
      <c r="AG28" s="387"/>
      <c r="AH28" s="387"/>
      <c r="AI28" s="387"/>
      <c r="AJ28" s="387"/>
      <c r="AK28" s="387"/>
      <c r="AL28" s="387"/>
    </row>
    <row r="29" ht="15.6">
      <c r="A29" s="171" t="s">
        <v>41</v>
      </c>
      <c r="B29" s="387"/>
      <c r="C29" s="387"/>
      <c r="D29" s="387"/>
      <c r="E29" s="387"/>
      <c r="F29" s="387"/>
      <c r="G29" s="387"/>
      <c r="H29" s="387"/>
      <c r="I29" s="387"/>
      <c r="J29" s="387"/>
      <c r="K29" s="387"/>
      <c r="L29" s="387"/>
      <c r="M29" s="387"/>
      <c r="N29" s="387"/>
      <c r="O29" s="387"/>
      <c r="P29" s="387"/>
      <c r="Q29" s="387"/>
      <c r="R29" s="387"/>
      <c r="S29" s="387"/>
      <c r="T29" s="387"/>
      <c r="U29" s="387"/>
      <c r="V29" s="387"/>
      <c r="W29" s="387"/>
      <c r="X29" s="387"/>
      <c r="Y29" s="387"/>
      <c r="Z29" s="387"/>
      <c r="AA29" s="387"/>
      <c r="AB29" s="387"/>
      <c r="AC29" s="387"/>
      <c r="AD29" s="387"/>
      <c r="AE29" s="387"/>
      <c r="AF29" s="387"/>
      <c r="AG29" s="387"/>
      <c r="AH29" s="387"/>
      <c r="AI29" s="387"/>
      <c r="AJ29" s="387"/>
      <c r="AK29" s="387"/>
      <c r="AL29" s="387"/>
    </row>
    <row r="30" ht="15.6">
      <c r="A30" s="316" t="s">
        <v>40</v>
      </c>
      <c r="B30" s="387"/>
      <c r="C30" s="387"/>
      <c r="D30" s="387"/>
      <c r="E30" s="387"/>
      <c r="F30" s="387"/>
      <c r="G30" s="387"/>
      <c r="H30" s="387"/>
      <c r="I30" s="387"/>
      <c r="J30" s="387"/>
      <c r="K30" s="387"/>
      <c r="L30" s="387"/>
      <c r="M30" s="387"/>
      <c r="N30" s="387"/>
      <c r="O30" s="387"/>
      <c r="P30" s="387"/>
      <c r="Q30" s="387"/>
      <c r="R30" s="387"/>
      <c r="S30" s="387"/>
      <c r="T30" s="387"/>
      <c r="U30" s="387"/>
      <c r="V30" s="387"/>
      <c r="W30" s="387"/>
      <c r="X30" s="387"/>
      <c r="Y30" s="387"/>
      <c r="Z30" s="387"/>
      <c r="AA30" s="387"/>
      <c r="AB30" s="387"/>
      <c r="AC30" s="387"/>
      <c r="AD30" s="387"/>
      <c r="AE30" s="387"/>
      <c r="AF30" s="387"/>
      <c r="AG30" s="387"/>
      <c r="AH30" s="387"/>
      <c r="AI30" s="387"/>
      <c r="AJ30" s="387"/>
      <c r="AK30" s="387"/>
      <c r="AL30" s="387"/>
    </row>
    <row r="31" ht="15.6">
      <c r="A31" s="171" t="s">
        <v>42</v>
      </c>
      <c r="B31" s="387"/>
      <c r="C31" s="387"/>
      <c r="D31" s="387"/>
      <c r="E31" s="387"/>
      <c r="F31" s="387"/>
      <c r="G31" s="387"/>
      <c r="H31" s="387"/>
      <c r="I31" s="387"/>
      <c r="J31" s="387"/>
      <c r="K31" s="387"/>
      <c r="L31" s="387"/>
      <c r="M31" s="387"/>
      <c r="N31" s="387"/>
      <c r="O31" s="387"/>
      <c r="P31" s="387"/>
      <c r="Q31" s="387"/>
      <c r="R31" s="387"/>
      <c r="S31" s="387"/>
      <c r="T31" s="387"/>
      <c r="U31" s="387"/>
      <c r="V31" s="387"/>
      <c r="W31" s="387"/>
      <c r="X31" s="387"/>
      <c r="Y31" s="387"/>
      <c r="Z31" s="387"/>
      <c r="AA31" s="387"/>
      <c r="AB31" s="387"/>
      <c r="AC31" s="387"/>
      <c r="AD31" s="387"/>
      <c r="AE31" s="387"/>
      <c r="AF31" s="387"/>
      <c r="AG31" s="387"/>
      <c r="AH31" s="387"/>
      <c r="AI31" s="387"/>
      <c r="AJ31" s="387"/>
      <c r="AK31" s="387"/>
      <c r="AL31" s="387"/>
    </row>
    <row r="32" ht="15.6">
      <c r="A32" s="171" t="s">
        <v>43</v>
      </c>
      <c r="B32" s="387"/>
      <c r="C32" s="387"/>
      <c r="D32" s="387"/>
      <c r="E32" s="387"/>
      <c r="F32" s="387"/>
      <c r="G32" s="387"/>
      <c r="H32" s="387"/>
      <c r="I32" s="387"/>
      <c r="J32" s="387"/>
      <c r="K32" s="387"/>
      <c r="L32" s="387"/>
      <c r="M32" s="387"/>
      <c r="N32" s="387"/>
      <c r="O32" s="387"/>
      <c r="P32" s="387"/>
      <c r="Q32" s="387"/>
      <c r="R32" s="387"/>
      <c r="S32" s="387"/>
      <c r="T32" s="387"/>
      <c r="U32" s="387"/>
      <c r="V32" s="387"/>
      <c r="W32" s="387"/>
      <c r="X32" s="387"/>
      <c r="Y32" s="387"/>
      <c r="Z32" s="387"/>
      <c r="AA32" s="387"/>
      <c r="AB32" s="387"/>
      <c r="AC32" s="387"/>
      <c r="AD32" s="387"/>
      <c r="AE32" s="387"/>
      <c r="AF32" s="387"/>
      <c r="AG32" s="387"/>
      <c r="AH32" s="387"/>
      <c r="AI32" s="387"/>
      <c r="AJ32" s="387"/>
      <c r="AK32" s="387"/>
      <c r="AL32" s="387"/>
    </row>
    <row r="33" ht="17.25" customHeight="1">
      <c r="A33" s="171" t="s">
        <v>673</v>
      </c>
      <c r="B33" s="387"/>
      <c r="C33" s="387"/>
      <c r="D33" s="387"/>
      <c r="E33" s="387"/>
      <c r="F33" s="387"/>
      <c r="G33" s="387"/>
      <c r="H33" s="387"/>
      <c r="I33" s="387"/>
      <c r="J33" s="387"/>
      <c r="K33" s="387"/>
      <c r="L33" s="387"/>
      <c r="M33" s="387"/>
      <c r="N33" s="387"/>
      <c r="O33" s="387"/>
      <c r="P33" s="387"/>
      <c r="Q33" s="387"/>
      <c r="R33" s="387"/>
      <c r="S33" s="387"/>
      <c r="T33" s="387"/>
      <c r="U33" s="387"/>
      <c r="V33" s="387"/>
      <c r="W33" s="387"/>
      <c r="X33" s="387"/>
      <c r="Y33" s="387"/>
      <c r="Z33" s="387"/>
      <c r="AA33" s="387"/>
      <c r="AB33" s="387"/>
      <c r="AC33" s="387"/>
      <c r="AD33" s="387"/>
      <c r="AE33" s="387"/>
      <c r="AF33" s="387"/>
      <c r="AG33" s="387"/>
      <c r="AH33" s="387"/>
      <c r="AI33" s="387"/>
      <c r="AJ33" s="387"/>
      <c r="AK33" s="387"/>
      <c r="AL33" s="387"/>
    </row>
    <row r="34" ht="17.25" customHeight="1">
      <c r="A34" s="77" t="s">
        <v>452</v>
      </c>
      <c r="B34" s="364"/>
      <c r="C34" s="177">
        <f>'[2]1'!D35-[2]сф!D30</f>
        <v>0</v>
      </c>
      <c r="D34" s="364"/>
      <c r="E34" s="177">
        <f>'[2]1'!C35-[2]сф!F30</f>
        <v>0</v>
      </c>
      <c r="F34" s="265"/>
      <c r="G34" s="385"/>
      <c r="H34" s="364"/>
    </row>
    <row r="35" ht="17.25" customHeight="1">
      <c r="A35" s="77"/>
      <c r="B35" s="364"/>
      <c r="C35" s="177"/>
      <c r="D35" s="364"/>
      <c r="E35" s="177"/>
      <c r="F35" s="265"/>
      <c r="G35" s="385"/>
      <c r="H35" s="364"/>
    </row>
    <row r="36" ht="36.75" customHeight="1">
      <c r="A36" s="77"/>
      <c r="B36" s="388"/>
      <c r="C36" s="388"/>
      <c r="D36" s="388"/>
      <c r="E36" s="388"/>
      <c r="F36" s="388"/>
      <c r="G36" s="388"/>
      <c r="H36" s="388"/>
      <c r="I36" s="388"/>
      <c r="J36" s="388"/>
      <c r="K36" s="388"/>
      <c r="L36" s="388"/>
      <c r="M36" s="388"/>
      <c r="N36" s="388"/>
      <c r="O36" s="388"/>
      <c r="P36" s="388"/>
      <c r="Q36" s="388"/>
    </row>
    <row r="37" ht="36.75" customHeight="1">
      <c r="A37" s="77"/>
      <c r="B37" s="388"/>
      <c r="C37" s="388"/>
      <c r="D37" s="388"/>
      <c r="E37" s="388"/>
      <c r="F37" s="388"/>
      <c r="G37" s="388"/>
      <c r="H37" s="388"/>
      <c r="I37" s="388"/>
      <c r="J37" s="388"/>
      <c r="K37" s="388"/>
      <c r="L37" s="388"/>
      <c r="M37" s="388"/>
      <c r="N37" s="388"/>
      <c r="O37" s="388"/>
      <c r="P37" s="388"/>
      <c r="Q37" s="388"/>
    </row>
    <row r="39" ht="17.25" customHeight="1">
      <c r="A39" s="66" t="s">
        <v>674</v>
      </c>
    </row>
    <row r="40" s="204" customFormat="1" ht="15.75" customHeight="1">
      <c r="A40" s="206" t="s">
        <v>177</v>
      </c>
      <c r="B40" s="206" t="s">
        <v>421</v>
      </c>
      <c r="C40" s="206"/>
      <c r="D40" s="206"/>
      <c r="E40" s="206"/>
      <c r="F40" s="206"/>
      <c r="G40" s="206"/>
      <c r="H40" s="206"/>
      <c r="I40" s="206"/>
      <c r="J40" s="208" t="s">
        <v>422</v>
      </c>
      <c r="K40" s="208"/>
      <c r="L40" s="208"/>
      <c r="M40" s="208"/>
      <c r="N40" s="208"/>
      <c r="O40" s="208"/>
      <c r="P40" s="208"/>
      <c r="Q40" s="208"/>
      <c r="R40" s="209" t="s">
        <v>423</v>
      </c>
      <c r="S40" s="209"/>
      <c r="T40" s="209"/>
      <c r="U40" s="209"/>
      <c r="V40" s="209"/>
      <c r="W40" s="209"/>
      <c r="X40" s="209"/>
      <c r="Y40" s="209"/>
      <c r="Z40" s="209"/>
      <c r="AA40" s="209"/>
      <c r="AB40" s="209"/>
      <c r="AC40" s="209"/>
      <c r="AD40" s="209"/>
      <c r="AE40" s="209"/>
      <c r="AF40" s="209"/>
      <c r="AG40" s="209"/>
      <c r="AH40" s="209"/>
      <c r="AI40" s="209"/>
      <c r="AJ40" s="209"/>
      <c r="AK40" s="209"/>
      <c r="AL40" s="209"/>
    </row>
    <row r="41" s="204" customFormat="1" ht="15.6" customHeight="1">
      <c r="A41" s="206"/>
      <c r="B41" s="206"/>
      <c r="C41" s="206"/>
      <c r="D41" s="206"/>
      <c r="E41" s="206"/>
      <c r="F41" s="206"/>
      <c r="G41" s="206"/>
      <c r="H41" s="206"/>
      <c r="I41" s="206"/>
      <c r="J41" s="208"/>
      <c r="K41" s="208"/>
      <c r="L41" s="208"/>
      <c r="M41" s="208"/>
      <c r="N41" s="208"/>
      <c r="O41" s="208"/>
      <c r="P41" s="208"/>
      <c r="Q41" s="208"/>
      <c r="R41" s="210" t="s">
        <v>320</v>
      </c>
      <c r="S41" s="210"/>
      <c r="T41" s="210"/>
      <c r="U41" s="211" t="s">
        <v>321</v>
      </c>
      <c r="V41" s="211"/>
      <c r="W41" s="211"/>
      <c r="X41" s="211" t="s">
        <v>322</v>
      </c>
      <c r="Y41" s="211"/>
      <c r="Z41" s="211"/>
      <c r="AA41" s="211" t="s">
        <v>323</v>
      </c>
      <c r="AB41" s="211"/>
      <c r="AC41" s="211"/>
      <c r="AD41" s="211" t="s">
        <v>324</v>
      </c>
      <c r="AE41" s="211"/>
      <c r="AF41" s="211"/>
      <c r="AG41" s="212" t="s">
        <v>325</v>
      </c>
      <c r="AH41" s="212"/>
      <c r="AI41" s="212"/>
      <c r="AJ41" s="212" t="s">
        <v>326</v>
      </c>
      <c r="AK41" s="212"/>
      <c r="AL41" s="212"/>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c r="CG41" s="213"/>
      <c r="CH41" s="213"/>
      <c r="CI41" s="213"/>
      <c r="CJ41" s="213"/>
      <c r="CK41" s="213"/>
      <c r="CL41" s="213"/>
      <c r="CM41" s="213"/>
      <c r="CN41" s="213"/>
      <c r="CO41" s="213"/>
      <c r="CP41" s="213"/>
      <c r="CQ41" s="213"/>
      <c r="CR41" s="213"/>
      <c r="CS41" s="213"/>
      <c r="CT41" s="213"/>
      <c r="CU41" s="213"/>
      <c r="CV41" s="213"/>
      <c r="CW41" s="213"/>
      <c r="CX41" s="213"/>
      <c r="CY41" s="213"/>
      <c r="CZ41" s="213"/>
      <c r="DA41" s="213"/>
      <c r="DB41" s="213"/>
      <c r="DC41" s="213"/>
      <c r="DD41" s="213"/>
      <c r="DE41" s="213"/>
      <c r="DF41" s="213"/>
      <c r="DG41" s="213"/>
      <c r="DH41" s="213"/>
      <c r="DI41" s="213"/>
      <c r="DJ41" s="213"/>
      <c r="DK41" s="213"/>
      <c r="DL41" s="213"/>
      <c r="DM41" s="213"/>
      <c r="DN41" s="213"/>
      <c r="DO41" s="213"/>
      <c r="DP41" s="213"/>
      <c r="DQ41" s="213"/>
      <c r="DR41" s="213"/>
      <c r="DS41" s="213"/>
      <c r="DT41" s="213"/>
      <c r="DU41" s="213"/>
      <c r="DV41" s="213"/>
      <c r="DW41" s="213"/>
      <c r="DX41" s="213"/>
      <c r="DY41" s="213"/>
      <c r="DZ41" s="213"/>
      <c r="EA41" s="213"/>
      <c r="EB41" s="213"/>
      <c r="EC41" s="213"/>
      <c r="ED41" s="213"/>
      <c r="EE41" s="213"/>
      <c r="EF41" s="213"/>
      <c r="EG41" s="213"/>
      <c r="EH41" s="213"/>
      <c r="EI41" s="213"/>
      <c r="EJ41" s="213"/>
      <c r="EK41" s="213"/>
      <c r="EL41" s="213"/>
      <c r="EM41" s="213"/>
      <c r="EN41" s="213"/>
      <c r="EO41" s="213"/>
      <c r="EP41" s="213"/>
      <c r="EQ41" s="213"/>
      <c r="ER41" s="213"/>
      <c r="ES41" s="213"/>
      <c r="ET41" s="213"/>
      <c r="EU41" s="213"/>
      <c r="EV41" s="213"/>
      <c r="EW41" s="213"/>
      <c r="EX41" s="213"/>
      <c r="EY41" s="213"/>
      <c r="EZ41" s="213"/>
      <c r="FA41" s="213"/>
      <c r="FB41" s="213"/>
      <c r="FC41" s="213"/>
      <c r="FD41" s="213"/>
      <c r="FE41" s="213"/>
      <c r="FF41" s="213"/>
      <c r="FG41" s="213"/>
      <c r="FH41" s="213"/>
      <c r="FI41" s="213"/>
      <c r="FJ41" s="213"/>
      <c r="FK41" s="213"/>
      <c r="FL41" s="213"/>
      <c r="FM41" s="213"/>
      <c r="FN41" s="213"/>
      <c r="FO41" s="213"/>
      <c r="FP41" s="213"/>
      <c r="FQ41" s="213"/>
      <c r="FR41" s="213"/>
      <c r="FS41" s="213"/>
      <c r="FT41" s="213"/>
      <c r="FU41" s="213"/>
      <c r="FV41" s="213"/>
      <c r="FW41" s="213"/>
      <c r="FX41" s="213"/>
      <c r="FY41" s="213"/>
      <c r="FZ41" s="213"/>
      <c r="GA41" s="213"/>
      <c r="GB41" s="213"/>
      <c r="GC41" s="213"/>
      <c r="GD41" s="213"/>
      <c r="GE41" s="213"/>
      <c r="GF41" s="213"/>
      <c r="GG41" s="213"/>
      <c r="GH41" s="213"/>
      <c r="GI41" s="213"/>
      <c r="GJ41" s="213"/>
      <c r="GK41" s="213"/>
      <c r="GL41" s="213"/>
      <c r="GM41" s="213"/>
      <c r="GN41" s="213"/>
      <c r="GO41" s="213"/>
      <c r="GP41" s="213"/>
      <c r="GQ41" s="213"/>
      <c r="GR41" s="213"/>
      <c r="GS41" s="213"/>
      <c r="GT41" s="213"/>
      <c r="GU41" s="213"/>
      <c r="GV41" s="213"/>
      <c r="GW41" s="213"/>
      <c r="GX41" s="213"/>
      <c r="GY41" s="213"/>
      <c r="GZ41" s="213"/>
      <c r="HA41" s="213"/>
      <c r="HB41" s="213"/>
      <c r="HC41" s="213"/>
      <c r="HD41" s="213"/>
      <c r="HE41" s="213"/>
      <c r="HF41" s="213"/>
      <c r="HG41" s="213"/>
      <c r="HH41" s="213"/>
      <c r="HI41" s="213"/>
      <c r="HJ41" s="213"/>
      <c r="HK41" s="213"/>
      <c r="HL41" s="213"/>
      <c r="HM41" s="213"/>
      <c r="HN41" s="213"/>
      <c r="HO41" s="213"/>
      <c r="HP41" s="213"/>
      <c r="HQ41" s="213"/>
      <c r="HR41" s="213"/>
      <c r="HS41" s="213"/>
      <c r="HT41" s="213"/>
      <c r="HU41" s="213"/>
      <c r="HV41" s="213"/>
      <c r="HW41" s="213"/>
      <c r="HX41" s="213"/>
      <c r="HY41" s="213"/>
      <c r="HZ41" s="213"/>
      <c r="IA41" s="213"/>
      <c r="IB41" s="213"/>
      <c r="IC41" s="213"/>
      <c r="ID41" s="213"/>
      <c r="IE41" s="213"/>
      <c r="IF41" s="213"/>
      <c r="IG41" s="213"/>
      <c r="IH41" s="213"/>
      <c r="II41" s="213"/>
      <c r="IJ41" s="213"/>
      <c r="IK41" s="213"/>
      <c r="IL41" s="213"/>
      <c r="IM41" s="213"/>
      <c r="IN41" s="213"/>
      <c r="IO41" s="213"/>
      <c r="IP41" s="213"/>
      <c r="IQ41" s="213"/>
      <c r="IR41" s="213"/>
      <c r="IS41" s="213"/>
      <c r="IT41" s="213"/>
      <c r="IU41" s="213"/>
    </row>
    <row r="42" s="204" customFormat="1" ht="15.6">
      <c r="A42" s="206"/>
      <c r="B42" s="383">
        <v>43830</v>
      </c>
      <c r="C42" s="383" t="s">
        <v>425</v>
      </c>
      <c r="D42" s="383" t="s">
        <v>426</v>
      </c>
      <c r="E42" s="383" t="s">
        <v>427</v>
      </c>
      <c r="F42" s="383" t="s">
        <v>428</v>
      </c>
      <c r="G42" s="383" t="s">
        <v>429</v>
      </c>
      <c r="H42" s="383" t="s">
        <v>430</v>
      </c>
      <c r="I42" s="383" t="s">
        <v>431</v>
      </c>
      <c r="J42" s="383">
        <v>43830</v>
      </c>
      <c r="K42" s="383" t="s">
        <v>425</v>
      </c>
      <c r="L42" s="383" t="s">
        <v>426</v>
      </c>
      <c r="M42" s="383" t="s">
        <v>427</v>
      </c>
      <c r="N42" s="383" t="s">
        <v>428</v>
      </c>
      <c r="O42" s="383" t="s">
        <v>429</v>
      </c>
      <c r="P42" s="383" t="s">
        <v>430</v>
      </c>
      <c r="Q42" s="383" t="s">
        <v>431</v>
      </c>
      <c r="R42" s="215" t="s">
        <v>432</v>
      </c>
      <c r="S42" s="215" t="s">
        <v>433</v>
      </c>
      <c r="T42" s="215" t="s">
        <v>434</v>
      </c>
      <c r="U42" s="215" t="s">
        <v>432</v>
      </c>
      <c r="V42" s="215" t="s">
        <v>433</v>
      </c>
      <c r="W42" s="215" t="s">
        <v>434</v>
      </c>
      <c r="X42" s="215" t="str">
        <f>U42</f>
        <v xml:space="preserve">в тыс. руб.</v>
      </c>
      <c r="Y42" s="215" t="str">
        <f>V42</f>
        <v xml:space="preserve">темп прироста, %</v>
      </c>
      <c r="Z42" s="215" t="str">
        <f>W42</f>
        <v xml:space="preserve">в структуре, %</v>
      </c>
      <c r="AA42" s="215" t="str">
        <f>X42</f>
        <v xml:space="preserve">в тыс. руб.</v>
      </c>
      <c r="AB42" s="215" t="str">
        <f>Y42</f>
        <v xml:space="preserve">темп прироста, %</v>
      </c>
      <c r="AC42" s="215" t="str">
        <f>Z42</f>
        <v xml:space="preserve">в структуре, %</v>
      </c>
      <c r="AD42" s="215" t="str">
        <f>AA42</f>
        <v xml:space="preserve">в тыс. руб.</v>
      </c>
      <c r="AE42" s="215" t="str">
        <f>AB42</f>
        <v xml:space="preserve">темп прироста, %</v>
      </c>
      <c r="AF42" s="215" t="str">
        <f>AC42</f>
        <v xml:space="preserve">в структуре, %</v>
      </c>
      <c r="AG42" s="215" t="str">
        <f>AD42</f>
        <v xml:space="preserve">в тыс. руб.</v>
      </c>
      <c r="AH42" s="215" t="str">
        <f>AE42</f>
        <v xml:space="preserve">темп прироста, %</v>
      </c>
      <c r="AI42" s="215" t="str">
        <f>AF42</f>
        <v xml:space="preserve">в структуре, %</v>
      </c>
      <c r="AJ42" s="215" t="str">
        <f>AG42</f>
        <v xml:space="preserve">в тыс. руб.</v>
      </c>
      <c r="AK42" s="215" t="str">
        <f>AH42</f>
        <v xml:space="preserve">темп прироста, %</v>
      </c>
      <c r="AL42" s="215" t="str">
        <f>AI42</f>
        <v xml:space="preserve">в структуре, %</v>
      </c>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3"/>
      <c r="DL42" s="213"/>
      <c r="DM42" s="213"/>
      <c r="DN42" s="213"/>
      <c r="DO42" s="213"/>
      <c r="DP42" s="213"/>
      <c r="DQ42" s="213"/>
      <c r="DR42" s="213"/>
      <c r="DS42" s="213"/>
      <c r="DT42" s="213"/>
      <c r="DU42" s="213"/>
      <c r="DV42" s="213"/>
      <c r="DW42" s="213"/>
      <c r="DX42" s="213"/>
      <c r="DY42" s="213"/>
      <c r="DZ42" s="213"/>
      <c r="EA42" s="213"/>
      <c r="EB42" s="213"/>
      <c r="EC42" s="213"/>
      <c r="ED42" s="213"/>
      <c r="EE42" s="213"/>
      <c r="EF42" s="213"/>
      <c r="EG42" s="213"/>
      <c r="EH42" s="213"/>
      <c r="EI42" s="213"/>
      <c r="EJ42" s="213"/>
      <c r="EK42" s="213"/>
      <c r="EL42" s="213"/>
      <c r="EM42" s="213"/>
      <c r="EN42" s="213"/>
      <c r="EO42" s="213"/>
      <c r="EP42" s="213"/>
      <c r="EQ42" s="213"/>
      <c r="ER42" s="213"/>
      <c r="ES42" s="213"/>
      <c r="ET42" s="213"/>
      <c r="EU42" s="213"/>
      <c r="EV42" s="213"/>
      <c r="EW42" s="213"/>
      <c r="EX42" s="213"/>
      <c r="EY42" s="213"/>
      <c r="EZ42" s="213"/>
      <c r="FA42" s="213"/>
      <c r="FB42" s="213"/>
      <c r="FC42" s="213"/>
      <c r="FD42" s="213"/>
      <c r="FE42" s="213"/>
      <c r="FF42" s="213"/>
      <c r="FG42" s="213"/>
      <c r="FH42" s="213"/>
      <c r="FI42" s="213"/>
      <c r="FJ42" s="213"/>
      <c r="FK42" s="213"/>
      <c r="FL42" s="213"/>
      <c r="FM42" s="213"/>
      <c r="FN42" s="213"/>
      <c r="FO42" s="213"/>
      <c r="FP42" s="213"/>
      <c r="FQ42" s="213"/>
      <c r="FR42" s="213"/>
      <c r="FS42" s="213"/>
      <c r="FT42" s="213"/>
      <c r="FU42" s="213"/>
      <c r="FV42" s="213"/>
      <c r="FW42" s="213"/>
      <c r="FX42" s="213"/>
      <c r="FY42" s="213"/>
      <c r="FZ42" s="213"/>
      <c r="GA42" s="213"/>
      <c r="GB42" s="213"/>
      <c r="GC42" s="213"/>
      <c r="GD42" s="213"/>
      <c r="GE42" s="213"/>
      <c r="GF42" s="213"/>
      <c r="GG42" s="213"/>
      <c r="GH42" s="213"/>
      <c r="GI42" s="213"/>
      <c r="GJ42" s="213"/>
      <c r="GK42" s="213"/>
      <c r="GL42" s="213"/>
      <c r="GM42" s="213"/>
      <c r="GN42" s="213"/>
      <c r="GO42" s="213"/>
      <c r="GP42" s="213"/>
      <c r="GQ42" s="213"/>
      <c r="GR42" s="213"/>
      <c r="GS42" s="213"/>
      <c r="GT42" s="213"/>
      <c r="GU42" s="213"/>
      <c r="GV42" s="213"/>
      <c r="GW42" s="213"/>
      <c r="GX42" s="213"/>
      <c r="GY42" s="213"/>
      <c r="GZ42" s="213"/>
      <c r="HA42" s="213"/>
      <c r="HB42" s="213"/>
      <c r="HC42" s="213"/>
      <c r="HD42" s="213"/>
      <c r="HE42" s="213"/>
      <c r="HF42" s="213"/>
      <c r="HG42" s="213"/>
      <c r="HH42" s="213"/>
      <c r="HI42" s="213"/>
      <c r="HJ42" s="213"/>
      <c r="HK42" s="213"/>
      <c r="HL42" s="213"/>
      <c r="HM42" s="213"/>
      <c r="HN42" s="213"/>
      <c r="HO42" s="213"/>
      <c r="HP42" s="213"/>
      <c r="HQ42" s="213"/>
      <c r="HR42" s="213"/>
      <c r="HS42" s="213"/>
      <c r="HT42" s="213"/>
      <c r="HU42" s="213"/>
      <c r="HV42" s="213"/>
      <c r="HW42" s="213"/>
      <c r="HX42" s="213"/>
      <c r="HY42" s="213"/>
      <c r="HZ42" s="213"/>
      <c r="IA42" s="213"/>
      <c r="IB42" s="213"/>
      <c r="IC42" s="213"/>
      <c r="ID42" s="213"/>
      <c r="IE42" s="213"/>
      <c r="IF42" s="213"/>
      <c r="IG42" s="213"/>
      <c r="IH42" s="213"/>
      <c r="II42" s="213"/>
      <c r="IJ42" s="213"/>
      <c r="IK42" s="213"/>
      <c r="IL42" s="213"/>
      <c r="IM42" s="213"/>
      <c r="IN42" s="213"/>
      <c r="IO42" s="213"/>
      <c r="IP42" s="213"/>
      <c r="IQ42" s="213"/>
      <c r="IR42" s="213"/>
      <c r="IS42" s="213"/>
      <c r="IT42" s="213"/>
      <c r="IU42" s="213"/>
    </row>
    <row r="43" ht="15.6">
      <c r="A43" s="316" t="s">
        <v>665</v>
      </c>
      <c r="B43" s="362">
        <f>B28+B29+B30</f>
        <v>0</v>
      </c>
      <c r="C43" s="362">
        <f>C28++C29+C30</f>
        <v>0</v>
      </c>
      <c r="D43" s="362">
        <f>D28++D29+D30</f>
        <v>0</v>
      </c>
      <c r="E43" s="362">
        <f>E28++E29+E30</f>
        <v>0</v>
      </c>
      <c r="F43" s="362">
        <f>F28++F29+F30</f>
        <v>0</v>
      </c>
      <c r="G43" s="362">
        <f>G28++G29+G30</f>
        <v>0</v>
      </c>
      <c r="H43" s="362">
        <f>H28++H29+H30</f>
        <v>0</v>
      </c>
      <c r="I43" s="362">
        <f>I28++I29+I30</f>
        <v>0</v>
      </c>
      <c r="J43" s="362"/>
      <c r="K43" s="362"/>
      <c r="L43" s="362"/>
      <c r="M43" s="362"/>
      <c r="N43" s="362"/>
      <c r="O43" s="362"/>
      <c r="P43" s="362"/>
      <c r="Q43" s="362"/>
      <c r="R43" s="362"/>
      <c r="S43" s="362"/>
      <c r="T43" s="362"/>
      <c r="U43" s="362"/>
      <c r="V43" s="362"/>
      <c r="W43" s="362"/>
      <c r="X43" s="362"/>
      <c r="Y43" s="362"/>
      <c r="Z43" s="362"/>
      <c r="AA43" s="362"/>
      <c r="AB43" s="362"/>
      <c r="AC43" s="362"/>
      <c r="AD43" s="362"/>
      <c r="AE43" s="362"/>
      <c r="AF43" s="362"/>
      <c r="AG43" s="362"/>
      <c r="AH43" s="362"/>
      <c r="AI43" s="362"/>
      <c r="AJ43" s="362"/>
      <c r="AK43" s="362"/>
      <c r="AL43" s="362"/>
    </row>
    <row r="44" ht="15.6">
      <c r="A44" s="316" t="s">
        <v>666</v>
      </c>
      <c r="B44" s="362">
        <f>B31+B32</f>
        <v>0</v>
      </c>
      <c r="C44" s="362">
        <f>C31+C32</f>
        <v>0</v>
      </c>
      <c r="D44" s="362">
        <f>D31+D32</f>
        <v>0</v>
      </c>
      <c r="E44" s="362">
        <f>E31+E32</f>
        <v>0</v>
      </c>
      <c r="F44" s="362">
        <f>F31+F32</f>
        <v>0</v>
      </c>
      <c r="G44" s="362">
        <f>G31+G32</f>
        <v>0</v>
      </c>
      <c r="H44" s="362">
        <f>H31+H32</f>
        <v>0</v>
      </c>
      <c r="I44" s="362">
        <f>I31+I32</f>
        <v>0</v>
      </c>
      <c r="J44" s="362"/>
      <c r="K44" s="362"/>
      <c r="L44" s="362"/>
      <c r="M44" s="362"/>
      <c r="N44" s="362"/>
      <c r="O44" s="362"/>
      <c r="P44" s="362"/>
      <c r="Q44" s="362"/>
      <c r="R44" s="362"/>
      <c r="S44" s="362"/>
      <c r="T44" s="362"/>
      <c r="U44" s="362"/>
      <c r="V44" s="362"/>
      <c r="W44" s="362"/>
      <c r="X44" s="362"/>
      <c r="Y44" s="362"/>
      <c r="Z44" s="362"/>
      <c r="AA44" s="362"/>
      <c r="AB44" s="362"/>
      <c r="AC44" s="362"/>
      <c r="AD44" s="362"/>
      <c r="AE44" s="362"/>
      <c r="AF44" s="362"/>
      <c r="AG44" s="362"/>
      <c r="AH44" s="362"/>
      <c r="AI44" s="362"/>
      <c r="AJ44" s="362"/>
      <c r="AK44" s="362"/>
      <c r="AL44" s="362"/>
    </row>
    <row r="45" ht="15.6">
      <c r="A45" s="316" t="s">
        <v>675</v>
      </c>
      <c r="B45" s="362">
        <f>SUM(B43:B44)</f>
        <v>0</v>
      </c>
      <c r="C45" s="362">
        <f>SUM(C43:C44)</f>
        <v>0</v>
      </c>
      <c r="D45" s="362">
        <f>SUM(D43:D44)</f>
        <v>0</v>
      </c>
      <c r="E45" s="362">
        <f>SUM(E43:E44)</f>
        <v>0</v>
      </c>
      <c r="F45" s="362">
        <f>SUM(F43:F44)</f>
        <v>0</v>
      </c>
      <c r="G45" s="362">
        <f>SUM(G43:G44)</f>
        <v>0</v>
      </c>
      <c r="H45" s="362">
        <f>SUM(H43:H44)</f>
        <v>0</v>
      </c>
      <c r="I45" s="362">
        <f>SUM(I43:I44)</f>
        <v>0</v>
      </c>
      <c r="J45" s="362"/>
      <c r="K45" s="362"/>
      <c r="L45" s="362"/>
      <c r="M45" s="362"/>
      <c r="N45" s="362"/>
      <c r="O45" s="362"/>
      <c r="P45" s="362"/>
      <c r="Q45" s="362"/>
      <c r="R45" s="362"/>
      <c r="S45" s="362"/>
      <c r="T45" s="362"/>
      <c r="U45" s="362"/>
      <c r="V45" s="362"/>
      <c r="W45" s="362"/>
      <c r="X45" s="362"/>
      <c r="Y45" s="362"/>
      <c r="Z45" s="362"/>
      <c r="AA45" s="362"/>
      <c r="AB45" s="362"/>
      <c r="AC45" s="362"/>
      <c r="AD45" s="362"/>
      <c r="AE45" s="362"/>
      <c r="AF45" s="362"/>
      <c r="AG45" s="362"/>
      <c r="AH45" s="362"/>
      <c r="AI45" s="362"/>
      <c r="AJ45" s="362"/>
      <c r="AK45" s="362"/>
      <c r="AL45" s="362"/>
    </row>
    <row r="46" ht="15.6">
      <c r="A46" s="389"/>
      <c r="B46" s="390"/>
      <c r="C46" s="390"/>
      <c r="D46" s="390"/>
      <c r="E46" s="390"/>
      <c r="F46" s="390"/>
      <c r="G46" s="390"/>
      <c r="H46" s="390"/>
      <c r="I46" s="390"/>
      <c r="J46" s="390"/>
      <c r="K46" s="390"/>
      <c r="L46" s="390"/>
      <c r="M46" s="390"/>
      <c r="N46" s="390"/>
      <c r="O46" s="390"/>
      <c r="P46" s="390"/>
      <c r="Q46" s="390"/>
      <c r="R46" s="390"/>
      <c r="S46" s="390"/>
      <c r="T46" s="390"/>
      <c r="U46" s="390"/>
      <c r="V46" s="390"/>
      <c r="W46" s="390"/>
      <c r="X46" s="390"/>
      <c r="Y46" s="390"/>
      <c r="Z46" s="390"/>
      <c r="AA46" s="390"/>
      <c r="AB46" s="390"/>
      <c r="AC46" s="390"/>
      <c r="AD46" s="390"/>
      <c r="AE46" s="390"/>
      <c r="AF46" s="390"/>
      <c r="AG46" s="390"/>
      <c r="AH46" s="390"/>
      <c r="AI46" s="390"/>
      <c r="AJ46" s="390"/>
      <c r="AK46" s="390"/>
      <c r="AL46" s="390"/>
    </row>
    <row r="47" ht="15.6">
      <c r="A47" s="389"/>
      <c r="B47" s="391"/>
      <c r="C47" s="391"/>
      <c r="D47" s="391"/>
      <c r="E47" s="391"/>
      <c r="F47" s="391"/>
      <c r="G47" s="391"/>
      <c r="H47" s="391"/>
      <c r="I47" s="391"/>
      <c r="J47" s="391"/>
      <c r="K47" s="391"/>
      <c r="L47" s="391"/>
      <c r="M47" s="391"/>
      <c r="N47" s="391"/>
      <c r="O47" s="391"/>
      <c r="P47" s="391"/>
      <c r="Q47" s="391"/>
      <c r="R47" s="391"/>
      <c r="S47" s="390"/>
      <c r="T47" s="390"/>
      <c r="U47" s="390"/>
      <c r="V47" s="390"/>
      <c r="W47" s="390"/>
      <c r="X47" s="390"/>
      <c r="Y47" s="390"/>
      <c r="Z47" s="390"/>
      <c r="AA47" s="390"/>
      <c r="AB47" s="390"/>
      <c r="AC47" s="390"/>
      <c r="AD47" s="390"/>
      <c r="AE47" s="390"/>
      <c r="AF47" s="390"/>
      <c r="AG47" s="390"/>
      <c r="AH47" s="390"/>
      <c r="AI47" s="390"/>
      <c r="AJ47" s="390"/>
      <c r="AK47" s="390"/>
      <c r="AL47" s="390"/>
    </row>
    <row r="48" ht="15.6">
      <c r="A48" s="389"/>
      <c r="B48" s="391"/>
      <c r="C48" s="391"/>
      <c r="D48" s="391"/>
      <c r="E48" s="391"/>
      <c r="F48" s="391"/>
      <c r="G48" s="391"/>
      <c r="H48" s="391"/>
      <c r="I48" s="391"/>
      <c r="J48" s="391"/>
      <c r="K48" s="391"/>
      <c r="L48" s="391"/>
      <c r="M48" s="391"/>
      <c r="N48" s="391"/>
      <c r="O48" s="391"/>
      <c r="P48" s="391"/>
      <c r="Q48" s="391"/>
      <c r="R48" s="391"/>
      <c r="S48" s="390"/>
      <c r="T48" s="390"/>
      <c r="U48" s="390"/>
      <c r="V48" s="390"/>
      <c r="W48" s="390"/>
      <c r="X48" s="390"/>
      <c r="Y48" s="390"/>
      <c r="Z48" s="390"/>
      <c r="AA48" s="390"/>
      <c r="AB48" s="390"/>
      <c r="AC48" s="390"/>
      <c r="AD48" s="390"/>
      <c r="AE48" s="390"/>
      <c r="AF48" s="390"/>
      <c r="AG48" s="390"/>
      <c r="AH48" s="390"/>
      <c r="AI48" s="390"/>
      <c r="AJ48" s="390"/>
      <c r="AK48" s="390"/>
      <c r="AL48" s="390"/>
    </row>
    <row r="50" ht="15.6">
      <c r="A50" s="66" t="s">
        <v>676</v>
      </c>
      <c r="B50" s="255"/>
      <c r="D50" s="255"/>
    </row>
    <row r="51" s="392" customFormat="1" ht="15.75" customHeight="1">
      <c r="A51" s="335" t="s">
        <v>488</v>
      </c>
      <c r="B51" s="168" t="str">
        <f>офр!B4</f>
        <v xml:space="preserve">2019 год</v>
      </c>
      <c r="C51" s="168" t="str">
        <f>офр!C4</f>
        <v xml:space="preserve">2018 год</v>
      </c>
      <c r="D51" s="168" t="str">
        <f>офр!D4</f>
        <v xml:space="preserve">2017 год</v>
      </c>
      <c r="E51" s="168" t="str">
        <f>офр!E4</f>
        <v xml:space="preserve">2016 год</v>
      </c>
      <c r="F51" s="168" t="str">
        <f>офр!F4</f>
        <v xml:space="preserve">2015 год</v>
      </c>
      <c r="G51" s="168" t="str">
        <f>офр!G4</f>
        <v xml:space="preserve">2014 год</v>
      </c>
      <c r="H51" s="168" t="str">
        <f>офр!H4</f>
        <v xml:space="preserve">2013 год</v>
      </c>
      <c r="I51" s="393"/>
      <c r="J51" s="393"/>
      <c r="K51" s="393"/>
      <c r="L51" s="393"/>
      <c r="M51" s="393"/>
      <c r="N51" s="393"/>
      <c r="O51" s="393"/>
      <c r="P51" s="393"/>
      <c r="Q51" s="393"/>
    </row>
    <row r="52" ht="15.6">
      <c r="A52" s="316" t="s">
        <v>677</v>
      </c>
      <c r="B52" s="394"/>
      <c r="C52" s="394"/>
      <c r="D52" s="394"/>
      <c r="E52" s="394"/>
      <c r="F52" s="394"/>
      <c r="G52" s="394"/>
      <c r="H52" s="394"/>
      <c r="I52" s="393"/>
      <c r="J52" s="393"/>
      <c r="K52" s="393"/>
      <c r="L52" s="393"/>
      <c r="M52" s="393"/>
      <c r="N52" s="393"/>
      <c r="O52" s="393"/>
      <c r="P52" s="393"/>
      <c r="Q52" s="393"/>
    </row>
    <row r="54" ht="15.6">
      <c r="A54" s="66" t="s">
        <v>678</v>
      </c>
      <c r="B54" s="386"/>
      <c r="C54" s="386"/>
      <c r="D54" s="386"/>
      <c r="E54" s="386"/>
      <c r="F54" s="386"/>
      <c r="G54" s="386"/>
      <c r="H54" s="395"/>
    </row>
    <row r="55" s="204" customFormat="1" ht="15.75" customHeight="1">
      <c r="A55" s="206" t="s">
        <v>177</v>
      </c>
      <c r="B55" s="206" t="s">
        <v>421</v>
      </c>
      <c r="C55" s="206"/>
      <c r="D55" s="206"/>
      <c r="E55" s="206"/>
      <c r="F55" s="206"/>
      <c r="G55" s="206"/>
      <c r="H55" s="206"/>
      <c r="I55" s="206"/>
      <c r="J55" s="208" t="s">
        <v>422</v>
      </c>
      <c r="K55" s="208"/>
      <c r="L55" s="208"/>
      <c r="M55" s="208"/>
      <c r="N55" s="208"/>
      <c r="O55" s="208"/>
      <c r="P55" s="208"/>
      <c r="Q55" s="208"/>
      <c r="R55" s="209" t="s">
        <v>423</v>
      </c>
      <c r="S55" s="209"/>
      <c r="T55" s="209"/>
      <c r="U55" s="209"/>
      <c r="V55" s="209"/>
      <c r="W55" s="209"/>
      <c r="X55" s="209"/>
      <c r="Y55" s="209"/>
      <c r="Z55" s="209"/>
      <c r="AA55" s="209"/>
      <c r="AB55" s="209"/>
      <c r="AC55" s="209"/>
      <c r="AD55" s="209"/>
      <c r="AE55" s="209"/>
      <c r="AF55" s="209"/>
      <c r="AG55" s="209"/>
      <c r="AH55" s="209"/>
      <c r="AI55" s="209"/>
      <c r="AJ55" s="209"/>
      <c r="AK55" s="209"/>
      <c r="AL55" s="209"/>
    </row>
    <row r="56" s="204" customFormat="1" ht="15.6" customHeight="1">
      <c r="A56" s="206"/>
      <c r="B56" s="206"/>
      <c r="C56" s="206"/>
      <c r="D56" s="206"/>
      <c r="E56" s="206"/>
      <c r="F56" s="206"/>
      <c r="G56" s="206"/>
      <c r="H56" s="206"/>
      <c r="I56" s="206"/>
      <c r="J56" s="208"/>
      <c r="K56" s="208"/>
      <c r="L56" s="208"/>
      <c r="M56" s="208"/>
      <c r="N56" s="208"/>
      <c r="O56" s="208"/>
      <c r="P56" s="208"/>
      <c r="Q56" s="208"/>
      <c r="R56" s="210" t="s">
        <v>320</v>
      </c>
      <c r="S56" s="210"/>
      <c r="T56" s="210"/>
      <c r="U56" s="211" t="s">
        <v>321</v>
      </c>
      <c r="V56" s="211"/>
      <c r="W56" s="211"/>
      <c r="X56" s="211" t="s">
        <v>322</v>
      </c>
      <c r="Y56" s="211"/>
      <c r="Z56" s="211"/>
      <c r="AA56" s="211" t="s">
        <v>323</v>
      </c>
      <c r="AB56" s="211"/>
      <c r="AC56" s="211"/>
      <c r="AD56" s="211" t="s">
        <v>324</v>
      </c>
      <c r="AE56" s="211"/>
      <c r="AF56" s="211"/>
      <c r="AG56" s="212" t="s">
        <v>325</v>
      </c>
      <c r="AH56" s="212"/>
      <c r="AI56" s="212"/>
      <c r="AJ56" s="212" t="s">
        <v>326</v>
      </c>
      <c r="AK56" s="212"/>
      <c r="AL56" s="212"/>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c r="CS56" s="213"/>
      <c r="CT56" s="213"/>
      <c r="CU56" s="213"/>
      <c r="CV56" s="213"/>
      <c r="CW56" s="213"/>
      <c r="CX56" s="213"/>
      <c r="CY56" s="213"/>
      <c r="CZ56" s="213"/>
      <c r="DA56" s="213"/>
      <c r="DB56" s="213"/>
      <c r="DC56" s="213"/>
      <c r="DD56" s="213"/>
      <c r="DE56" s="213"/>
      <c r="DF56" s="213"/>
      <c r="DG56" s="213"/>
      <c r="DH56" s="213"/>
      <c r="DI56" s="213"/>
      <c r="DJ56" s="213"/>
      <c r="DK56" s="213"/>
      <c r="DL56" s="213"/>
      <c r="DM56" s="213"/>
      <c r="DN56" s="213"/>
      <c r="DO56" s="213"/>
      <c r="DP56" s="213"/>
      <c r="DQ56" s="213"/>
      <c r="DR56" s="213"/>
      <c r="DS56" s="213"/>
      <c r="DT56" s="213"/>
      <c r="DU56" s="213"/>
      <c r="DV56" s="213"/>
      <c r="DW56" s="213"/>
      <c r="DX56" s="213"/>
      <c r="DY56" s="213"/>
      <c r="DZ56" s="213"/>
      <c r="EA56" s="213"/>
      <c r="EB56" s="213"/>
      <c r="EC56" s="213"/>
      <c r="ED56" s="213"/>
      <c r="EE56" s="213"/>
      <c r="EF56" s="213"/>
      <c r="EG56" s="213"/>
      <c r="EH56" s="213"/>
      <c r="EI56" s="213"/>
      <c r="EJ56" s="213"/>
      <c r="EK56" s="213"/>
      <c r="EL56" s="213"/>
      <c r="EM56" s="213"/>
      <c r="EN56" s="213"/>
      <c r="EO56" s="213"/>
      <c r="EP56" s="213"/>
      <c r="EQ56" s="213"/>
      <c r="ER56" s="213"/>
      <c r="ES56" s="213"/>
      <c r="ET56" s="213"/>
      <c r="EU56" s="213"/>
      <c r="EV56" s="213"/>
      <c r="EW56" s="213"/>
      <c r="EX56" s="213"/>
      <c r="EY56" s="213"/>
      <c r="EZ56" s="213"/>
      <c r="FA56" s="213"/>
      <c r="FB56" s="213"/>
      <c r="FC56" s="213"/>
      <c r="FD56" s="213"/>
      <c r="FE56" s="213"/>
      <c r="FF56" s="213"/>
      <c r="FG56" s="213"/>
      <c r="FH56" s="213"/>
      <c r="FI56" s="213"/>
      <c r="FJ56" s="213"/>
      <c r="FK56" s="213"/>
      <c r="FL56" s="213"/>
      <c r="FM56" s="213"/>
      <c r="FN56" s="213"/>
      <c r="FO56" s="213"/>
      <c r="FP56" s="213"/>
      <c r="FQ56" s="213"/>
      <c r="FR56" s="213"/>
      <c r="FS56" s="213"/>
      <c r="FT56" s="213"/>
      <c r="FU56" s="213"/>
      <c r="FV56" s="213"/>
      <c r="FW56" s="213"/>
      <c r="FX56" s="213"/>
      <c r="FY56" s="213"/>
      <c r="FZ56" s="213"/>
      <c r="GA56" s="213"/>
      <c r="GB56" s="213"/>
      <c r="GC56" s="213"/>
      <c r="GD56" s="213"/>
      <c r="GE56" s="213"/>
      <c r="GF56" s="213"/>
      <c r="GG56" s="213"/>
      <c r="GH56" s="213"/>
      <c r="GI56" s="213"/>
      <c r="GJ56" s="213"/>
      <c r="GK56" s="213"/>
      <c r="GL56" s="213"/>
      <c r="GM56" s="213"/>
      <c r="GN56" s="213"/>
      <c r="GO56" s="213"/>
      <c r="GP56" s="213"/>
      <c r="GQ56" s="213"/>
      <c r="GR56" s="213"/>
      <c r="GS56" s="213"/>
      <c r="GT56" s="213"/>
      <c r="GU56" s="213"/>
      <c r="GV56" s="213"/>
      <c r="GW56" s="213"/>
      <c r="GX56" s="213"/>
      <c r="GY56" s="213"/>
      <c r="GZ56" s="213"/>
      <c r="HA56" s="213"/>
      <c r="HB56" s="213"/>
      <c r="HC56" s="213"/>
      <c r="HD56" s="213"/>
      <c r="HE56" s="213"/>
      <c r="HF56" s="213"/>
      <c r="HG56" s="213"/>
      <c r="HH56" s="213"/>
      <c r="HI56" s="213"/>
      <c r="HJ56" s="213"/>
      <c r="HK56" s="213"/>
      <c r="HL56" s="213"/>
      <c r="HM56" s="213"/>
      <c r="HN56" s="213"/>
      <c r="HO56" s="213"/>
      <c r="HP56" s="213"/>
      <c r="HQ56" s="213"/>
      <c r="HR56" s="213"/>
      <c r="HS56" s="213"/>
      <c r="HT56" s="213"/>
      <c r="HU56" s="213"/>
      <c r="HV56" s="213"/>
      <c r="HW56" s="213"/>
      <c r="HX56" s="213"/>
      <c r="HY56" s="213"/>
      <c r="HZ56" s="213"/>
      <c r="IA56" s="213"/>
      <c r="IB56" s="213"/>
      <c r="IC56" s="213"/>
      <c r="ID56" s="213"/>
      <c r="IE56" s="213"/>
      <c r="IF56" s="213"/>
      <c r="IG56" s="213"/>
      <c r="IH56" s="213"/>
      <c r="II56" s="213"/>
      <c r="IJ56" s="213"/>
      <c r="IK56" s="213"/>
      <c r="IL56" s="213"/>
      <c r="IM56" s="213"/>
      <c r="IN56" s="213"/>
      <c r="IO56" s="213"/>
      <c r="IP56" s="213"/>
      <c r="IQ56" s="213"/>
      <c r="IR56" s="213"/>
      <c r="IS56" s="213"/>
      <c r="IT56" s="213"/>
      <c r="IU56" s="213"/>
    </row>
    <row r="57" s="204" customFormat="1" ht="15.6">
      <c r="A57" s="206"/>
      <c r="B57" s="383">
        <v>43830</v>
      </c>
      <c r="C57" s="383" t="s">
        <v>425</v>
      </c>
      <c r="D57" s="383" t="s">
        <v>426</v>
      </c>
      <c r="E57" s="383" t="s">
        <v>427</v>
      </c>
      <c r="F57" s="383" t="s">
        <v>428</v>
      </c>
      <c r="G57" s="383" t="s">
        <v>429</v>
      </c>
      <c r="H57" s="383" t="s">
        <v>430</v>
      </c>
      <c r="I57" s="383" t="s">
        <v>431</v>
      </c>
      <c r="J57" s="383">
        <v>43830</v>
      </c>
      <c r="K57" s="383" t="s">
        <v>425</v>
      </c>
      <c r="L57" s="383" t="s">
        <v>426</v>
      </c>
      <c r="M57" s="383" t="s">
        <v>427</v>
      </c>
      <c r="N57" s="383" t="s">
        <v>428</v>
      </c>
      <c r="O57" s="383" t="s">
        <v>429</v>
      </c>
      <c r="P57" s="383" t="s">
        <v>430</v>
      </c>
      <c r="Q57" s="383" t="s">
        <v>431</v>
      </c>
      <c r="R57" s="215" t="s">
        <v>432</v>
      </c>
      <c r="S57" s="215" t="s">
        <v>433</v>
      </c>
      <c r="T57" s="215" t="s">
        <v>434</v>
      </c>
      <c r="U57" s="215" t="s">
        <v>432</v>
      </c>
      <c r="V57" s="215" t="s">
        <v>433</v>
      </c>
      <c r="W57" s="215" t="s">
        <v>434</v>
      </c>
      <c r="X57" s="215" t="str">
        <f>U57</f>
        <v xml:space="preserve">в тыс. руб.</v>
      </c>
      <c r="Y57" s="215" t="str">
        <f>V57</f>
        <v xml:space="preserve">темп прироста, %</v>
      </c>
      <c r="Z57" s="215" t="str">
        <f>W57</f>
        <v xml:space="preserve">в структуре, %</v>
      </c>
      <c r="AA57" s="215" t="str">
        <f>X57</f>
        <v xml:space="preserve">в тыс. руб.</v>
      </c>
      <c r="AB57" s="215" t="str">
        <f>Y57</f>
        <v xml:space="preserve">темп прироста, %</v>
      </c>
      <c r="AC57" s="215" t="str">
        <f>Z57</f>
        <v xml:space="preserve">в структуре, %</v>
      </c>
      <c r="AD57" s="215" t="str">
        <f>AA57</f>
        <v xml:space="preserve">в тыс. руб.</v>
      </c>
      <c r="AE57" s="215" t="str">
        <f>AB57</f>
        <v xml:space="preserve">темп прироста, %</v>
      </c>
      <c r="AF57" s="215" t="str">
        <f>AC57</f>
        <v xml:space="preserve">в структуре, %</v>
      </c>
      <c r="AG57" s="215" t="str">
        <f>AD57</f>
        <v xml:space="preserve">в тыс. руб.</v>
      </c>
      <c r="AH57" s="215" t="str">
        <f>AE57</f>
        <v xml:space="preserve">темп прироста, %</v>
      </c>
      <c r="AI57" s="215" t="str">
        <f>AF57</f>
        <v xml:space="preserve">в структуре, %</v>
      </c>
      <c r="AJ57" s="215" t="str">
        <f>AG57</f>
        <v xml:space="preserve">в тыс. руб.</v>
      </c>
      <c r="AK57" s="215" t="str">
        <f>AH57</f>
        <v xml:space="preserve">темп прироста, %</v>
      </c>
      <c r="AL57" s="215" t="str">
        <f>AI57</f>
        <v xml:space="preserve">в структуре, %</v>
      </c>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c r="CP57" s="213"/>
      <c r="CQ57" s="213"/>
      <c r="CR57" s="213"/>
      <c r="CS57" s="213"/>
      <c r="CT57" s="213"/>
      <c r="CU57" s="213"/>
      <c r="CV57" s="213"/>
      <c r="CW57" s="213"/>
      <c r="CX57" s="213"/>
      <c r="CY57" s="213"/>
      <c r="CZ57" s="213"/>
      <c r="DA57" s="213"/>
      <c r="DB57" s="213"/>
      <c r="DC57" s="213"/>
      <c r="DD57" s="213"/>
      <c r="DE57" s="213"/>
      <c r="DF57" s="213"/>
      <c r="DG57" s="213"/>
      <c r="DH57" s="213"/>
      <c r="DI57" s="213"/>
      <c r="DJ57" s="213"/>
      <c r="DK57" s="213"/>
      <c r="DL57" s="213"/>
      <c r="DM57" s="213"/>
      <c r="DN57" s="213"/>
      <c r="DO57" s="213"/>
      <c r="DP57" s="213"/>
      <c r="DQ57" s="213"/>
      <c r="DR57" s="213"/>
      <c r="DS57" s="213"/>
      <c r="DT57" s="213"/>
      <c r="DU57" s="213"/>
      <c r="DV57" s="213"/>
      <c r="DW57" s="213"/>
      <c r="DX57" s="213"/>
      <c r="DY57" s="213"/>
      <c r="DZ57" s="213"/>
      <c r="EA57" s="213"/>
      <c r="EB57" s="213"/>
      <c r="EC57" s="213"/>
      <c r="ED57" s="213"/>
      <c r="EE57" s="213"/>
      <c r="EF57" s="213"/>
      <c r="EG57" s="213"/>
      <c r="EH57" s="213"/>
      <c r="EI57" s="213"/>
      <c r="EJ57" s="213"/>
      <c r="EK57" s="213"/>
      <c r="EL57" s="213"/>
      <c r="EM57" s="213"/>
      <c r="EN57" s="213"/>
      <c r="EO57" s="213"/>
      <c r="EP57" s="213"/>
      <c r="EQ57" s="213"/>
      <c r="ER57" s="213"/>
      <c r="ES57" s="213"/>
      <c r="ET57" s="213"/>
      <c r="EU57" s="213"/>
      <c r="EV57" s="213"/>
      <c r="EW57" s="213"/>
      <c r="EX57" s="213"/>
      <c r="EY57" s="213"/>
      <c r="EZ57" s="213"/>
      <c r="FA57" s="213"/>
      <c r="FB57" s="213"/>
      <c r="FC57" s="213"/>
      <c r="FD57" s="213"/>
      <c r="FE57" s="213"/>
      <c r="FF57" s="213"/>
      <c r="FG57" s="213"/>
      <c r="FH57" s="213"/>
      <c r="FI57" s="213"/>
      <c r="FJ57" s="213"/>
      <c r="FK57" s="213"/>
      <c r="FL57" s="213"/>
      <c r="FM57" s="213"/>
      <c r="FN57" s="213"/>
      <c r="FO57" s="213"/>
      <c r="FP57" s="213"/>
      <c r="FQ57" s="213"/>
      <c r="FR57" s="213"/>
      <c r="FS57" s="213"/>
      <c r="FT57" s="213"/>
      <c r="FU57" s="213"/>
      <c r="FV57" s="213"/>
      <c r="FW57" s="213"/>
      <c r="FX57" s="213"/>
      <c r="FY57" s="213"/>
      <c r="FZ57" s="213"/>
      <c r="GA57" s="213"/>
      <c r="GB57" s="213"/>
      <c r="GC57" s="213"/>
      <c r="GD57" s="213"/>
      <c r="GE57" s="213"/>
      <c r="GF57" s="213"/>
      <c r="GG57" s="213"/>
      <c r="GH57" s="213"/>
      <c r="GI57" s="213"/>
      <c r="GJ57" s="213"/>
      <c r="GK57" s="213"/>
      <c r="GL57" s="213"/>
      <c r="GM57" s="213"/>
      <c r="GN57" s="213"/>
      <c r="GO57" s="213"/>
      <c r="GP57" s="213"/>
      <c r="GQ57" s="213"/>
      <c r="GR57" s="213"/>
      <c r="GS57" s="213"/>
      <c r="GT57" s="213"/>
      <c r="GU57" s="213"/>
      <c r="GV57" s="213"/>
      <c r="GW57" s="213"/>
      <c r="GX57" s="213"/>
      <c r="GY57" s="213"/>
      <c r="GZ57" s="213"/>
      <c r="HA57" s="213"/>
      <c r="HB57" s="213"/>
      <c r="HC57" s="213"/>
      <c r="HD57" s="213"/>
      <c r="HE57" s="213"/>
      <c r="HF57" s="213"/>
      <c r="HG57" s="213"/>
      <c r="HH57" s="213"/>
      <c r="HI57" s="213"/>
      <c r="HJ57" s="213"/>
      <c r="HK57" s="213"/>
      <c r="HL57" s="213"/>
      <c r="HM57" s="213"/>
      <c r="HN57" s="213"/>
      <c r="HO57" s="213"/>
      <c r="HP57" s="213"/>
      <c r="HQ57" s="213"/>
      <c r="HR57" s="213"/>
      <c r="HS57" s="213"/>
      <c r="HT57" s="213"/>
      <c r="HU57" s="213"/>
      <c r="HV57" s="213"/>
      <c r="HW57" s="213"/>
      <c r="HX57" s="213"/>
      <c r="HY57" s="213"/>
      <c r="HZ57" s="213"/>
      <c r="IA57" s="213"/>
      <c r="IB57" s="213"/>
      <c r="IC57" s="213"/>
      <c r="ID57" s="213"/>
      <c r="IE57" s="213"/>
      <c r="IF57" s="213"/>
      <c r="IG57" s="213"/>
      <c r="IH57" s="213"/>
      <c r="II57" s="213"/>
      <c r="IJ57" s="213"/>
      <c r="IK57" s="213"/>
      <c r="IL57" s="213"/>
      <c r="IM57" s="213"/>
      <c r="IN57" s="213"/>
      <c r="IO57" s="213"/>
      <c r="IP57" s="213"/>
      <c r="IQ57" s="213"/>
      <c r="IR57" s="213"/>
      <c r="IS57" s="213"/>
      <c r="IT57" s="213"/>
      <c r="IU57" s="213"/>
    </row>
    <row r="58" ht="15.6">
      <c r="A58" s="396" t="s">
        <v>679</v>
      </c>
      <c r="B58" s="362"/>
      <c r="C58" s="317"/>
      <c r="D58" s="362"/>
      <c r="E58" s="317"/>
      <c r="F58" s="362"/>
      <c r="G58" s="358"/>
      <c r="H58" s="358"/>
      <c r="I58" s="358"/>
      <c r="J58" s="358"/>
      <c r="K58" s="358"/>
      <c r="L58" s="358"/>
      <c r="M58" s="358"/>
      <c r="N58" s="358"/>
      <c r="O58" s="358"/>
      <c r="P58" s="358"/>
      <c r="Q58" s="358"/>
      <c r="R58" s="358"/>
      <c r="S58" s="358"/>
      <c r="T58" s="358"/>
      <c r="U58" s="358"/>
      <c r="V58" s="358"/>
      <c r="W58" s="358"/>
      <c r="X58" s="358"/>
      <c r="Y58" s="358"/>
      <c r="Z58" s="358"/>
      <c r="AA58" s="358"/>
      <c r="AB58" s="358"/>
      <c r="AC58" s="358"/>
      <c r="AD58" s="358"/>
      <c r="AE58" s="358"/>
      <c r="AF58" s="358"/>
      <c r="AG58" s="358"/>
      <c r="AH58" s="358"/>
      <c r="AI58" s="358"/>
      <c r="AJ58" s="358"/>
      <c r="AK58" s="358"/>
      <c r="AL58" s="358"/>
    </row>
    <row r="59" ht="15.6">
      <c r="A59" s="396" t="s">
        <v>47</v>
      </c>
      <c r="B59" s="362"/>
      <c r="C59" s="317"/>
      <c r="D59" s="362"/>
      <c r="E59" s="317"/>
      <c r="F59" s="362"/>
      <c r="G59" s="358"/>
      <c r="H59" s="358"/>
      <c r="I59" s="358"/>
      <c r="J59" s="358"/>
      <c r="K59" s="358"/>
      <c r="L59" s="358"/>
      <c r="M59" s="358"/>
      <c r="N59" s="358"/>
      <c r="O59" s="358"/>
      <c r="P59" s="358"/>
      <c r="Q59" s="358"/>
      <c r="R59" s="358"/>
      <c r="S59" s="358"/>
      <c r="T59" s="358"/>
      <c r="U59" s="358"/>
      <c r="V59" s="358"/>
      <c r="W59" s="358"/>
      <c r="X59" s="358"/>
      <c r="Y59" s="358"/>
      <c r="Z59" s="358"/>
      <c r="AA59" s="358"/>
      <c r="AB59" s="358"/>
      <c r="AC59" s="358"/>
      <c r="AD59" s="358"/>
      <c r="AE59" s="358"/>
      <c r="AF59" s="358"/>
      <c r="AG59" s="358"/>
      <c r="AH59" s="358"/>
      <c r="AI59" s="358"/>
      <c r="AJ59" s="358"/>
      <c r="AK59" s="358"/>
      <c r="AL59" s="358"/>
    </row>
    <row r="60" ht="15.6">
      <c r="A60" s="396" t="s">
        <v>680</v>
      </c>
      <c r="B60" s="362"/>
      <c r="C60" s="317"/>
      <c r="D60" s="362"/>
      <c r="E60" s="317"/>
      <c r="F60" s="362"/>
      <c r="G60" s="358"/>
      <c r="H60" s="358"/>
      <c r="I60" s="358"/>
      <c r="J60" s="358"/>
      <c r="K60" s="358"/>
      <c r="L60" s="358"/>
      <c r="M60" s="358"/>
      <c r="N60" s="358"/>
      <c r="O60" s="358"/>
      <c r="P60" s="358"/>
      <c r="Q60" s="358"/>
      <c r="R60" s="358"/>
      <c r="S60" s="358"/>
      <c r="T60" s="358"/>
      <c r="U60" s="358"/>
      <c r="V60" s="358"/>
      <c r="W60" s="358"/>
      <c r="X60" s="358"/>
      <c r="Y60" s="358"/>
      <c r="Z60" s="358"/>
      <c r="AA60" s="358"/>
      <c r="AB60" s="358"/>
      <c r="AC60" s="358"/>
      <c r="AD60" s="358"/>
      <c r="AE60" s="358"/>
      <c r="AF60" s="358"/>
      <c r="AG60" s="358"/>
      <c r="AH60" s="358"/>
      <c r="AI60" s="358"/>
      <c r="AJ60" s="358"/>
      <c r="AK60" s="358"/>
      <c r="AL60" s="358"/>
    </row>
    <row r="61" ht="15.6">
      <c r="A61" s="396" t="s">
        <v>681</v>
      </c>
      <c r="B61" s="362"/>
      <c r="C61" s="317"/>
      <c r="D61" s="362"/>
      <c r="E61" s="317"/>
      <c r="F61" s="362"/>
      <c r="G61" s="358"/>
      <c r="H61" s="358"/>
      <c r="I61" s="358"/>
      <c r="J61" s="358"/>
      <c r="K61" s="358"/>
      <c r="L61" s="358"/>
      <c r="M61" s="358"/>
      <c r="N61" s="358"/>
      <c r="O61" s="358"/>
      <c r="P61" s="358"/>
      <c r="Q61" s="358"/>
      <c r="R61" s="358"/>
      <c r="S61" s="358"/>
      <c r="T61" s="358"/>
      <c r="U61" s="358"/>
      <c r="V61" s="358"/>
      <c r="W61" s="358"/>
      <c r="X61" s="358"/>
      <c r="Y61" s="358"/>
      <c r="Z61" s="358"/>
      <c r="AA61" s="358"/>
      <c r="AB61" s="358"/>
      <c r="AC61" s="358"/>
      <c r="AD61" s="358"/>
      <c r="AE61" s="358"/>
      <c r="AF61" s="358"/>
      <c r="AG61" s="358"/>
      <c r="AH61" s="358"/>
      <c r="AI61" s="358"/>
      <c r="AJ61" s="358"/>
      <c r="AK61" s="358"/>
      <c r="AL61" s="358"/>
    </row>
    <row r="62" ht="15.6">
      <c r="A62" s="396" t="s">
        <v>571</v>
      </c>
      <c r="B62" s="362"/>
      <c r="C62" s="173"/>
      <c r="D62" s="362"/>
      <c r="E62" s="173"/>
      <c r="F62" s="362"/>
      <c r="G62" s="358"/>
      <c r="H62" s="358"/>
      <c r="I62" s="358"/>
      <c r="J62" s="358"/>
      <c r="K62" s="358"/>
      <c r="L62" s="358"/>
      <c r="M62" s="358"/>
      <c r="N62" s="358"/>
      <c r="O62" s="358"/>
      <c r="P62" s="358"/>
      <c r="Q62" s="358"/>
      <c r="R62" s="358"/>
      <c r="S62" s="358"/>
      <c r="T62" s="358"/>
      <c r="U62" s="358"/>
      <c r="V62" s="358"/>
      <c r="W62" s="358"/>
      <c r="X62" s="358"/>
      <c r="Y62" s="358"/>
      <c r="Z62" s="358"/>
      <c r="AA62" s="358"/>
      <c r="AB62" s="358"/>
      <c r="AC62" s="358"/>
      <c r="AD62" s="358"/>
      <c r="AE62" s="358"/>
      <c r="AF62" s="358"/>
      <c r="AG62" s="358"/>
      <c r="AH62" s="358"/>
      <c r="AI62" s="358"/>
      <c r="AJ62" s="358"/>
      <c r="AK62" s="358"/>
      <c r="AL62" s="358"/>
    </row>
    <row r="63" ht="15.6">
      <c r="A63" s="396" t="s">
        <v>52</v>
      </c>
      <c r="B63" s="362"/>
      <c r="C63" s="173"/>
      <c r="D63" s="362"/>
      <c r="E63" s="173"/>
      <c r="F63" s="362"/>
      <c r="G63" s="358"/>
      <c r="H63" s="358"/>
      <c r="I63" s="358"/>
      <c r="J63" s="358"/>
      <c r="K63" s="358"/>
      <c r="L63" s="358"/>
      <c r="M63" s="358"/>
      <c r="N63" s="358"/>
      <c r="O63" s="358"/>
      <c r="P63" s="358"/>
      <c r="Q63" s="358"/>
      <c r="R63" s="358"/>
      <c r="S63" s="358"/>
      <c r="T63" s="358"/>
      <c r="U63" s="358"/>
      <c r="V63" s="358"/>
      <c r="W63" s="358"/>
      <c r="X63" s="358"/>
      <c r="Y63" s="358"/>
      <c r="Z63" s="358"/>
      <c r="AA63" s="358"/>
      <c r="AB63" s="358"/>
      <c r="AC63" s="358"/>
      <c r="AD63" s="358"/>
      <c r="AE63" s="358"/>
      <c r="AF63" s="358"/>
      <c r="AG63" s="358"/>
      <c r="AH63" s="358"/>
      <c r="AI63" s="358"/>
      <c r="AJ63" s="358"/>
      <c r="AK63" s="358"/>
      <c r="AL63" s="358"/>
    </row>
    <row r="64" ht="15.6">
      <c r="A64" s="396" t="s">
        <v>53</v>
      </c>
      <c r="B64" s="362"/>
      <c r="C64" s="173"/>
      <c r="D64" s="362"/>
      <c r="E64" s="173"/>
      <c r="F64" s="362"/>
      <c r="G64" s="358"/>
      <c r="H64" s="358"/>
      <c r="I64" s="358"/>
      <c r="J64" s="358"/>
      <c r="K64" s="358"/>
      <c r="L64" s="358"/>
      <c r="M64" s="358"/>
      <c r="N64" s="358"/>
      <c r="O64" s="358"/>
      <c r="P64" s="358"/>
      <c r="Q64" s="358"/>
      <c r="R64" s="358"/>
      <c r="S64" s="358"/>
      <c r="T64" s="358"/>
      <c r="U64" s="358"/>
      <c r="V64" s="358"/>
      <c r="W64" s="358"/>
      <c r="X64" s="358"/>
      <c r="Y64" s="358"/>
      <c r="Z64" s="358"/>
      <c r="AA64" s="358"/>
      <c r="AB64" s="358"/>
      <c r="AC64" s="358"/>
      <c r="AD64" s="358"/>
      <c r="AE64" s="358"/>
      <c r="AF64" s="358"/>
      <c r="AG64" s="358"/>
      <c r="AH64" s="358"/>
      <c r="AI64" s="358"/>
      <c r="AJ64" s="358"/>
      <c r="AK64" s="358"/>
      <c r="AL64" s="358"/>
    </row>
    <row r="65" ht="15.6">
      <c r="A65" s="396" t="s">
        <v>682</v>
      </c>
      <c r="B65" s="362"/>
      <c r="C65" s="173"/>
      <c r="D65" s="362"/>
      <c r="E65" s="173"/>
      <c r="F65" s="362"/>
      <c r="G65" s="358"/>
      <c r="H65" s="358"/>
      <c r="I65" s="358"/>
      <c r="J65" s="358"/>
      <c r="K65" s="358"/>
      <c r="L65" s="358"/>
      <c r="M65" s="358"/>
      <c r="N65" s="358"/>
      <c r="O65" s="358"/>
      <c r="P65" s="358"/>
      <c r="Q65" s="358"/>
      <c r="R65" s="358"/>
      <c r="S65" s="358"/>
      <c r="T65" s="358"/>
      <c r="U65" s="358"/>
      <c r="V65" s="358"/>
      <c r="W65" s="358"/>
      <c r="X65" s="358"/>
      <c r="Y65" s="358"/>
      <c r="Z65" s="358"/>
      <c r="AA65" s="358"/>
      <c r="AB65" s="358"/>
      <c r="AC65" s="358"/>
      <c r="AD65" s="358"/>
      <c r="AE65" s="358"/>
      <c r="AF65" s="358"/>
      <c r="AG65" s="358"/>
      <c r="AH65" s="358"/>
      <c r="AI65" s="358"/>
      <c r="AJ65" s="358"/>
      <c r="AK65" s="358"/>
      <c r="AL65" s="358"/>
    </row>
    <row r="66" ht="15.6">
      <c r="A66" s="396" t="s">
        <v>683</v>
      </c>
      <c r="B66" s="362"/>
      <c r="C66" s="173"/>
      <c r="D66" s="362"/>
      <c r="E66" s="173"/>
      <c r="F66" s="362"/>
      <c r="G66" s="358"/>
      <c r="H66" s="358"/>
      <c r="I66" s="358"/>
      <c r="J66" s="358"/>
      <c r="K66" s="358"/>
      <c r="L66" s="358"/>
      <c r="M66" s="358"/>
      <c r="N66" s="358"/>
      <c r="O66" s="358"/>
      <c r="P66" s="358"/>
      <c r="Q66" s="358"/>
      <c r="R66" s="358"/>
      <c r="S66" s="358"/>
      <c r="T66" s="358"/>
      <c r="U66" s="358"/>
      <c r="V66" s="358"/>
      <c r="W66" s="358"/>
      <c r="X66" s="358"/>
      <c r="Y66" s="358"/>
      <c r="Z66" s="358"/>
      <c r="AA66" s="358"/>
      <c r="AB66" s="358"/>
      <c r="AC66" s="358"/>
      <c r="AD66" s="358"/>
      <c r="AE66" s="358"/>
      <c r="AF66" s="358"/>
      <c r="AG66" s="358"/>
      <c r="AH66" s="358"/>
      <c r="AI66" s="358"/>
      <c r="AJ66" s="358"/>
      <c r="AK66" s="358"/>
      <c r="AL66" s="358"/>
    </row>
    <row r="67" s="66" customFormat="1" ht="15.6">
      <c r="A67" s="397" t="s">
        <v>684</v>
      </c>
      <c r="B67" s="398"/>
      <c r="C67" s="399"/>
      <c r="D67" s="398"/>
      <c r="E67" s="399"/>
      <c r="F67" s="398"/>
      <c r="G67" s="358"/>
      <c r="H67" s="358"/>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8"/>
      <c r="AK67" s="358"/>
      <c r="AL67" s="358"/>
    </row>
    <row r="68" s="66" customFormat="1" ht="15.6">
      <c r="A68" s="77" t="s">
        <v>452</v>
      </c>
      <c r="B68" s="400"/>
      <c r="C68" s="400"/>
      <c r="D68" s="401"/>
      <c r="E68" s="400"/>
      <c r="F68" s="402"/>
      <c r="G68" s="401"/>
      <c r="H68" s="401"/>
    </row>
    <row r="69" ht="15.6">
      <c r="A69" s="78"/>
      <c r="B69" s="403"/>
      <c r="C69" s="404"/>
      <c r="D69" s="403"/>
    </row>
    <row r="70" ht="15.6">
      <c r="A70" s="66" t="s">
        <v>648</v>
      </c>
    </row>
    <row r="71" s="204" customFormat="1" ht="15.75" customHeight="1">
      <c r="A71" s="206" t="s">
        <v>177</v>
      </c>
      <c r="B71" s="206" t="s">
        <v>421</v>
      </c>
      <c r="C71" s="206"/>
      <c r="D71" s="206"/>
      <c r="E71" s="206"/>
      <c r="F71" s="206"/>
      <c r="G71" s="206"/>
      <c r="H71" s="206"/>
      <c r="I71" s="206"/>
      <c r="J71" s="208" t="s">
        <v>422</v>
      </c>
      <c r="K71" s="208"/>
      <c r="L71" s="208"/>
      <c r="M71" s="208"/>
      <c r="N71" s="208"/>
      <c r="O71" s="208"/>
      <c r="P71" s="208"/>
      <c r="Q71" s="208"/>
      <c r="R71" s="209" t="s">
        <v>423</v>
      </c>
      <c r="S71" s="209"/>
      <c r="T71" s="209"/>
      <c r="U71" s="209"/>
      <c r="V71" s="209"/>
      <c r="W71" s="209"/>
      <c r="X71" s="209"/>
      <c r="Y71" s="209"/>
      <c r="Z71" s="209"/>
      <c r="AA71" s="209"/>
      <c r="AB71" s="209"/>
      <c r="AC71" s="209"/>
      <c r="AD71" s="209"/>
      <c r="AE71" s="209"/>
      <c r="AF71" s="209"/>
      <c r="AG71" s="209"/>
      <c r="AH71" s="209"/>
      <c r="AI71" s="209"/>
      <c r="AJ71" s="209"/>
      <c r="AK71" s="209"/>
      <c r="AL71" s="209"/>
    </row>
    <row r="72" s="204" customFormat="1" ht="15.6" customHeight="1">
      <c r="A72" s="206"/>
      <c r="B72" s="206"/>
      <c r="C72" s="206"/>
      <c r="D72" s="206"/>
      <c r="E72" s="206"/>
      <c r="F72" s="206"/>
      <c r="G72" s="206"/>
      <c r="H72" s="206"/>
      <c r="I72" s="206"/>
      <c r="J72" s="208"/>
      <c r="K72" s="208"/>
      <c r="L72" s="208"/>
      <c r="M72" s="208"/>
      <c r="N72" s="208"/>
      <c r="O72" s="208"/>
      <c r="P72" s="208"/>
      <c r="Q72" s="208"/>
      <c r="R72" s="210" t="s">
        <v>320</v>
      </c>
      <c r="S72" s="210"/>
      <c r="T72" s="210"/>
      <c r="U72" s="211" t="s">
        <v>321</v>
      </c>
      <c r="V72" s="211"/>
      <c r="W72" s="211"/>
      <c r="X72" s="211" t="s">
        <v>322</v>
      </c>
      <c r="Y72" s="211"/>
      <c r="Z72" s="211"/>
      <c r="AA72" s="211" t="s">
        <v>323</v>
      </c>
      <c r="AB72" s="211"/>
      <c r="AC72" s="211"/>
      <c r="AD72" s="211" t="s">
        <v>324</v>
      </c>
      <c r="AE72" s="211"/>
      <c r="AF72" s="211"/>
      <c r="AG72" s="212" t="s">
        <v>325</v>
      </c>
      <c r="AH72" s="212"/>
      <c r="AI72" s="212"/>
      <c r="AJ72" s="212" t="s">
        <v>326</v>
      </c>
      <c r="AK72" s="212"/>
      <c r="AL72" s="212"/>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c r="CP72" s="213"/>
      <c r="CQ72" s="213"/>
      <c r="CR72" s="213"/>
      <c r="CS72" s="213"/>
      <c r="CT72" s="213"/>
      <c r="CU72" s="213"/>
      <c r="CV72" s="213"/>
      <c r="CW72" s="213"/>
      <c r="CX72" s="213"/>
      <c r="CY72" s="213"/>
      <c r="CZ72" s="213"/>
      <c r="DA72" s="213"/>
      <c r="DB72" s="213"/>
      <c r="DC72" s="213"/>
      <c r="DD72" s="213"/>
      <c r="DE72" s="213"/>
      <c r="DF72" s="213"/>
      <c r="DG72" s="213"/>
      <c r="DH72" s="213"/>
      <c r="DI72" s="213"/>
      <c r="DJ72" s="213"/>
      <c r="DK72" s="213"/>
      <c r="DL72" s="213"/>
      <c r="DM72" s="213"/>
      <c r="DN72" s="213"/>
      <c r="DO72" s="213"/>
      <c r="DP72" s="213"/>
      <c r="DQ72" s="213"/>
      <c r="DR72" s="213"/>
      <c r="DS72" s="213"/>
      <c r="DT72" s="213"/>
      <c r="DU72" s="213"/>
      <c r="DV72" s="213"/>
      <c r="DW72" s="213"/>
      <c r="DX72" s="213"/>
      <c r="DY72" s="213"/>
      <c r="DZ72" s="213"/>
      <c r="EA72" s="213"/>
      <c r="EB72" s="213"/>
      <c r="EC72" s="213"/>
      <c r="ED72" s="213"/>
      <c r="EE72" s="213"/>
      <c r="EF72" s="213"/>
      <c r="EG72" s="213"/>
      <c r="EH72" s="213"/>
      <c r="EI72" s="213"/>
      <c r="EJ72" s="213"/>
      <c r="EK72" s="213"/>
      <c r="EL72" s="213"/>
      <c r="EM72" s="213"/>
      <c r="EN72" s="213"/>
      <c r="EO72" s="213"/>
      <c r="EP72" s="213"/>
      <c r="EQ72" s="213"/>
      <c r="ER72" s="213"/>
      <c r="ES72" s="213"/>
      <c r="ET72" s="213"/>
      <c r="EU72" s="213"/>
      <c r="EV72" s="213"/>
      <c r="EW72" s="213"/>
      <c r="EX72" s="213"/>
      <c r="EY72" s="213"/>
      <c r="EZ72" s="213"/>
      <c r="FA72" s="213"/>
      <c r="FB72" s="213"/>
      <c r="FC72" s="213"/>
      <c r="FD72" s="213"/>
      <c r="FE72" s="213"/>
      <c r="FF72" s="213"/>
      <c r="FG72" s="213"/>
      <c r="FH72" s="213"/>
      <c r="FI72" s="213"/>
      <c r="FJ72" s="213"/>
      <c r="FK72" s="213"/>
      <c r="FL72" s="213"/>
      <c r="FM72" s="213"/>
      <c r="FN72" s="213"/>
      <c r="FO72" s="213"/>
      <c r="FP72" s="213"/>
      <c r="FQ72" s="213"/>
      <c r="FR72" s="213"/>
      <c r="FS72" s="213"/>
      <c r="FT72" s="213"/>
      <c r="FU72" s="213"/>
      <c r="FV72" s="213"/>
      <c r="FW72" s="213"/>
      <c r="FX72" s="213"/>
      <c r="FY72" s="213"/>
      <c r="FZ72" s="213"/>
      <c r="GA72" s="213"/>
      <c r="GB72" s="213"/>
      <c r="GC72" s="213"/>
      <c r="GD72" s="213"/>
      <c r="GE72" s="213"/>
      <c r="GF72" s="213"/>
      <c r="GG72" s="213"/>
      <c r="GH72" s="213"/>
      <c r="GI72" s="213"/>
      <c r="GJ72" s="213"/>
      <c r="GK72" s="213"/>
      <c r="GL72" s="213"/>
      <c r="GM72" s="213"/>
      <c r="GN72" s="213"/>
      <c r="GO72" s="213"/>
      <c r="GP72" s="213"/>
      <c r="GQ72" s="213"/>
      <c r="GR72" s="213"/>
      <c r="GS72" s="213"/>
      <c r="GT72" s="213"/>
      <c r="GU72" s="213"/>
      <c r="GV72" s="213"/>
      <c r="GW72" s="213"/>
      <c r="GX72" s="213"/>
      <c r="GY72" s="213"/>
      <c r="GZ72" s="213"/>
      <c r="HA72" s="213"/>
      <c r="HB72" s="213"/>
      <c r="HC72" s="213"/>
      <c r="HD72" s="213"/>
      <c r="HE72" s="213"/>
      <c r="HF72" s="213"/>
      <c r="HG72" s="213"/>
      <c r="HH72" s="213"/>
      <c r="HI72" s="213"/>
      <c r="HJ72" s="213"/>
      <c r="HK72" s="213"/>
      <c r="HL72" s="213"/>
      <c r="HM72" s="213"/>
      <c r="HN72" s="213"/>
      <c r="HO72" s="213"/>
      <c r="HP72" s="213"/>
      <c r="HQ72" s="213"/>
      <c r="HR72" s="213"/>
      <c r="HS72" s="213"/>
      <c r="HT72" s="213"/>
      <c r="HU72" s="213"/>
      <c r="HV72" s="213"/>
      <c r="HW72" s="213"/>
      <c r="HX72" s="213"/>
      <c r="HY72" s="213"/>
      <c r="HZ72" s="213"/>
      <c r="IA72" s="213"/>
      <c r="IB72" s="213"/>
      <c r="IC72" s="213"/>
      <c r="ID72" s="213"/>
      <c r="IE72" s="213"/>
      <c r="IF72" s="213"/>
      <c r="IG72" s="213"/>
      <c r="IH72" s="213"/>
      <c r="II72" s="213"/>
      <c r="IJ72" s="213"/>
      <c r="IK72" s="213"/>
      <c r="IL72" s="213"/>
      <c r="IM72" s="213"/>
      <c r="IN72" s="213"/>
      <c r="IO72" s="213"/>
      <c r="IP72" s="213"/>
      <c r="IQ72" s="213"/>
      <c r="IR72" s="213"/>
      <c r="IS72" s="213"/>
      <c r="IT72" s="213"/>
      <c r="IU72" s="213"/>
    </row>
    <row r="73" s="204" customFormat="1" ht="15.6">
      <c r="A73" s="206"/>
      <c r="B73" s="383">
        <v>43830</v>
      </c>
      <c r="C73" s="383" t="s">
        <v>425</v>
      </c>
      <c r="D73" s="383" t="s">
        <v>426</v>
      </c>
      <c r="E73" s="383" t="s">
        <v>427</v>
      </c>
      <c r="F73" s="383" t="s">
        <v>428</v>
      </c>
      <c r="G73" s="383" t="s">
        <v>429</v>
      </c>
      <c r="H73" s="383" t="s">
        <v>430</v>
      </c>
      <c r="I73" s="383" t="s">
        <v>431</v>
      </c>
      <c r="J73" s="383">
        <v>43830</v>
      </c>
      <c r="K73" s="383" t="s">
        <v>425</v>
      </c>
      <c r="L73" s="383" t="s">
        <v>426</v>
      </c>
      <c r="M73" s="383" t="s">
        <v>427</v>
      </c>
      <c r="N73" s="383" t="s">
        <v>428</v>
      </c>
      <c r="O73" s="383" t="s">
        <v>429</v>
      </c>
      <c r="P73" s="383" t="s">
        <v>430</v>
      </c>
      <c r="Q73" s="383" t="s">
        <v>431</v>
      </c>
      <c r="R73" s="215" t="s">
        <v>432</v>
      </c>
      <c r="S73" s="215" t="s">
        <v>433</v>
      </c>
      <c r="T73" s="215" t="s">
        <v>434</v>
      </c>
      <c r="U73" s="215" t="s">
        <v>432</v>
      </c>
      <c r="V73" s="215" t="s">
        <v>433</v>
      </c>
      <c r="W73" s="215" t="s">
        <v>434</v>
      </c>
      <c r="X73" s="215" t="str">
        <f>U73</f>
        <v xml:space="preserve">в тыс. руб.</v>
      </c>
      <c r="Y73" s="215" t="str">
        <f>V73</f>
        <v xml:space="preserve">темп прироста, %</v>
      </c>
      <c r="Z73" s="215" t="str">
        <f>W73</f>
        <v xml:space="preserve">в структуре, %</v>
      </c>
      <c r="AA73" s="215" t="str">
        <f>X73</f>
        <v xml:space="preserve">в тыс. руб.</v>
      </c>
      <c r="AB73" s="215" t="str">
        <f>Y73</f>
        <v xml:space="preserve">темп прироста, %</v>
      </c>
      <c r="AC73" s="215" t="str">
        <f>Z73</f>
        <v xml:space="preserve">в структуре, %</v>
      </c>
      <c r="AD73" s="215" t="str">
        <f>AA73</f>
        <v xml:space="preserve">в тыс. руб.</v>
      </c>
      <c r="AE73" s="215" t="str">
        <f>AB73</f>
        <v xml:space="preserve">темп прироста, %</v>
      </c>
      <c r="AF73" s="215" t="str">
        <f>AC73</f>
        <v xml:space="preserve">в структуре, %</v>
      </c>
      <c r="AG73" s="215" t="str">
        <f>AD73</f>
        <v xml:space="preserve">в тыс. руб.</v>
      </c>
      <c r="AH73" s="215" t="str">
        <f>AE73</f>
        <v xml:space="preserve">темп прироста, %</v>
      </c>
      <c r="AI73" s="215" t="str">
        <f>AF73</f>
        <v xml:space="preserve">в структуре, %</v>
      </c>
      <c r="AJ73" s="215" t="str">
        <f>AG73</f>
        <v xml:space="preserve">в тыс. руб.</v>
      </c>
      <c r="AK73" s="215" t="str">
        <f>AH73</f>
        <v xml:space="preserve">темп прироста, %</v>
      </c>
      <c r="AL73" s="215" t="str">
        <f>AI73</f>
        <v xml:space="preserve">в структуре, %</v>
      </c>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c r="CP73" s="213"/>
      <c r="CQ73" s="213"/>
      <c r="CR73" s="213"/>
      <c r="CS73" s="213"/>
      <c r="CT73" s="213"/>
      <c r="CU73" s="213"/>
      <c r="CV73" s="213"/>
      <c r="CW73" s="213"/>
      <c r="CX73" s="213"/>
      <c r="CY73" s="213"/>
      <c r="CZ73" s="213"/>
      <c r="DA73" s="213"/>
      <c r="DB73" s="213"/>
      <c r="DC73" s="213"/>
      <c r="DD73" s="213"/>
      <c r="DE73" s="213"/>
      <c r="DF73" s="213"/>
      <c r="DG73" s="213"/>
      <c r="DH73" s="213"/>
      <c r="DI73" s="213"/>
      <c r="DJ73" s="213"/>
      <c r="DK73" s="213"/>
      <c r="DL73" s="213"/>
      <c r="DM73" s="213"/>
      <c r="DN73" s="213"/>
      <c r="DO73" s="213"/>
      <c r="DP73" s="213"/>
      <c r="DQ73" s="213"/>
      <c r="DR73" s="213"/>
      <c r="DS73" s="213"/>
      <c r="DT73" s="213"/>
      <c r="DU73" s="213"/>
      <c r="DV73" s="213"/>
      <c r="DW73" s="213"/>
      <c r="DX73" s="213"/>
      <c r="DY73" s="213"/>
      <c r="DZ73" s="213"/>
      <c r="EA73" s="213"/>
      <c r="EB73" s="213"/>
      <c r="EC73" s="213"/>
      <c r="ED73" s="213"/>
      <c r="EE73" s="213"/>
      <c r="EF73" s="213"/>
      <c r="EG73" s="213"/>
      <c r="EH73" s="213"/>
      <c r="EI73" s="213"/>
      <c r="EJ73" s="213"/>
      <c r="EK73" s="213"/>
      <c r="EL73" s="213"/>
      <c r="EM73" s="213"/>
      <c r="EN73" s="213"/>
      <c r="EO73" s="213"/>
      <c r="EP73" s="213"/>
      <c r="EQ73" s="213"/>
      <c r="ER73" s="213"/>
      <c r="ES73" s="213"/>
      <c r="ET73" s="213"/>
      <c r="EU73" s="213"/>
      <c r="EV73" s="213"/>
      <c r="EW73" s="213"/>
      <c r="EX73" s="213"/>
      <c r="EY73" s="213"/>
      <c r="EZ73" s="213"/>
      <c r="FA73" s="213"/>
      <c r="FB73" s="213"/>
      <c r="FC73" s="213"/>
      <c r="FD73" s="213"/>
      <c r="FE73" s="213"/>
      <c r="FF73" s="213"/>
      <c r="FG73" s="213"/>
      <c r="FH73" s="213"/>
      <c r="FI73" s="213"/>
      <c r="FJ73" s="213"/>
      <c r="FK73" s="213"/>
      <c r="FL73" s="213"/>
      <c r="FM73" s="213"/>
      <c r="FN73" s="213"/>
      <c r="FO73" s="213"/>
      <c r="FP73" s="213"/>
      <c r="FQ73" s="213"/>
      <c r="FR73" s="213"/>
      <c r="FS73" s="213"/>
      <c r="FT73" s="213"/>
      <c r="FU73" s="213"/>
      <c r="FV73" s="213"/>
      <c r="FW73" s="213"/>
      <c r="FX73" s="213"/>
      <c r="FY73" s="213"/>
      <c r="FZ73" s="213"/>
      <c r="GA73" s="213"/>
      <c r="GB73" s="213"/>
      <c r="GC73" s="213"/>
      <c r="GD73" s="213"/>
      <c r="GE73" s="213"/>
      <c r="GF73" s="213"/>
      <c r="GG73" s="213"/>
      <c r="GH73" s="213"/>
      <c r="GI73" s="213"/>
      <c r="GJ73" s="213"/>
      <c r="GK73" s="213"/>
      <c r="GL73" s="213"/>
      <c r="GM73" s="213"/>
      <c r="GN73" s="213"/>
      <c r="GO73" s="213"/>
      <c r="GP73" s="213"/>
      <c r="GQ73" s="213"/>
      <c r="GR73" s="213"/>
      <c r="GS73" s="213"/>
      <c r="GT73" s="213"/>
      <c r="GU73" s="213"/>
      <c r="GV73" s="213"/>
      <c r="GW73" s="213"/>
      <c r="GX73" s="213"/>
      <c r="GY73" s="213"/>
      <c r="GZ73" s="213"/>
      <c r="HA73" s="213"/>
      <c r="HB73" s="213"/>
      <c r="HC73" s="213"/>
      <c r="HD73" s="213"/>
      <c r="HE73" s="213"/>
      <c r="HF73" s="213"/>
      <c r="HG73" s="213"/>
      <c r="HH73" s="213"/>
      <c r="HI73" s="213"/>
      <c r="HJ73" s="213"/>
      <c r="HK73" s="213"/>
      <c r="HL73" s="213"/>
      <c r="HM73" s="213"/>
      <c r="HN73" s="213"/>
      <c r="HO73" s="213"/>
      <c r="HP73" s="213"/>
      <c r="HQ73" s="213"/>
      <c r="HR73" s="213"/>
      <c r="HS73" s="213"/>
      <c r="HT73" s="213"/>
      <c r="HU73" s="213"/>
      <c r="HV73" s="213"/>
      <c r="HW73" s="213"/>
      <c r="HX73" s="213"/>
      <c r="HY73" s="213"/>
      <c r="HZ73" s="213"/>
      <c r="IA73" s="213"/>
      <c r="IB73" s="213"/>
      <c r="IC73" s="213"/>
      <c r="ID73" s="213"/>
      <c r="IE73" s="213"/>
      <c r="IF73" s="213"/>
      <c r="IG73" s="213"/>
      <c r="IH73" s="213"/>
      <c r="II73" s="213"/>
      <c r="IJ73" s="213"/>
      <c r="IK73" s="213"/>
      <c r="IL73" s="213"/>
      <c r="IM73" s="213"/>
      <c r="IN73" s="213"/>
      <c r="IO73" s="213"/>
      <c r="IP73" s="213"/>
      <c r="IQ73" s="213"/>
      <c r="IR73" s="213"/>
      <c r="IS73" s="213"/>
      <c r="IT73" s="213"/>
      <c r="IU73" s="213"/>
    </row>
    <row r="74" s="405" customFormat="1" ht="15.6">
      <c r="A74" s="357" t="s">
        <v>685</v>
      </c>
      <c r="B74" s="406"/>
      <c r="C74" s="328"/>
      <c r="D74" s="406"/>
      <c r="E74" s="328"/>
      <c r="F74" s="406"/>
      <c r="G74" s="358"/>
      <c r="H74" s="358"/>
      <c r="I74" s="358"/>
      <c r="J74" s="358"/>
      <c r="K74" s="358"/>
      <c r="L74" s="358"/>
      <c r="M74" s="358"/>
      <c r="N74" s="358"/>
      <c r="O74" s="358"/>
      <c r="P74" s="358"/>
      <c r="Q74" s="358"/>
      <c r="R74" s="358"/>
      <c r="S74" s="358"/>
      <c r="T74" s="358"/>
      <c r="U74" s="358"/>
      <c r="V74" s="358"/>
      <c r="W74" s="358"/>
      <c r="X74" s="358"/>
      <c r="Y74" s="358"/>
      <c r="Z74" s="358"/>
      <c r="AA74" s="358"/>
      <c r="AB74" s="358"/>
      <c r="AC74" s="358"/>
      <c r="AD74" s="358"/>
      <c r="AE74" s="358"/>
      <c r="AF74" s="358"/>
      <c r="AG74" s="358"/>
      <c r="AH74" s="358"/>
      <c r="AI74" s="358"/>
      <c r="AJ74" s="358"/>
      <c r="AK74" s="358"/>
      <c r="AL74" s="358"/>
    </row>
    <row r="75" s="405" customFormat="1" ht="15.6">
      <c r="A75" s="357" t="s">
        <v>686</v>
      </c>
      <c r="B75" s="406"/>
      <c r="C75" s="328"/>
      <c r="D75" s="406"/>
      <c r="E75" s="328"/>
      <c r="F75" s="406"/>
      <c r="G75" s="358"/>
      <c r="H75" s="358"/>
      <c r="I75" s="358"/>
      <c r="J75" s="358"/>
      <c r="K75" s="358"/>
      <c r="L75" s="358"/>
      <c r="M75" s="358"/>
      <c r="N75" s="358"/>
      <c r="O75" s="358"/>
      <c r="P75" s="358"/>
      <c r="Q75" s="358"/>
      <c r="R75" s="358"/>
      <c r="S75" s="358"/>
      <c r="T75" s="358"/>
      <c r="U75" s="358"/>
      <c r="V75" s="358"/>
      <c r="W75" s="358"/>
      <c r="X75" s="358"/>
      <c r="Y75" s="358"/>
      <c r="Z75" s="358"/>
      <c r="AA75" s="358"/>
      <c r="AB75" s="358"/>
      <c r="AC75" s="358"/>
      <c r="AD75" s="358"/>
      <c r="AE75" s="358"/>
      <c r="AF75" s="358"/>
      <c r="AG75" s="358"/>
      <c r="AH75" s="358"/>
      <c r="AI75" s="358"/>
      <c r="AJ75" s="358"/>
      <c r="AK75" s="358"/>
      <c r="AL75" s="358"/>
    </row>
    <row r="76" ht="15.6">
      <c r="A76" s="357" t="s">
        <v>687</v>
      </c>
      <c r="B76" s="406"/>
      <c r="C76" s="328"/>
      <c r="D76" s="406"/>
      <c r="E76" s="328"/>
      <c r="F76" s="406"/>
      <c r="G76" s="358"/>
      <c r="H76" s="358"/>
      <c r="I76" s="358"/>
      <c r="J76" s="358"/>
      <c r="K76" s="358"/>
      <c r="L76" s="358"/>
      <c r="M76" s="358"/>
      <c r="N76" s="358"/>
      <c r="O76" s="358"/>
      <c r="P76" s="358"/>
      <c r="Q76" s="358"/>
      <c r="R76" s="358"/>
      <c r="S76" s="358"/>
      <c r="T76" s="358"/>
      <c r="U76" s="358"/>
      <c r="V76" s="358"/>
      <c r="W76" s="358"/>
      <c r="X76" s="358"/>
      <c r="Y76" s="358"/>
      <c r="Z76" s="358"/>
      <c r="AA76" s="358"/>
      <c r="AB76" s="358"/>
      <c r="AC76" s="358"/>
      <c r="AD76" s="358"/>
      <c r="AE76" s="358"/>
      <c r="AF76" s="358"/>
      <c r="AG76" s="358"/>
      <c r="AH76" s="358"/>
      <c r="AI76" s="358"/>
      <c r="AJ76" s="358"/>
      <c r="AK76" s="358"/>
      <c r="AL76" s="358"/>
    </row>
    <row r="77" ht="28.550000000000001">
      <c r="A77" s="357" t="s">
        <v>688</v>
      </c>
      <c r="B77" s="406"/>
      <c r="C77" s="328"/>
      <c r="D77" s="406"/>
      <c r="E77" s="328"/>
      <c r="F77" s="406"/>
      <c r="G77" s="358"/>
      <c r="H77" s="358"/>
      <c r="I77" s="358"/>
      <c r="J77" s="358"/>
      <c r="K77" s="358"/>
      <c r="L77" s="358"/>
      <c r="M77" s="358"/>
      <c r="N77" s="358"/>
      <c r="O77" s="358"/>
      <c r="P77" s="358"/>
      <c r="Q77" s="358"/>
      <c r="R77" s="358"/>
      <c r="S77" s="358"/>
      <c r="T77" s="358"/>
      <c r="U77" s="358"/>
      <c r="V77" s="358"/>
      <c r="W77" s="358"/>
      <c r="X77" s="358"/>
      <c r="Y77" s="358"/>
      <c r="Z77" s="358"/>
      <c r="AA77" s="358"/>
      <c r="AB77" s="358"/>
      <c r="AC77" s="358"/>
      <c r="AD77" s="358"/>
      <c r="AE77" s="358"/>
      <c r="AF77" s="358"/>
      <c r="AG77" s="358"/>
      <c r="AH77" s="358"/>
      <c r="AI77" s="358"/>
      <c r="AJ77" s="358"/>
      <c r="AK77" s="358"/>
      <c r="AL77" s="358"/>
    </row>
    <row r="78" ht="15.6">
      <c r="A78" s="357" t="s">
        <v>689</v>
      </c>
      <c r="B78" s="406"/>
      <c r="C78" s="328"/>
      <c r="D78" s="406"/>
      <c r="E78" s="328"/>
      <c r="F78" s="406"/>
      <c r="G78" s="358"/>
      <c r="H78" s="358"/>
      <c r="I78" s="358"/>
      <c r="J78" s="358"/>
      <c r="K78" s="358"/>
      <c r="L78" s="358"/>
      <c r="M78" s="358"/>
      <c r="N78" s="358"/>
      <c r="O78" s="358"/>
      <c r="P78" s="358"/>
      <c r="Q78" s="358"/>
      <c r="R78" s="358"/>
      <c r="S78" s="358"/>
      <c r="T78" s="358"/>
      <c r="U78" s="358"/>
      <c r="V78" s="358"/>
      <c r="W78" s="358"/>
      <c r="X78" s="358"/>
      <c r="Y78" s="358"/>
      <c r="Z78" s="358"/>
      <c r="AA78" s="358"/>
      <c r="AB78" s="358"/>
      <c r="AC78" s="358"/>
      <c r="AD78" s="358"/>
      <c r="AE78" s="358"/>
      <c r="AF78" s="358"/>
      <c r="AG78" s="358"/>
      <c r="AH78" s="358"/>
      <c r="AI78" s="358"/>
      <c r="AJ78" s="358"/>
      <c r="AK78" s="358"/>
      <c r="AL78" s="358"/>
    </row>
    <row r="79" ht="15.6">
      <c r="A79" s="357" t="s">
        <v>690</v>
      </c>
      <c r="B79" s="406"/>
      <c r="C79" s="328"/>
      <c r="D79" s="406"/>
      <c r="E79" s="328"/>
      <c r="F79" s="406"/>
      <c r="G79" s="358"/>
      <c r="H79" s="358"/>
      <c r="I79" s="358"/>
      <c r="J79" s="358"/>
      <c r="K79" s="358"/>
      <c r="L79" s="358"/>
      <c r="M79" s="358"/>
      <c r="N79" s="358"/>
      <c r="O79" s="358"/>
      <c r="P79" s="358"/>
      <c r="Q79" s="358"/>
      <c r="R79" s="358"/>
      <c r="S79" s="358"/>
      <c r="T79" s="358"/>
      <c r="U79" s="358"/>
      <c r="V79" s="358"/>
      <c r="W79" s="358"/>
      <c r="X79" s="358"/>
      <c r="Y79" s="358"/>
      <c r="Z79" s="358"/>
      <c r="AA79" s="358"/>
      <c r="AB79" s="358"/>
      <c r="AC79" s="358"/>
      <c r="AD79" s="358"/>
      <c r="AE79" s="358"/>
      <c r="AF79" s="358"/>
      <c r="AG79" s="358"/>
      <c r="AH79" s="358"/>
      <c r="AI79" s="358"/>
      <c r="AJ79" s="358"/>
      <c r="AK79" s="358"/>
      <c r="AL79" s="358"/>
    </row>
    <row r="80" ht="15.6">
      <c r="A80" s="326" t="s">
        <v>649</v>
      </c>
      <c r="B80" s="407"/>
      <c r="C80" s="408"/>
      <c r="D80" s="407"/>
      <c r="E80" s="408"/>
      <c r="F80" s="407"/>
      <c r="G80" s="358"/>
      <c r="H80" s="358"/>
      <c r="I80" s="358"/>
      <c r="J80" s="358"/>
      <c r="K80" s="358"/>
      <c r="L80" s="358"/>
      <c r="M80" s="358"/>
      <c r="N80" s="358"/>
      <c r="O80" s="358"/>
      <c r="P80" s="358"/>
      <c r="Q80" s="358"/>
      <c r="R80" s="358"/>
      <c r="S80" s="358"/>
      <c r="T80" s="358"/>
      <c r="U80" s="358"/>
      <c r="V80" s="358"/>
      <c r="W80" s="358"/>
      <c r="X80" s="358"/>
      <c r="Y80" s="358"/>
      <c r="Z80" s="358"/>
      <c r="AA80" s="358"/>
      <c r="AB80" s="358"/>
      <c r="AC80" s="358"/>
      <c r="AD80" s="358"/>
      <c r="AE80" s="358"/>
      <c r="AF80" s="358"/>
      <c r="AG80" s="358"/>
      <c r="AH80" s="358"/>
      <c r="AI80" s="358"/>
      <c r="AJ80" s="358"/>
      <c r="AK80" s="358"/>
      <c r="AL80" s="358"/>
    </row>
    <row r="81" ht="15.6">
      <c r="A81" s="77" t="s">
        <v>452</v>
      </c>
      <c r="C81" s="177"/>
      <c r="D81" s="364"/>
      <c r="E81" s="177"/>
      <c r="F81" s="265"/>
    </row>
    <row r="83" s="409" customFormat="1" ht="15.6">
      <c r="A83" s="410" t="s">
        <v>691</v>
      </c>
    </row>
    <row r="84" s="204" customFormat="1" ht="15.75" customHeight="1">
      <c r="A84" s="206" t="s">
        <v>177</v>
      </c>
      <c r="B84" s="206" t="s">
        <v>421</v>
      </c>
      <c r="C84" s="206"/>
      <c r="D84" s="206"/>
      <c r="E84" s="206"/>
      <c r="F84" s="206"/>
      <c r="G84" s="206"/>
      <c r="H84" s="206"/>
      <c r="I84" s="206"/>
      <c r="J84" s="208" t="s">
        <v>422</v>
      </c>
      <c r="K84" s="208"/>
      <c r="L84" s="208"/>
      <c r="M84" s="208"/>
      <c r="N84" s="208"/>
      <c r="O84" s="208"/>
      <c r="P84" s="208"/>
      <c r="Q84" s="208"/>
      <c r="R84" s="209" t="s">
        <v>423</v>
      </c>
      <c r="S84" s="209"/>
      <c r="T84" s="209"/>
      <c r="U84" s="209"/>
      <c r="V84" s="209"/>
      <c r="W84" s="209"/>
      <c r="X84" s="209"/>
      <c r="Y84" s="209"/>
      <c r="Z84" s="209"/>
      <c r="AA84" s="209"/>
      <c r="AB84" s="209"/>
      <c r="AC84" s="209"/>
      <c r="AD84" s="209"/>
      <c r="AE84" s="209"/>
      <c r="AF84" s="209"/>
      <c r="AG84" s="209"/>
      <c r="AH84" s="209"/>
      <c r="AI84" s="209"/>
      <c r="AJ84" s="209"/>
      <c r="AK84" s="209"/>
      <c r="AL84" s="209"/>
    </row>
    <row r="85" s="204" customFormat="1" ht="15.6" customHeight="1">
      <c r="A85" s="206"/>
      <c r="B85" s="206"/>
      <c r="C85" s="206"/>
      <c r="D85" s="206"/>
      <c r="E85" s="206"/>
      <c r="F85" s="206"/>
      <c r="G85" s="206"/>
      <c r="H85" s="206"/>
      <c r="I85" s="206"/>
      <c r="J85" s="208"/>
      <c r="K85" s="208"/>
      <c r="L85" s="208"/>
      <c r="M85" s="208"/>
      <c r="N85" s="208"/>
      <c r="O85" s="208"/>
      <c r="P85" s="208"/>
      <c r="Q85" s="208"/>
      <c r="R85" s="210" t="s">
        <v>320</v>
      </c>
      <c r="S85" s="210"/>
      <c r="T85" s="210"/>
      <c r="U85" s="211" t="s">
        <v>321</v>
      </c>
      <c r="V85" s="211"/>
      <c r="W85" s="211"/>
      <c r="X85" s="211" t="s">
        <v>322</v>
      </c>
      <c r="Y85" s="211"/>
      <c r="Z85" s="211"/>
      <c r="AA85" s="211" t="s">
        <v>323</v>
      </c>
      <c r="AB85" s="211"/>
      <c r="AC85" s="211"/>
      <c r="AD85" s="211" t="s">
        <v>324</v>
      </c>
      <c r="AE85" s="211"/>
      <c r="AF85" s="211"/>
      <c r="AG85" s="212" t="s">
        <v>325</v>
      </c>
      <c r="AH85" s="212"/>
      <c r="AI85" s="212"/>
      <c r="AJ85" s="212" t="s">
        <v>326</v>
      </c>
      <c r="AK85" s="212"/>
      <c r="AL85" s="212"/>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c r="CP85" s="213"/>
      <c r="CQ85" s="213"/>
      <c r="CR85" s="213"/>
      <c r="CS85" s="213"/>
      <c r="CT85" s="213"/>
      <c r="CU85" s="213"/>
      <c r="CV85" s="213"/>
      <c r="CW85" s="213"/>
      <c r="CX85" s="213"/>
      <c r="CY85" s="213"/>
      <c r="CZ85" s="213"/>
      <c r="DA85" s="213"/>
      <c r="DB85" s="213"/>
      <c r="DC85" s="213"/>
      <c r="DD85" s="213"/>
      <c r="DE85" s="213"/>
      <c r="DF85" s="213"/>
      <c r="DG85" s="213"/>
      <c r="DH85" s="213"/>
      <c r="DI85" s="213"/>
      <c r="DJ85" s="213"/>
      <c r="DK85" s="213"/>
      <c r="DL85" s="213"/>
      <c r="DM85" s="213"/>
      <c r="DN85" s="213"/>
      <c r="DO85" s="213"/>
      <c r="DP85" s="213"/>
      <c r="DQ85" s="213"/>
      <c r="DR85" s="213"/>
      <c r="DS85" s="213"/>
      <c r="DT85" s="213"/>
      <c r="DU85" s="213"/>
      <c r="DV85" s="213"/>
      <c r="DW85" s="213"/>
      <c r="DX85" s="213"/>
      <c r="DY85" s="213"/>
      <c r="DZ85" s="213"/>
      <c r="EA85" s="213"/>
      <c r="EB85" s="213"/>
      <c r="EC85" s="213"/>
      <c r="ED85" s="213"/>
      <c r="EE85" s="213"/>
      <c r="EF85" s="213"/>
      <c r="EG85" s="213"/>
      <c r="EH85" s="213"/>
      <c r="EI85" s="213"/>
      <c r="EJ85" s="213"/>
      <c r="EK85" s="213"/>
      <c r="EL85" s="213"/>
      <c r="EM85" s="213"/>
      <c r="EN85" s="213"/>
      <c r="EO85" s="213"/>
      <c r="EP85" s="213"/>
      <c r="EQ85" s="213"/>
      <c r="ER85" s="213"/>
      <c r="ES85" s="213"/>
      <c r="ET85" s="213"/>
      <c r="EU85" s="213"/>
      <c r="EV85" s="213"/>
      <c r="EW85" s="213"/>
      <c r="EX85" s="213"/>
      <c r="EY85" s="213"/>
      <c r="EZ85" s="213"/>
      <c r="FA85" s="213"/>
      <c r="FB85" s="213"/>
      <c r="FC85" s="213"/>
      <c r="FD85" s="213"/>
      <c r="FE85" s="213"/>
      <c r="FF85" s="213"/>
      <c r="FG85" s="213"/>
      <c r="FH85" s="213"/>
      <c r="FI85" s="213"/>
      <c r="FJ85" s="213"/>
      <c r="FK85" s="213"/>
      <c r="FL85" s="213"/>
      <c r="FM85" s="213"/>
      <c r="FN85" s="213"/>
      <c r="FO85" s="213"/>
      <c r="FP85" s="213"/>
      <c r="FQ85" s="213"/>
      <c r="FR85" s="213"/>
      <c r="FS85" s="213"/>
      <c r="FT85" s="213"/>
      <c r="FU85" s="213"/>
      <c r="FV85" s="213"/>
      <c r="FW85" s="213"/>
      <c r="FX85" s="213"/>
      <c r="FY85" s="213"/>
      <c r="FZ85" s="213"/>
      <c r="GA85" s="213"/>
      <c r="GB85" s="213"/>
      <c r="GC85" s="213"/>
      <c r="GD85" s="213"/>
      <c r="GE85" s="213"/>
      <c r="GF85" s="213"/>
      <c r="GG85" s="213"/>
      <c r="GH85" s="213"/>
      <c r="GI85" s="213"/>
      <c r="GJ85" s="213"/>
      <c r="GK85" s="213"/>
      <c r="GL85" s="213"/>
      <c r="GM85" s="213"/>
      <c r="GN85" s="213"/>
      <c r="GO85" s="213"/>
      <c r="GP85" s="213"/>
      <c r="GQ85" s="213"/>
      <c r="GR85" s="213"/>
      <c r="GS85" s="213"/>
      <c r="GT85" s="213"/>
      <c r="GU85" s="213"/>
      <c r="GV85" s="213"/>
      <c r="GW85" s="213"/>
      <c r="GX85" s="213"/>
      <c r="GY85" s="213"/>
      <c r="GZ85" s="213"/>
      <c r="HA85" s="213"/>
      <c r="HB85" s="213"/>
      <c r="HC85" s="213"/>
      <c r="HD85" s="213"/>
      <c r="HE85" s="213"/>
      <c r="HF85" s="213"/>
      <c r="HG85" s="213"/>
      <c r="HH85" s="213"/>
      <c r="HI85" s="213"/>
      <c r="HJ85" s="213"/>
      <c r="HK85" s="213"/>
      <c r="HL85" s="213"/>
      <c r="HM85" s="213"/>
      <c r="HN85" s="213"/>
      <c r="HO85" s="213"/>
      <c r="HP85" s="213"/>
      <c r="HQ85" s="213"/>
      <c r="HR85" s="213"/>
      <c r="HS85" s="213"/>
      <c r="HT85" s="213"/>
      <c r="HU85" s="213"/>
      <c r="HV85" s="213"/>
      <c r="HW85" s="213"/>
      <c r="HX85" s="213"/>
      <c r="HY85" s="213"/>
      <c r="HZ85" s="213"/>
      <c r="IA85" s="213"/>
      <c r="IB85" s="213"/>
      <c r="IC85" s="213"/>
      <c r="ID85" s="213"/>
      <c r="IE85" s="213"/>
      <c r="IF85" s="213"/>
      <c r="IG85" s="213"/>
      <c r="IH85" s="213"/>
      <c r="II85" s="213"/>
      <c r="IJ85" s="213"/>
      <c r="IK85" s="213"/>
      <c r="IL85" s="213"/>
      <c r="IM85" s="213"/>
      <c r="IN85" s="213"/>
      <c r="IO85" s="213"/>
      <c r="IP85" s="213"/>
      <c r="IQ85" s="213"/>
      <c r="IR85" s="213"/>
      <c r="IS85" s="213"/>
      <c r="IT85" s="213"/>
      <c r="IU85" s="213"/>
    </row>
    <row r="86" s="204" customFormat="1" ht="15.6">
      <c r="A86" s="206"/>
      <c r="B86" s="383">
        <v>43830</v>
      </c>
      <c r="C86" s="383" t="s">
        <v>425</v>
      </c>
      <c r="D86" s="383" t="s">
        <v>426</v>
      </c>
      <c r="E86" s="383" t="s">
        <v>427</v>
      </c>
      <c r="F86" s="383" t="s">
        <v>428</v>
      </c>
      <c r="G86" s="383" t="s">
        <v>429</v>
      </c>
      <c r="H86" s="383" t="s">
        <v>430</v>
      </c>
      <c r="I86" s="383" t="s">
        <v>431</v>
      </c>
      <c r="J86" s="383">
        <v>43830</v>
      </c>
      <c r="K86" s="383" t="s">
        <v>425</v>
      </c>
      <c r="L86" s="383" t="s">
        <v>426</v>
      </c>
      <c r="M86" s="383" t="s">
        <v>427</v>
      </c>
      <c r="N86" s="383" t="s">
        <v>428</v>
      </c>
      <c r="O86" s="383" t="s">
        <v>429</v>
      </c>
      <c r="P86" s="383" t="s">
        <v>430</v>
      </c>
      <c r="Q86" s="383" t="s">
        <v>431</v>
      </c>
      <c r="R86" s="215" t="s">
        <v>432</v>
      </c>
      <c r="S86" s="215" t="s">
        <v>433</v>
      </c>
      <c r="T86" s="215" t="s">
        <v>434</v>
      </c>
      <c r="U86" s="215" t="s">
        <v>432</v>
      </c>
      <c r="V86" s="215" t="s">
        <v>433</v>
      </c>
      <c r="W86" s="215" t="s">
        <v>434</v>
      </c>
      <c r="X86" s="215" t="str">
        <f>U86</f>
        <v xml:space="preserve">в тыс. руб.</v>
      </c>
      <c r="Y86" s="215" t="str">
        <f>V86</f>
        <v xml:space="preserve">темп прироста, %</v>
      </c>
      <c r="Z86" s="215" t="str">
        <f>W86</f>
        <v xml:space="preserve">в структуре, %</v>
      </c>
      <c r="AA86" s="215" t="str">
        <f>X86</f>
        <v xml:space="preserve">в тыс. руб.</v>
      </c>
      <c r="AB86" s="215" t="str">
        <f>Y86</f>
        <v xml:space="preserve">темп прироста, %</v>
      </c>
      <c r="AC86" s="215" t="str">
        <f>Z86</f>
        <v xml:space="preserve">в структуре, %</v>
      </c>
      <c r="AD86" s="215" t="str">
        <f>AA86</f>
        <v xml:space="preserve">в тыс. руб.</v>
      </c>
      <c r="AE86" s="215" t="str">
        <f>AB86</f>
        <v xml:space="preserve">темп прироста, %</v>
      </c>
      <c r="AF86" s="215" t="str">
        <f>AC86</f>
        <v xml:space="preserve">в структуре, %</v>
      </c>
      <c r="AG86" s="215" t="str">
        <f>AD86</f>
        <v xml:space="preserve">в тыс. руб.</v>
      </c>
      <c r="AH86" s="215" t="str">
        <f>AE86</f>
        <v xml:space="preserve">темп прироста, %</v>
      </c>
      <c r="AI86" s="215" t="str">
        <f>AF86</f>
        <v xml:space="preserve">в структуре, %</v>
      </c>
      <c r="AJ86" s="215" t="str">
        <f>AG86</f>
        <v xml:space="preserve">в тыс. руб.</v>
      </c>
      <c r="AK86" s="215" t="str">
        <f>AH86</f>
        <v xml:space="preserve">темп прироста, %</v>
      </c>
      <c r="AL86" s="215" t="str">
        <f>AI86</f>
        <v xml:space="preserve">в структуре, %</v>
      </c>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c r="CP86" s="213"/>
      <c r="CQ86" s="213"/>
      <c r="CR86" s="213"/>
      <c r="CS86" s="213"/>
      <c r="CT86" s="213"/>
      <c r="CU86" s="213"/>
      <c r="CV86" s="213"/>
      <c r="CW86" s="213"/>
      <c r="CX86" s="213"/>
      <c r="CY86" s="213"/>
      <c r="CZ86" s="213"/>
      <c r="DA86" s="213"/>
      <c r="DB86" s="213"/>
      <c r="DC86" s="213"/>
      <c r="DD86" s="213"/>
      <c r="DE86" s="213"/>
      <c r="DF86" s="213"/>
      <c r="DG86" s="213"/>
      <c r="DH86" s="213"/>
      <c r="DI86" s="213"/>
      <c r="DJ86" s="213"/>
      <c r="DK86" s="213"/>
      <c r="DL86" s="213"/>
      <c r="DM86" s="213"/>
      <c r="DN86" s="213"/>
      <c r="DO86" s="213"/>
      <c r="DP86" s="213"/>
      <c r="DQ86" s="213"/>
      <c r="DR86" s="213"/>
      <c r="DS86" s="213"/>
      <c r="DT86" s="213"/>
      <c r="DU86" s="213"/>
      <c r="DV86" s="213"/>
      <c r="DW86" s="213"/>
      <c r="DX86" s="213"/>
      <c r="DY86" s="213"/>
      <c r="DZ86" s="213"/>
      <c r="EA86" s="213"/>
      <c r="EB86" s="213"/>
      <c r="EC86" s="213"/>
      <c r="ED86" s="213"/>
      <c r="EE86" s="213"/>
      <c r="EF86" s="213"/>
      <c r="EG86" s="213"/>
      <c r="EH86" s="213"/>
      <c r="EI86" s="213"/>
      <c r="EJ86" s="213"/>
      <c r="EK86" s="213"/>
      <c r="EL86" s="213"/>
      <c r="EM86" s="213"/>
      <c r="EN86" s="213"/>
      <c r="EO86" s="213"/>
      <c r="EP86" s="213"/>
      <c r="EQ86" s="213"/>
      <c r="ER86" s="213"/>
      <c r="ES86" s="213"/>
      <c r="ET86" s="213"/>
      <c r="EU86" s="213"/>
      <c r="EV86" s="213"/>
      <c r="EW86" s="213"/>
      <c r="EX86" s="213"/>
      <c r="EY86" s="213"/>
      <c r="EZ86" s="213"/>
      <c r="FA86" s="213"/>
      <c r="FB86" s="213"/>
      <c r="FC86" s="213"/>
      <c r="FD86" s="213"/>
      <c r="FE86" s="213"/>
      <c r="FF86" s="213"/>
      <c r="FG86" s="213"/>
      <c r="FH86" s="213"/>
      <c r="FI86" s="213"/>
      <c r="FJ86" s="213"/>
      <c r="FK86" s="213"/>
      <c r="FL86" s="213"/>
      <c r="FM86" s="213"/>
      <c r="FN86" s="213"/>
      <c r="FO86" s="213"/>
      <c r="FP86" s="213"/>
      <c r="FQ86" s="213"/>
      <c r="FR86" s="213"/>
      <c r="FS86" s="213"/>
      <c r="FT86" s="213"/>
      <c r="FU86" s="213"/>
      <c r="FV86" s="213"/>
      <c r="FW86" s="213"/>
      <c r="FX86" s="213"/>
      <c r="FY86" s="213"/>
      <c r="FZ86" s="213"/>
      <c r="GA86" s="213"/>
      <c r="GB86" s="213"/>
      <c r="GC86" s="213"/>
      <c r="GD86" s="213"/>
      <c r="GE86" s="213"/>
      <c r="GF86" s="213"/>
      <c r="GG86" s="213"/>
      <c r="GH86" s="213"/>
      <c r="GI86" s="213"/>
      <c r="GJ86" s="213"/>
      <c r="GK86" s="213"/>
      <c r="GL86" s="213"/>
      <c r="GM86" s="213"/>
      <c r="GN86" s="213"/>
      <c r="GO86" s="213"/>
      <c r="GP86" s="213"/>
      <c r="GQ86" s="213"/>
      <c r="GR86" s="213"/>
      <c r="GS86" s="213"/>
      <c r="GT86" s="213"/>
      <c r="GU86" s="213"/>
      <c r="GV86" s="213"/>
      <c r="GW86" s="213"/>
      <c r="GX86" s="213"/>
      <c r="GY86" s="213"/>
      <c r="GZ86" s="213"/>
      <c r="HA86" s="213"/>
      <c r="HB86" s="213"/>
      <c r="HC86" s="213"/>
      <c r="HD86" s="213"/>
      <c r="HE86" s="213"/>
      <c r="HF86" s="213"/>
      <c r="HG86" s="213"/>
      <c r="HH86" s="213"/>
      <c r="HI86" s="213"/>
      <c r="HJ86" s="213"/>
      <c r="HK86" s="213"/>
      <c r="HL86" s="213"/>
      <c r="HM86" s="213"/>
      <c r="HN86" s="213"/>
      <c r="HO86" s="213"/>
      <c r="HP86" s="213"/>
      <c r="HQ86" s="213"/>
      <c r="HR86" s="213"/>
      <c r="HS86" s="213"/>
      <c r="HT86" s="213"/>
      <c r="HU86" s="213"/>
      <c r="HV86" s="213"/>
      <c r="HW86" s="213"/>
      <c r="HX86" s="213"/>
      <c r="HY86" s="213"/>
      <c r="HZ86" s="213"/>
      <c r="IA86" s="213"/>
      <c r="IB86" s="213"/>
      <c r="IC86" s="213"/>
      <c r="ID86" s="213"/>
      <c r="IE86" s="213"/>
      <c r="IF86" s="213"/>
      <c r="IG86" s="213"/>
      <c r="IH86" s="213"/>
      <c r="II86" s="213"/>
      <c r="IJ86" s="213"/>
      <c r="IK86" s="213"/>
      <c r="IL86" s="213"/>
      <c r="IM86" s="213"/>
      <c r="IN86" s="213"/>
      <c r="IO86" s="213"/>
      <c r="IP86" s="213"/>
      <c r="IQ86" s="213"/>
      <c r="IR86" s="213"/>
      <c r="IS86" s="213"/>
      <c r="IT86" s="213"/>
      <c r="IU86" s="213"/>
    </row>
    <row r="87" s="409" customFormat="1" ht="15.6">
      <c r="A87" s="411" t="s">
        <v>692</v>
      </c>
      <c r="B87" s="412"/>
      <c r="C87" s="412"/>
      <c r="D87" s="412"/>
      <c r="E87" s="412"/>
      <c r="F87" s="412"/>
      <c r="G87" s="412"/>
      <c r="H87" s="412"/>
      <c r="I87" s="412"/>
      <c r="J87" s="412"/>
      <c r="K87" s="412"/>
      <c r="L87" s="412"/>
      <c r="M87" s="412"/>
      <c r="N87" s="412"/>
      <c r="O87" s="412"/>
      <c r="P87" s="412"/>
      <c r="Q87" s="412"/>
      <c r="R87" s="412"/>
      <c r="S87" s="412"/>
      <c r="T87" s="412"/>
      <c r="U87" s="412"/>
      <c r="V87" s="412"/>
      <c r="W87" s="412"/>
      <c r="X87" s="412"/>
      <c r="Y87" s="412"/>
      <c r="Z87" s="412"/>
      <c r="AA87" s="412"/>
      <c r="AB87" s="412"/>
      <c r="AC87" s="412"/>
      <c r="AD87" s="412"/>
      <c r="AE87" s="412"/>
      <c r="AF87" s="412"/>
      <c r="AG87" s="412"/>
      <c r="AH87" s="412"/>
      <c r="AI87" s="412"/>
      <c r="AJ87" s="412"/>
      <c r="AK87" s="412"/>
      <c r="AL87" s="412"/>
    </row>
    <row r="88" s="409" customFormat="1" ht="15.6">
      <c r="A88" s="411" t="s">
        <v>693</v>
      </c>
      <c r="B88" s="412"/>
      <c r="C88" s="412"/>
      <c r="D88" s="412"/>
      <c r="E88" s="412"/>
      <c r="F88" s="412"/>
      <c r="G88" s="412"/>
      <c r="H88" s="412"/>
      <c r="I88" s="412"/>
      <c r="J88" s="412"/>
      <c r="K88" s="412"/>
      <c r="L88" s="412"/>
      <c r="M88" s="412"/>
      <c r="N88" s="412"/>
      <c r="O88" s="412"/>
      <c r="P88" s="412"/>
      <c r="Q88" s="412"/>
      <c r="R88" s="412"/>
      <c r="S88" s="412"/>
      <c r="T88" s="412"/>
      <c r="U88" s="412"/>
      <c r="V88" s="412"/>
      <c r="W88" s="412"/>
      <c r="X88" s="412"/>
      <c r="Y88" s="412"/>
      <c r="Z88" s="412"/>
      <c r="AA88" s="412"/>
      <c r="AB88" s="412"/>
      <c r="AC88" s="412"/>
      <c r="AD88" s="412"/>
      <c r="AE88" s="412"/>
      <c r="AF88" s="412"/>
      <c r="AG88" s="412"/>
      <c r="AH88" s="412"/>
      <c r="AI88" s="412"/>
      <c r="AJ88" s="412"/>
      <c r="AK88" s="412"/>
      <c r="AL88" s="412"/>
    </row>
    <row r="89" s="409" customFormat="1" ht="15.6">
      <c r="A89" s="411" t="s">
        <v>694</v>
      </c>
      <c r="B89" s="412"/>
      <c r="C89" s="412"/>
      <c r="D89" s="412"/>
      <c r="E89" s="412"/>
      <c r="F89" s="412"/>
      <c r="G89" s="412"/>
      <c r="H89" s="412"/>
      <c r="I89" s="412"/>
      <c r="J89" s="412"/>
      <c r="K89" s="412"/>
      <c r="L89" s="412"/>
      <c r="M89" s="412"/>
      <c r="N89" s="412"/>
      <c r="O89" s="412"/>
      <c r="P89" s="412"/>
      <c r="Q89" s="412"/>
      <c r="R89" s="412"/>
      <c r="S89" s="412"/>
      <c r="T89" s="412"/>
      <c r="U89" s="412"/>
      <c r="V89" s="412"/>
      <c r="W89" s="412"/>
      <c r="X89" s="412"/>
      <c r="Y89" s="412"/>
      <c r="Z89" s="412"/>
      <c r="AA89" s="412"/>
      <c r="AB89" s="412"/>
      <c r="AC89" s="412"/>
      <c r="AD89" s="412"/>
      <c r="AE89" s="412"/>
      <c r="AF89" s="412"/>
      <c r="AG89" s="412"/>
      <c r="AH89" s="412"/>
      <c r="AI89" s="412"/>
      <c r="AJ89" s="412"/>
      <c r="AK89" s="412"/>
      <c r="AL89" s="412"/>
    </row>
    <row r="90" s="409" customFormat="1" ht="15.6">
      <c r="A90" s="413" t="s">
        <v>695</v>
      </c>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2"/>
      <c r="AA90" s="412"/>
      <c r="AB90" s="412"/>
      <c r="AC90" s="412"/>
      <c r="AD90" s="412"/>
      <c r="AE90" s="412"/>
      <c r="AF90" s="412"/>
      <c r="AG90" s="412"/>
      <c r="AH90" s="412"/>
      <c r="AI90" s="412"/>
      <c r="AJ90" s="412"/>
      <c r="AK90" s="412"/>
      <c r="AL90" s="412"/>
    </row>
    <row r="91" s="409" customFormat="1" ht="15.6">
      <c r="A91" s="410"/>
    </row>
    <row r="92" s="409" customFormat="1" ht="15.6">
      <c r="A92" s="410" t="s">
        <v>696</v>
      </c>
    </row>
    <row r="93" s="204" customFormat="1" ht="15.75" customHeight="1">
      <c r="A93" s="206" t="s">
        <v>177</v>
      </c>
      <c r="B93" s="206" t="s">
        <v>421</v>
      </c>
      <c r="C93" s="206"/>
      <c r="D93" s="206"/>
      <c r="E93" s="206"/>
      <c r="F93" s="206"/>
      <c r="G93" s="206"/>
      <c r="H93" s="206"/>
      <c r="I93" s="206"/>
      <c r="J93" s="208" t="s">
        <v>422</v>
      </c>
      <c r="K93" s="208"/>
      <c r="L93" s="208"/>
      <c r="M93" s="208"/>
      <c r="N93" s="208"/>
      <c r="O93" s="208"/>
      <c r="P93" s="208"/>
      <c r="Q93" s="208"/>
      <c r="R93" s="209" t="s">
        <v>423</v>
      </c>
      <c r="S93" s="209"/>
      <c r="T93" s="209"/>
      <c r="U93" s="209"/>
      <c r="V93" s="209"/>
      <c r="W93" s="209"/>
      <c r="X93" s="209"/>
      <c r="Y93" s="209"/>
      <c r="Z93" s="209"/>
      <c r="AA93" s="209"/>
      <c r="AB93" s="209"/>
      <c r="AC93" s="209"/>
      <c r="AD93" s="209"/>
      <c r="AE93" s="209"/>
      <c r="AF93" s="209"/>
      <c r="AG93" s="209"/>
      <c r="AH93" s="209"/>
      <c r="AI93" s="209"/>
      <c r="AJ93" s="209"/>
      <c r="AK93" s="209"/>
      <c r="AL93" s="209"/>
    </row>
    <row r="94" s="204" customFormat="1" ht="15.6" customHeight="1">
      <c r="A94" s="206"/>
      <c r="B94" s="206"/>
      <c r="C94" s="206"/>
      <c r="D94" s="206"/>
      <c r="E94" s="206"/>
      <c r="F94" s="206"/>
      <c r="G94" s="206"/>
      <c r="H94" s="206"/>
      <c r="I94" s="206"/>
      <c r="J94" s="208"/>
      <c r="K94" s="208"/>
      <c r="L94" s="208"/>
      <c r="M94" s="208"/>
      <c r="N94" s="208"/>
      <c r="O94" s="208"/>
      <c r="P94" s="208"/>
      <c r="Q94" s="208"/>
      <c r="R94" s="210" t="s">
        <v>320</v>
      </c>
      <c r="S94" s="210"/>
      <c r="T94" s="210"/>
      <c r="U94" s="211" t="s">
        <v>321</v>
      </c>
      <c r="V94" s="211"/>
      <c r="W94" s="211"/>
      <c r="X94" s="211" t="s">
        <v>322</v>
      </c>
      <c r="Y94" s="211"/>
      <c r="Z94" s="211"/>
      <c r="AA94" s="211" t="s">
        <v>323</v>
      </c>
      <c r="AB94" s="211"/>
      <c r="AC94" s="211"/>
      <c r="AD94" s="211" t="s">
        <v>324</v>
      </c>
      <c r="AE94" s="211"/>
      <c r="AF94" s="211"/>
      <c r="AG94" s="212" t="s">
        <v>325</v>
      </c>
      <c r="AH94" s="212"/>
      <c r="AI94" s="212"/>
      <c r="AJ94" s="212" t="s">
        <v>326</v>
      </c>
      <c r="AK94" s="212"/>
      <c r="AL94" s="212"/>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c r="CP94" s="213"/>
      <c r="CQ94" s="213"/>
      <c r="CR94" s="213"/>
      <c r="CS94" s="213"/>
      <c r="CT94" s="213"/>
      <c r="CU94" s="213"/>
      <c r="CV94" s="213"/>
      <c r="CW94" s="213"/>
      <c r="CX94" s="213"/>
      <c r="CY94" s="213"/>
      <c r="CZ94" s="213"/>
      <c r="DA94" s="213"/>
      <c r="DB94" s="213"/>
      <c r="DC94" s="213"/>
      <c r="DD94" s="213"/>
      <c r="DE94" s="213"/>
      <c r="DF94" s="213"/>
      <c r="DG94" s="213"/>
      <c r="DH94" s="213"/>
      <c r="DI94" s="213"/>
      <c r="DJ94" s="213"/>
      <c r="DK94" s="213"/>
      <c r="DL94" s="213"/>
      <c r="DM94" s="213"/>
      <c r="DN94" s="213"/>
      <c r="DO94" s="213"/>
      <c r="DP94" s="213"/>
      <c r="DQ94" s="213"/>
      <c r="DR94" s="213"/>
      <c r="DS94" s="213"/>
      <c r="DT94" s="213"/>
      <c r="DU94" s="213"/>
      <c r="DV94" s="213"/>
      <c r="DW94" s="213"/>
      <c r="DX94" s="213"/>
      <c r="DY94" s="213"/>
      <c r="DZ94" s="213"/>
      <c r="EA94" s="213"/>
      <c r="EB94" s="213"/>
      <c r="EC94" s="213"/>
      <c r="ED94" s="213"/>
      <c r="EE94" s="213"/>
      <c r="EF94" s="213"/>
      <c r="EG94" s="213"/>
      <c r="EH94" s="213"/>
      <c r="EI94" s="213"/>
      <c r="EJ94" s="213"/>
      <c r="EK94" s="213"/>
      <c r="EL94" s="213"/>
      <c r="EM94" s="213"/>
      <c r="EN94" s="213"/>
      <c r="EO94" s="213"/>
      <c r="EP94" s="213"/>
      <c r="EQ94" s="213"/>
      <c r="ER94" s="213"/>
      <c r="ES94" s="213"/>
      <c r="ET94" s="213"/>
      <c r="EU94" s="213"/>
      <c r="EV94" s="213"/>
      <c r="EW94" s="213"/>
      <c r="EX94" s="213"/>
      <c r="EY94" s="213"/>
      <c r="EZ94" s="213"/>
      <c r="FA94" s="213"/>
      <c r="FB94" s="213"/>
      <c r="FC94" s="213"/>
      <c r="FD94" s="213"/>
      <c r="FE94" s="213"/>
      <c r="FF94" s="213"/>
      <c r="FG94" s="213"/>
      <c r="FH94" s="213"/>
      <c r="FI94" s="213"/>
      <c r="FJ94" s="213"/>
      <c r="FK94" s="213"/>
      <c r="FL94" s="213"/>
      <c r="FM94" s="213"/>
      <c r="FN94" s="213"/>
      <c r="FO94" s="213"/>
      <c r="FP94" s="213"/>
      <c r="FQ94" s="213"/>
      <c r="FR94" s="213"/>
      <c r="FS94" s="213"/>
      <c r="FT94" s="213"/>
      <c r="FU94" s="213"/>
      <c r="FV94" s="213"/>
      <c r="FW94" s="213"/>
      <c r="FX94" s="213"/>
      <c r="FY94" s="213"/>
      <c r="FZ94" s="213"/>
      <c r="GA94" s="213"/>
      <c r="GB94" s="213"/>
      <c r="GC94" s="213"/>
      <c r="GD94" s="213"/>
      <c r="GE94" s="213"/>
      <c r="GF94" s="213"/>
      <c r="GG94" s="213"/>
      <c r="GH94" s="213"/>
      <c r="GI94" s="213"/>
      <c r="GJ94" s="213"/>
      <c r="GK94" s="213"/>
      <c r="GL94" s="213"/>
      <c r="GM94" s="213"/>
      <c r="GN94" s="213"/>
      <c r="GO94" s="213"/>
      <c r="GP94" s="213"/>
      <c r="GQ94" s="213"/>
      <c r="GR94" s="213"/>
      <c r="GS94" s="213"/>
      <c r="GT94" s="213"/>
      <c r="GU94" s="213"/>
      <c r="GV94" s="213"/>
      <c r="GW94" s="213"/>
      <c r="GX94" s="213"/>
      <c r="GY94" s="213"/>
      <c r="GZ94" s="213"/>
      <c r="HA94" s="213"/>
      <c r="HB94" s="213"/>
      <c r="HC94" s="213"/>
      <c r="HD94" s="213"/>
      <c r="HE94" s="213"/>
      <c r="HF94" s="213"/>
      <c r="HG94" s="213"/>
      <c r="HH94" s="213"/>
      <c r="HI94" s="213"/>
      <c r="HJ94" s="213"/>
      <c r="HK94" s="213"/>
      <c r="HL94" s="213"/>
      <c r="HM94" s="213"/>
      <c r="HN94" s="213"/>
      <c r="HO94" s="213"/>
      <c r="HP94" s="213"/>
      <c r="HQ94" s="213"/>
      <c r="HR94" s="213"/>
      <c r="HS94" s="213"/>
      <c r="HT94" s="213"/>
      <c r="HU94" s="213"/>
      <c r="HV94" s="213"/>
      <c r="HW94" s="213"/>
      <c r="HX94" s="213"/>
      <c r="HY94" s="213"/>
      <c r="HZ94" s="213"/>
      <c r="IA94" s="213"/>
      <c r="IB94" s="213"/>
      <c r="IC94" s="213"/>
      <c r="ID94" s="213"/>
      <c r="IE94" s="213"/>
      <c r="IF94" s="213"/>
      <c r="IG94" s="213"/>
      <c r="IH94" s="213"/>
      <c r="II94" s="213"/>
      <c r="IJ94" s="213"/>
      <c r="IK94" s="213"/>
      <c r="IL94" s="213"/>
      <c r="IM94" s="213"/>
      <c r="IN94" s="213"/>
      <c r="IO94" s="213"/>
      <c r="IP94" s="213"/>
      <c r="IQ94" s="213"/>
      <c r="IR94" s="213"/>
      <c r="IS94" s="213"/>
      <c r="IT94" s="213"/>
      <c r="IU94" s="213"/>
    </row>
    <row r="95" s="204" customFormat="1" ht="15.6">
      <c r="A95" s="206"/>
      <c r="B95" s="383">
        <v>43830</v>
      </c>
      <c r="C95" s="383" t="s">
        <v>425</v>
      </c>
      <c r="D95" s="383" t="s">
        <v>426</v>
      </c>
      <c r="E95" s="383" t="s">
        <v>427</v>
      </c>
      <c r="F95" s="383" t="s">
        <v>428</v>
      </c>
      <c r="G95" s="383" t="s">
        <v>429</v>
      </c>
      <c r="H95" s="383" t="s">
        <v>430</v>
      </c>
      <c r="I95" s="383" t="s">
        <v>431</v>
      </c>
      <c r="J95" s="383">
        <v>43830</v>
      </c>
      <c r="K95" s="383" t="s">
        <v>425</v>
      </c>
      <c r="L95" s="383" t="s">
        <v>426</v>
      </c>
      <c r="M95" s="383" t="s">
        <v>427</v>
      </c>
      <c r="N95" s="383" t="s">
        <v>428</v>
      </c>
      <c r="O95" s="383" t="s">
        <v>429</v>
      </c>
      <c r="P95" s="383" t="s">
        <v>430</v>
      </c>
      <c r="Q95" s="383" t="s">
        <v>431</v>
      </c>
      <c r="R95" s="215" t="s">
        <v>432</v>
      </c>
      <c r="S95" s="215" t="s">
        <v>433</v>
      </c>
      <c r="T95" s="215" t="s">
        <v>434</v>
      </c>
      <c r="U95" s="215" t="s">
        <v>432</v>
      </c>
      <c r="V95" s="215" t="s">
        <v>433</v>
      </c>
      <c r="W95" s="215" t="s">
        <v>434</v>
      </c>
      <c r="X95" s="215" t="str">
        <f>U95</f>
        <v xml:space="preserve">в тыс. руб.</v>
      </c>
      <c r="Y95" s="215" t="str">
        <f>V95</f>
        <v xml:space="preserve">темп прироста, %</v>
      </c>
      <c r="Z95" s="215" t="str">
        <f>W95</f>
        <v xml:space="preserve">в структуре, %</v>
      </c>
      <c r="AA95" s="215" t="str">
        <f>X95</f>
        <v xml:space="preserve">в тыс. руб.</v>
      </c>
      <c r="AB95" s="215" t="str">
        <f>Y95</f>
        <v xml:space="preserve">темп прироста, %</v>
      </c>
      <c r="AC95" s="215" t="str">
        <f>Z95</f>
        <v xml:space="preserve">в структуре, %</v>
      </c>
      <c r="AD95" s="215" t="str">
        <f>AA95</f>
        <v xml:space="preserve">в тыс. руб.</v>
      </c>
      <c r="AE95" s="215" t="str">
        <f>AB95</f>
        <v xml:space="preserve">темп прироста, %</v>
      </c>
      <c r="AF95" s="215" t="str">
        <f>AC95</f>
        <v xml:space="preserve">в структуре, %</v>
      </c>
      <c r="AG95" s="215" t="str">
        <f>AD95</f>
        <v xml:space="preserve">в тыс. руб.</v>
      </c>
      <c r="AH95" s="215" t="str">
        <f>AE95</f>
        <v xml:space="preserve">темп прироста, %</v>
      </c>
      <c r="AI95" s="215" t="str">
        <f>AF95</f>
        <v xml:space="preserve">в структуре, %</v>
      </c>
      <c r="AJ95" s="215" t="str">
        <f>AG95</f>
        <v xml:space="preserve">в тыс. руб.</v>
      </c>
      <c r="AK95" s="215" t="str">
        <f>AH95</f>
        <v xml:space="preserve">темп прироста, %</v>
      </c>
      <c r="AL95" s="215" t="str">
        <f>AI95</f>
        <v xml:space="preserve">в структуре, %</v>
      </c>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c r="CP95" s="213"/>
      <c r="CQ95" s="213"/>
      <c r="CR95" s="213"/>
      <c r="CS95" s="213"/>
      <c r="CT95" s="213"/>
      <c r="CU95" s="213"/>
      <c r="CV95" s="213"/>
      <c r="CW95" s="213"/>
      <c r="CX95" s="213"/>
      <c r="CY95" s="213"/>
      <c r="CZ95" s="213"/>
      <c r="DA95" s="213"/>
      <c r="DB95" s="213"/>
      <c r="DC95" s="213"/>
      <c r="DD95" s="213"/>
      <c r="DE95" s="213"/>
      <c r="DF95" s="213"/>
      <c r="DG95" s="213"/>
      <c r="DH95" s="213"/>
      <c r="DI95" s="213"/>
      <c r="DJ95" s="213"/>
      <c r="DK95" s="213"/>
      <c r="DL95" s="213"/>
      <c r="DM95" s="213"/>
      <c r="DN95" s="213"/>
      <c r="DO95" s="213"/>
      <c r="DP95" s="213"/>
      <c r="DQ95" s="213"/>
      <c r="DR95" s="213"/>
      <c r="DS95" s="213"/>
      <c r="DT95" s="213"/>
      <c r="DU95" s="213"/>
      <c r="DV95" s="213"/>
      <c r="DW95" s="213"/>
      <c r="DX95" s="213"/>
      <c r="DY95" s="213"/>
      <c r="DZ95" s="213"/>
      <c r="EA95" s="213"/>
      <c r="EB95" s="213"/>
      <c r="EC95" s="213"/>
      <c r="ED95" s="213"/>
      <c r="EE95" s="213"/>
      <c r="EF95" s="213"/>
      <c r="EG95" s="213"/>
      <c r="EH95" s="213"/>
      <c r="EI95" s="213"/>
      <c r="EJ95" s="213"/>
      <c r="EK95" s="213"/>
      <c r="EL95" s="213"/>
      <c r="EM95" s="213"/>
      <c r="EN95" s="213"/>
      <c r="EO95" s="213"/>
      <c r="EP95" s="213"/>
      <c r="EQ95" s="213"/>
      <c r="ER95" s="213"/>
      <c r="ES95" s="213"/>
      <c r="ET95" s="213"/>
      <c r="EU95" s="213"/>
      <c r="EV95" s="213"/>
      <c r="EW95" s="213"/>
      <c r="EX95" s="213"/>
      <c r="EY95" s="213"/>
      <c r="EZ95" s="213"/>
      <c r="FA95" s="213"/>
      <c r="FB95" s="213"/>
      <c r="FC95" s="213"/>
      <c r="FD95" s="213"/>
      <c r="FE95" s="213"/>
      <c r="FF95" s="213"/>
      <c r="FG95" s="213"/>
      <c r="FH95" s="213"/>
      <c r="FI95" s="213"/>
      <c r="FJ95" s="213"/>
      <c r="FK95" s="213"/>
      <c r="FL95" s="213"/>
      <c r="FM95" s="213"/>
      <c r="FN95" s="213"/>
      <c r="FO95" s="213"/>
      <c r="FP95" s="213"/>
      <c r="FQ95" s="213"/>
      <c r="FR95" s="213"/>
      <c r="FS95" s="213"/>
      <c r="FT95" s="213"/>
      <c r="FU95" s="213"/>
      <c r="FV95" s="213"/>
      <c r="FW95" s="213"/>
      <c r="FX95" s="213"/>
      <c r="FY95" s="213"/>
      <c r="FZ95" s="213"/>
      <c r="GA95" s="213"/>
      <c r="GB95" s="213"/>
      <c r="GC95" s="213"/>
      <c r="GD95" s="213"/>
      <c r="GE95" s="213"/>
      <c r="GF95" s="213"/>
      <c r="GG95" s="213"/>
      <c r="GH95" s="213"/>
      <c r="GI95" s="213"/>
      <c r="GJ95" s="213"/>
      <c r="GK95" s="213"/>
      <c r="GL95" s="213"/>
      <c r="GM95" s="213"/>
      <c r="GN95" s="213"/>
      <c r="GO95" s="213"/>
      <c r="GP95" s="213"/>
      <c r="GQ95" s="213"/>
      <c r="GR95" s="213"/>
      <c r="GS95" s="213"/>
      <c r="GT95" s="213"/>
      <c r="GU95" s="213"/>
      <c r="GV95" s="213"/>
      <c r="GW95" s="213"/>
      <c r="GX95" s="213"/>
      <c r="GY95" s="213"/>
      <c r="GZ95" s="213"/>
      <c r="HA95" s="213"/>
      <c r="HB95" s="213"/>
      <c r="HC95" s="213"/>
      <c r="HD95" s="213"/>
      <c r="HE95" s="213"/>
      <c r="HF95" s="213"/>
      <c r="HG95" s="213"/>
      <c r="HH95" s="213"/>
      <c r="HI95" s="213"/>
      <c r="HJ95" s="213"/>
      <c r="HK95" s="213"/>
      <c r="HL95" s="213"/>
      <c r="HM95" s="213"/>
      <c r="HN95" s="213"/>
      <c r="HO95" s="213"/>
      <c r="HP95" s="213"/>
      <c r="HQ95" s="213"/>
      <c r="HR95" s="213"/>
      <c r="HS95" s="213"/>
      <c r="HT95" s="213"/>
      <c r="HU95" s="213"/>
      <c r="HV95" s="213"/>
      <c r="HW95" s="213"/>
      <c r="HX95" s="213"/>
      <c r="HY95" s="213"/>
      <c r="HZ95" s="213"/>
      <c r="IA95" s="213"/>
      <c r="IB95" s="213"/>
      <c r="IC95" s="213"/>
      <c r="ID95" s="213"/>
      <c r="IE95" s="213"/>
      <c r="IF95" s="213"/>
      <c r="IG95" s="213"/>
      <c r="IH95" s="213"/>
      <c r="II95" s="213"/>
      <c r="IJ95" s="213"/>
      <c r="IK95" s="213"/>
      <c r="IL95" s="213"/>
      <c r="IM95" s="213"/>
      <c r="IN95" s="213"/>
      <c r="IO95" s="213"/>
      <c r="IP95" s="213"/>
      <c r="IQ95" s="213"/>
      <c r="IR95" s="213"/>
      <c r="IS95" s="213"/>
      <c r="IT95" s="213"/>
      <c r="IU95" s="213"/>
    </row>
    <row r="96" s="409" customFormat="1" ht="15.6">
      <c r="A96" s="411" t="s">
        <v>692</v>
      </c>
      <c r="B96" s="412"/>
      <c r="C96" s="412"/>
      <c r="D96" s="412"/>
      <c r="E96" s="412"/>
      <c r="F96" s="412"/>
      <c r="G96" s="412"/>
      <c r="H96" s="412"/>
      <c r="I96" s="412"/>
      <c r="J96" s="412"/>
      <c r="K96" s="412"/>
      <c r="L96" s="412"/>
      <c r="M96" s="412"/>
      <c r="N96" s="412"/>
      <c r="O96" s="412"/>
      <c r="P96" s="412"/>
      <c r="Q96" s="412"/>
      <c r="R96" s="412"/>
      <c r="S96" s="412"/>
      <c r="T96" s="412"/>
      <c r="U96" s="412"/>
      <c r="V96" s="412"/>
      <c r="W96" s="412"/>
      <c r="X96" s="412"/>
      <c r="Y96" s="412"/>
      <c r="Z96" s="412"/>
      <c r="AA96" s="412"/>
      <c r="AB96" s="412"/>
      <c r="AC96" s="412"/>
      <c r="AD96" s="412"/>
      <c r="AE96" s="412"/>
      <c r="AF96" s="412"/>
      <c r="AG96" s="412"/>
      <c r="AH96" s="412"/>
      <c r="AI96" s="412"/>
      <c r="AJ96" s="412"/>
      <c r="AK96" s="412"/>
      <c r="AL96" s="412"/>
    </row>
    <row r="97" s="409" customFormat="1" ht="15.6">
      <c r="A97" s="411" t="s">
        <v>693</v>
      </c>
      <c r="B97" s="412"/>
      <c r="C97" s="412"/>
      <c r="D97" s="412"/>
      <c r="E97" s="412"/>
      <c r="F97" s="412"/>
      <c r="G97" s="412"/>
      <c r="H97" s="412"/>
      <c r="I97" s="412"/>
      <c r="J97" s="412"/>
      <c r="K97" s="412"/>
      <c r="L97" s="412"/>
      <c r="M97" s="412"/>
      <c r="N97" s="412"/>
      <c r="O97" s="412"/>
      <c r="P97" s="412"/>
      <c r="Q97" s="412"/>
      <c r="R97" s="412"/>
      <c r="S97" s="412"/>
      <c r="T97" s="412"/>
      <c r="U97" s="412"/>
      <c r="V97" s="412"/>
      <c r="W97" s="412"/>
      <c r="X97" s="412"/>
      <c r="Y97" s="412"/>
      <c r="Z97" s="412"/>
      <c r="AA97" s="412"/>
      <c r="AB97" s="412"/>
      <c r="AC97" s="412"/>
      <c r="AD97" s="412"/>
      <c r="AE97" s="412"/>
      <c r="AF97" s="412"/>
      <c r="AG97" s="412"/>
      <c r="AH97" s="412"/>
      <c r="AI97" s="412"/>
      <c r="AJ97" s="412"/>
      <c r="AK97" s="412"/>
      <c r="AL97" s="412"/>
    </row>
    <row r="98" s="409" customFormat="1" ht="15.6">
      <c r="A98" s="413" t="s">
        <v>697</v>
      </c>
      <c r="B98" s="412"/>
      <c r="C98" s="412"/>
      <c r="D98" s="412"/>
      <c r="E98" s="412"/>
      <c r="F98" s="412"/>
      <c r="G98" s="412"/>
      <c r="H98" s="412"/>
      <c r="I98" s="412"/>
      <c r="J98" s="412"/>
      <c r="K98" s="412"/>
      <c r="L98" s="412"/>
      <c r="M98" s="412"/>
      <c r="N98" s="412"/>
      <c r="O98" s="412"/>
      <c r="P98" s="412"/>
      <c r="Q98" s="412"/>
      <c r="R98" s="412"/>
      <c r="S98" s="412"/>
      <c r="T98" s="412"/>
      <c r="U98" s="412"/>
      <c r="V98" s="412"/>
      <c r="W98" s="412"/>
      <c r="X98" s="412"/>
      <c r="Y98" s="412"/>
      <c r="Z98" s="412"/>
      <c r="AA98" s="412"/>
      <c r="AB98" s="412"/>
      <c r="AC98" s="412"/>
      <c r="AD98" s="412"/>
      <c r="AE98" s="412"/>
      <c r="AF98" s="412"/>
      <c r="AG98" s="412"/>
      <c r="AH98" s="412"/>
      <c r="AI98" s="412"/>
      <c r="AJ98" s="412"/>
      <c r="AK98" s="412"/>
      <c r="AL98" s="412"/>
    </row>
    <row r="99" s="409" customFormat="1" ht="15.6">
      <c r="A99" s="410"/>
    </row>
    <row r="100" s="409" customFormat="1" ht="15.6">
      <c r="A100" s="410" t="s">
        <v>698</v>
      </c>
    </row>
    <row r="101" s="204" customFormat="1" ht="15.75" customHeight="1">
      <c r="A101" s="206" t="s">
        <v>177</v>
      </c>
      <c r="B101" s="206" t="s">
        <v>421</v>
      </c>
      <c r="C101" s="206"/>
      <c r="D101" s="206"/>
      <c r="E101" s="206"/>
      <c r="F101" s="206"/>
      <c r="G101" s="206"/>
      <c r="H101" s="206"/>
      <c r="I101" s="206"/>
      <c r="J101" s="208" t="s">
        <v>422</v>
      </c>
      <c r="K101" s="208"/>
      <c r="L101" s="208"/>
      <c r="M101" s="208"/>
      <c r="N101" s="208"/>
      <c r="O101" s="208"/>
      <c r="P101" s="208"/>
      <c r="Q101" s="208"/>
      <c r="R101" s="209" t="s">
        <v>423</v>
      </c>
      <c r="S101" s="209"/>
      <c r="T101" s="209"/>
      <c r="U101" s="209"/>
      <c r="V101" s="209"/>
      <c r="W101" s="209"/>
      <c r="X101" s="209"/>
      <c r="Y101" s="209"/>
      <c r="Z101" s="209"/>
      <c r="AA101" s="209"/>
      <c r="AB101" s="209"/>
      <c r="AC101" s="209"/>
      <c r="AD101" s="209"/>
      <c r="AE101" s="209"/>
      <c r="AF101" s="209"/>
      <c r="AG101" s="209"/>
      <c r="AH101" s="209"/>
      <c r="AI101" s="209"/>
      <c r="AJ101" s="209"/>
      <c r="AK101" s="209"/>
      <c r="AL101" s="209"/>
    </row>
    <row r="102" s="204" customFormat="1" ht="15.6" customHeight="1">
      <c r="A102" s="206"/>
      <c r="B102" s="206"/>
      <c r="C102" s="206"/>
      <c r="D102" s="206"/>
      <c r="E102" s="206"/>
      <c r="F102" s="206"/>
      <c r="G102" s="206"/>
      <c r="H102" s="206"/>
      <c r="I102" s="206"/>
      <c r="J102" s="208"/>
      <c r="K102" s="208"/>
      <c r="L102" s="208"/>
      <c r="M102" s="208"/>
      <c r="N102" s="208"/>
      <c r="O102" s="208"/>
      <c r="P102" s="208"/>
      <c r="Q102" s="208"/>
      <c r="R102" s="210" t="s">
        <v>320</v>
      </c>
      <c r="S102" s="210"/>
      <c r="T102" s="210"/>
      <c r="U102" s="211" t="s">
        <v>321</v>
      </c>
      <c r="V102" s="211"/>
      <c r="W102" s="211"/>
      <c r="X102" s="211" t="s">
        <v>322</v>
      </c>
      <c r="Y102" s="211"/>
      <c r="Z102" s="211"/>
      <c r="AA102" s="211" t="s">
        <v>323</v>
      </c>
      <c r="AB102" s="211"/>
      <c r="AC102" s="211"/>
      <c r="AD102" s="211" t="s">
        <v>324</v>
      </c>
      <c r="AE102" s="211"/>
      <c r="AF102" s="211"/>
      <c r="AG102" s="212" t="s">
        <v>325</v>
      </c>
      <c r="AH102" s="212"/>
      <c r="AI102" s="212"/>
      <c r="AJ102" s="212" t="s">
        <v>326</v>
      </c>
      <c r="AK102" s="212"/>
      <c r="AL102" s="212"/>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c r="CP102" s="213"/>
      <c r="CQ102" s="213"/>
      <c r="CR102" s="213"/>
      <c r="CS102" s="213"/>
      <c r="CT102" s="213"/>
      <c r="CU102" s="213"/>
      <c r="CV102" s="213"/>
      <c r="CW102" s="213"/>
      <c r="CX102" s="213"/>
      <c r="CY102" s="213"/>
      <c r="CZ102" s="213"/>
      <c r="DA102" s="213"/>
      <c r="DB102" s="213"/>
      <c r="DC102" s="213"/>
      <c r="DD102" s="213"/>
      <c r="DE102" s="213"/>
      <c r="DF102" s="213"/>
      <c r="DG102" s="213"/>
      <c r="DH102" s="213"/>
      <c r="DI102" s="213"/>
      <c r="DJ102" s="213"/>
      <c r="DK102" s="213"/>
      <c r="DL102" s="213"/>
      <c r="DM102" s="213"/>
      <c r="DN102" s="213"/>
      <c r="DO102" s="213"/>
      <c r="DP102" s="213"/>
      <c r="DQ102" s="213"/>
      <c r="DR102" s="213"/>
      <c r="DS102" s="213"/>
      <c r="DT102" s="213"/>
      <c r="DU102" s="213"/>
      <c r="DV102" s="213"/>
      <c r="DW102" s="213"/>
      <c r="DX102" s="213"/>
      <c r="DY102" s="213"/>
      <c r="DZ102" s="213"/>
      <c r="EA102" s="213"/>
      <c r="EB102" s="213"/>
      <c r="EC102" s="213"/>
      <c r="ED102" s="213"/>
      <c r="EE102" s="213"/>
      <c r="EF102" s="213"/>
      <c r="EG102" s="213"/>
      <c r="EH102" s="213"/>
      <c r="EI102" s="213"/>
      <c r="EJ102" s="213"/>
      <c r="EK102" s="213"/>
      <c r="EL102" s="213"/>
      <c r="EM102" s="213"/>
      <c r="EN102" s="213"/>
      <c r="EO102" s="213"/>
      <c r="EP102" s="213"/>
      <c r="EQ102" s="213"/>
      <c r="ER102" s="213"/>
      <c r="ES102" s="213"/>
      <c r="ET102" s="213"/>
      <c r="EU102" s="213"/>
      <c r="EV102" s="213"/>
      <c r="EW102" s="213"/>
      <c r="EX102" s="213"/>
      <c r="EY102" s="213"/>
      <c r="EZ102" s="213"/>
      <c r="FA102" s="213"/>
      <c r="FB102" s="213"/>
      <c r="FC102" s="213"/>
      <c r="FD102" s="213"/>
      <c r="FE102" s="213"/>
      <c r="FF102" s="213"/>
      <c r="FG102" s="213"/>
      <c r="FH102" s="213"/>
      <c r="FI102" s="213"/>
      <c r="FJ102" s="213"/>
      <c r="FK102" s="213"/>
      <c r="FL102" s="213"/>
      <c r="FM102" s="213"/>
      <c r="FN102" s="213"/>
      <c r="FO102" s="213"/>
      <c r="FP102" s="213"/>
      <c r="FQ102" s="213"/>
      <c r="FR102" s="213"/>
      <c r="FS102" s="213"/>
      <c r="FT102" s="213"/>
      <c r="FU102" s="213"/>
      <c r="FV102" s="213"/>
      <c r="FW102" s="213"/>
      <c r="FX102" s="213"/>
      <c r="FY102" s="213"/>
      <c r="FZ102" s="213"/>
      <c r="GA102" s="213"/>
      <c r="GB102" s="213"/>
      <c r="GC102" s="213"/>
      <c r="GD102" s="213"/>
      <c r="GE102" s="213"/>
      <c r="GF102" s="213"/>
      <c r="GG102" s="213"/>
      <c r="GH102" s="213"/>
      <c r="GI102" s="213"/>
      <c r="GJ102" s="213"/>
      <c r="GK102" s="213"/>
      <c r="GL102" s="213"/>
      <c r="GM102" s="213"/>
      <c r="GN102" s="213"/>
      <c r="GO102" s="213"/>
      <c r="GP102" s="213"/>
      <c r="GQ102" s="213"/>
      <c r="GR102" s="213"/>
      <c r="GS102" s="213"/>
      <c r="GT102" s="213"/>
      <c r="GU102" s="213"/>
      <c r="GV102" s="213"/>
      <c r="GW102" s="213"/>
      <c r="GX102" s="213"/>
      <c r="GY102" s="213"/>
      <c r="GZ102" s="213"/>
      <c r="HA102" s="213"/>
      <c r="HB102" s="213"/>
      <c r="HC102" s="213"/>
      <c r="HD102" s="213"/>
      <c r="HE102" s="213"/>
      <c r="HF102" s="213"/>
      <c r="HG102" s="213"/>
      <c r="HH102" s="213"/>
      <c r="HI102" s="213"/>
      <c r="HJ102" s="213"/>
      <c r="HK102" s="213"/>
      <c r="HL102" s="213"/>
      <c r="HM102" s="213"/>
      <c r="HN102" s="213"/>
      <c r="HO102" s="213"/>
      <c r="HP102" s="213"/>
      <c r="HQ102" s="213"/>
      <c r="HR102" s="213"/>
      <c r="HS102" s="213"/>
      <c r="HT102" s="213"/>
      <c r="HU102" s="213"/>
      <c r="HV102" s="213"/>
      <c r="HW102" s="213"/>
      <c r="HX102" s="213"/>
      <c r="HY102" s="213"/>
      <c r="HZ102" s="213"/>
      <c r="IA102" s="213"/>
      <c r="IB102" s="213"/>
      <c r="IC102" s="213"/>
      <c r="ID102" s="213"/>
      <c r="IE102" s="213"/>
      <c r="IF102" s="213"/>
      <c r="IG102" s="213"/>
      <c r="IH102" s="213"/>
      <c r="II102" s="213"/>
      <c r="IJ102" s="213"/>
      <c r="IK102" s="213"/>
      <c r="IL102" s="213"/>
      <c r="IM102" s="213"/>
      <c r="IN102" s="213"/>
      <c r="IO102" s="213"/>
      <c r="IP102" s="213"/>
      <c r="IQ102" s="213"/>
      <c r="IR102" s="213"/>
      <c r="IS102" s="213"/>
      <c r="IT102" s="213"/>
      <c r="IU102" s="213"/>
    </row>
    <row r="103" s="204" customFormat="1" ht="15.6">
      <c r="A103" s="206"/>
      <c r="B103" s="383">
        <v>43830</v>
      </c>
      <c r="C103" s="383" t="s">
        <v>425</v>
      </c>
      <c r="D103" s="383" t="s">
        <v>426</v>
      </c>
      <c r="E103" s="383" t="s">
        <v>427</v>
      </c>
      <c r="F103" s="383" t="s">
        <v>428</v>
      </c>
      <c r="G103" s="383" t="s">
        <v>429</v>
      </c>
      <c r="H103" s="383" t="s">
        <v>430</v>
      </c>
      <c r="I103" s="383" t="s">
        <v>431</v>
      </c>
      <c r="J103" s="383">
        <v>43830</v>
      </c>
      <c r="K103" s="383" t="s">
        <v>425</v>
      </c>
      <c r="L103" s="383" t="s">
        <v>426</v>
      </c>
      <c r="M103" s="383" t="s">
        <v>427</v>
      </c>
      <c r="N103" s="383" t="s">
        <v>428</v>
      </c>
      <c r="O103" s="383" t="s">
        <v>429</v>
      </c>
      <c r="P103" s="383" t="s">
        <v>430</v>
      </c>
      <c r="Q103" s="383" t="s">
        <v>431</v>
      </c>
      <c r="R103" s="215" t="s">
        <v>432</v>
      </c>
      <c r="S103" s="215" t="s">
        <v>433</v>
      </c>
      <c r="T103" s="215" t="s">
        <v>434</v>
      </c>
      <c r="U103" s="215" t="s">
        <v>432</v>
      </c>
      <c r="V103" s="215" t="s">
        <v>433</v>
      </c>
      <c r="W103" s="215" t="s">
        <v>434</v>
      </c>
      <c r="X103" s="215" t="str">
        <f>U103</f>
        <v xml:space="preserve">в тыс. руб.</v>
      </c>
      <c r="Y103" s="215" t="str">
        <f>V103</f>
        <v xml:space="preserve">темп прироста, %</v>
      </c>
      <c r="Z103" s="215" t="str">
        <f>W103</f>
        <v xml:space="preserve">в структуре, %</v>
      </c>
      <c r="AA103" s="215" t="str">
        <f>X103</f>
        <v xml:space="preserve">в тыс. руб.</v>
      </c>
      <c r="AB103" s="215" t="str">
        <f>Y103</f>
        <v xml:space="preserve">темп прироста, %</v>
      </c>
      <c r="AC103" s="215" t="str">
        <f>Z103</f>
        <v xml:space="preserve">в структуре, %</v>
      </c>
      <c r="AD103" s="215" t="str">
        <f>AA103</f>
        <v xml:space="preserve">в тыс. руб.</v>
      </c>
      <c r="AE103" s="215" t="str">
        <f>AB103</f>
        <v xml:space="preserve">темп прироста, %</v>
      </c>
      <c r="AF103" s="215" t="str">
        <f>AC103</f>
        <v xml:space="preserve">в структуре, %</v>
      </c>
      <c r="AG103" s="215" t="str">
        <f>AD103</f>
        <v xml:space="preserve">в тыс. руб.</v>
      </c>
      <c r="AH103" s="215" t="str">
        <f>AE103</f>
        <v xml:space="preserve">темп прироста, %</v>
      </c>
      <c r="AI103" s="215" t="str">
        <f>AF103</f>
        <v xml:space="preserve">в структуре, %</v>
      </c>
      <c r="AJ103" s="215" t="str">
        <f>AG103</f>
        <v xml:space="preserve">в тыс. руб.</v>
      </c>
      <c r="AK103" s="215" t="str">
        <f>AH103</f>
        <v xml:space="preserve">темп прироста, %</v>
      </c>
      <c r="AL103" s="215" t="str">
        <f>AI103</f>
        <v xml:space="preserve">в структуре, %</v>
      </c>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c r="CP103" s="213"/>
      <c r="CQ103" s="213"/>
      <c r="CR103" s="213"/>
      <c r="CS103" s="213"/>
      <c r="CT103" s="213"/>
      <c r="CU103" s="213"/>
      <c r="CV103" s="213"/>
      <c r="CW103" s="213"/>
      <c r="CX103" s="213"/>
      <c r="CY103" s="213"/>
      <c r="CZ103" s="213"/>
      <c r="DA103" s="213"/>
      <c r="DB103" s="213"/>
      <c r="DC103" s="213"/>
      <c r="DD103" s="213"/>
      <c r="DE103" s="213"/>
      <c r="DF103" s="213"/>
      <c r="DG103" s="213"/>
      <c r="DH103" s="213"/>
      <c r="DI103" s="213"/>
      <c r="DJ103" s="213"/>
      <c r="DK103" s="213"/>
      <c r="DL103" s="213"/>
      <c r="DM103" s="213"/>
      <c r="DN103" s="213"/>
      <c r="DO103" s="213"/>
      <c r="DP103" s="213"/>
      <c r="DQ103" s="213"/>
      <c r="DR103" s="213"/>
      <c r="DS103" s="213"/>
      <c r="DT103" s="213"/>
      <c r="DU103" s="213"/>
      <c r="DV103" s="213"/>
      <c r="DW103" s="213"/>
      <c r="DX103" s="213"/>
      <c r="DY103" s="213"/>
      <c r="DZ103" s="213"/>
      <c r="EA103" s="213"/>
      <c r="EB103" s="213"/>
      <c r="EC103" s="213"/>
      <c r="ED103" s="213"/>
      <c r="EE103" s="213"/>
      <c r="EF103" s="213"/>
      <c r="EG103" s="213"/>
      <c r="EH103" s="213"/>
      <c r="EI103" s="213"/>
      <c r="EJ103" s="213"/>
      <c r="EK103" s="213"/>
      <c r="EL103" s="213"/>
      <c r="EM103" s="213"/>
      <c r="EN103" s="213"/>
      <c r="EO103" s="213"/>
      <c r="EP103" s="213"/>
      <c r="EQ103" s="213"/>
      <c r="ER103" s="213"/>
      <c r="ES103" s="213"/>
      <c r="ET103" s="213"/>
      <c r="EU103" s="213"/>
      <c r="EV103" s="213"/>
      <c r="EW103" s="213"/>
      <c r="EX103" s="213"/>
      <c r="EY103" s="213"/>
      <c r="EZ103" s="213"/>
      <c r="FA103" s="213"/>
      <c r="FB103" s="213"/>
      <c r="FC103" s="213"/>
      <c r="FD103" s="213"/>
      <c r="FE103" s="213"/>
      <c r="FF103" s="213"/>
      <c r="FG103" s="213"/>
      <c r="FH103" s="213"/>
      <c r="FI103" s="213"/>
      <c r="FJ103" s="213"/>
      <c r="FK103" s="213"/>
      <c r="FL103" s="213"/>
      <c r="FM103" s="213"/>
      <c r="FN103" s="213"/>
      <c r="FO103" s="213"/>
      <c r="FP103" s="213"/>
      <c r="FQ103" s="213"/>
      <c r="FR103" s="213"/>
      <c r="FS103" s="213"/>
      <c r="FT103" s="213"/>
      <c r="FU103" s="213"/>
      <c r="FV103" s="213"/>
      <c r="FW103" s="213"/>
      <c r="FX103" s="213"/>
      <c r="FY103" s="213"/>
      <c r="FZ103" s="213"/>
      <c r="GA103" s="213"/>
      <c r="GB103" s="213"/>
      <c r="GC103" s="213"/>
      <c r="GD103" s="213"/>
      <c r="GE103" s="213"/>
      <c r="GF103" s="213"/>
      <c r="GG103" s="213"/>
      <c r="GH103" s="213"/>
      <c r="GI103" s="213"/>
      <c r="GJ103" s="213"/>
      <c r="GK103" s="213"/>
      <c r="GL103" s="213"/>
      <c r="GM103" s="213"/>
      <c r="GN103" s="213"/>
      <c r="GO103" s="213"/>
      <c r="GP103" s="213"/>
      <c r="GQ103" s="213"/>
      <c r="GR103" s="213"/>
      <c r="GS103" s="213"/>
      <c r="GT103" s="213"/>
      <c r="GU103" s="213"/>
      <c r="GV103" s="213"/>
      <c r="GW103" s="213"/>
      <c r="GX103" s="213"/>
      <c r="GY103" s="213"/>
      <c r="GZ103" s="213"/>
      <c r="HA103" s="213"/>
      <c r="HB103" s="213"/>
      <c r="HC103" s="213"/>
      <c r="HD103" s="213"/>
      <c r="HE103" s="213"/>
      <c r="HF103" s="213"/>
      <c r="HG103" s="213"/>
      <c r="HH103" s="213"/>
      <c r="HI103" s="213"/>
      <c r="HJ103" s="213"/>
      <c r="HK103" s="213"/>
      <c r="HL103" s="213"/>
      <c r="HM103" s="213"/>
      <c r="HN103" s="213"/>
      <c r="HO103" s="213"/>
      <c r="HP103" s="213"/>
      <c r="HQ103" s="213"/>
      <c r="HR103" s="213"/>
      <c r="HS103" s="213"/>
      <c r="HT103" s="213"/>
      <c r="HU103" s="213"/>
      <c r="HV103" s="213"/>
      <c r="HW103" s="213"/>
      <c r="HX103" s="213"/>
      <c r="HY103" s="213"/>
      <c r="HZ103" s="213"/>
      <c r="IA103" s="213"/>
      <c r="IB103" s="213"/>
      <c r="IC103" s="213"/>
      <c r="ID103" s="213"/>
      <c r="IE103" s="213"/>
      <c r="IF103" s="213"/>
      <c r="IG103" s="213"/>
      <c r="IH103" s="213"/>
      <c r="II103" s="213"/>
      <c r="IJ103" s="213"/>
      <c r="IK103" s="213"/>
      <c r="IL103" s="213"/>
      <c r="IM103" s="213"/>
      <c r="IN103" s="213"/>
      <c r="IO103" s="213"/>
      <c r="IP103" s="213"/>
      <c r="IQ103" s="213"/>
      <c r="IR103" s="213"/>
      <c r="IS103" s="213"/>
      <c r="IT103" s="213"/>
      <c r="IU103" s="213"/>
    </row>
    <row r="104" s="409" customFormat="1" ht="15.6">
      <c r="A104" s="411" t="s">
        <v>699</v>
      </c>
      <c r="B104" s="412"/>
      <c r="C104" s="412"/>
      <c r="D104" s="412"/>
      <c r="E104" s="412"/>
      <c r="F104" s="412"/>
      <c r="G104" s="412"/>
      <c r="H104" s="412"/>
      <c r="I104" s="412"/>
      <c r="J104" s="412"/>
      <c r="K104" s="412"/>
      <c r="L104" s="412"/>
      <c r="M104" s="412"/>
      <c r="N104" s="412"/>
      <c r="O104" s="412"/>
      <c r="P104" s="412"/>
      <c r="Q104" s="412"/>
      <c r="R104" s="412"/>
      <c r="S104" s="412"/>
      <c r="T104" s="412"/>
      <c r="U104" s="412"/>
      <c r="V104" s="412"/>
      <c r="W104" s="412"/>
      <c r="X104" s="412"/>
      <c r="Y104" s="412"/>
      <c r="Z104" s="412"/>
      <c r="AA104" s="412"/>
      <c r="AB104" s="412"/>
      <c r="AC104" s="412"/>
      <c r="AD104" s="412"/>
      <c r="AE104" s="412"/>
      <c r="AF104" s="412"/>
      <c r="AG104" s="412"/>
      <c r="AH104" s="412"/>
      <c r="AI104" s="412"/>
      <c r="AJ104" s="412"/>
      <c r="AK104" s="412"/>
      <c r="AL104" s="412"/>
    </row>
    <row r="105" s="409" customFormat="1" ht="15.6">
      <c r="A105" s="411" t="s">
        <v>700</v>
      </c>
      <c r="B105" s="412"/>
      <c r="C105" s="412"/>
      <c r="D105" s="412"/>
      <c r="E105" s="412"/>
      <c r="F105" s="412"/>
      <c r="G105" s="412"/>
      <c r="H105" s="412"/>
      <c r="I105" s="412"/>
      <c r="J105" s="412"/>
      <c r="K105" s="412"/>
      <c r="L105" s="412"/>
      <c r="M105" s="412"/>
      <c r="N105" s="412"/>
      <c r="O105" s="412"/>
      <c r="P105" s="412"/>
      <c r="Q105" s="412"/>
      <c r="R105" s="412"/>
      <c r="S105" s="412"/>
      <c r="T105" s="412"/>
      <c r="U105" s="412"/>
      <c r="V105" s="412"/>
      <c r="W105" s="412"/>
      <c r="X105" s="412"/>
      <c r="Y105" s="412"/>
      <c r="Z105" s="412"/>
      <c r="AA105" s="412"/>
      <c r="AB105" s="412"/>
      <c r="AC105" s="412"/>
      <c r="AD105" s="412"/>
      <c r="AE105" s="412"/>
      <c r="AF105" s="412"/>
      <c r="AG105" s="412"/>
      <c r="AH105" s="412"/>
      <c r="AI105" s="412"/>
      <c r="AJ105" s="412"/>
      <c r="AK105" s="412"/>
      <c r="AL105" s="412"/>
    </row>
    <row r="106" s="409" customFormat="1" ht="15.6">
      <c r="A106" s="413" t="s">
        <v>701</v>
      </c>
      <c r="B106" s="412"/>
      <c r="C106" s="412"/>
      <c r="D106" s="412"/>
      <c r="E106" s="412"/>
      <c r="F106" s="412"/>
      <c r="G106" s="412"/>
      <c r="H106" s="412"/>
      <c r="I106" s="412"/>
      <c r="J106" s="412"/>
      <c r="K106" s="412"/>
      <c r="L106" s="412"/>
      <c r="M106" s="412"/>
      <c r="N106" s="412"/>
      <c r="O106" s="412"/>
      <c r="P106" s="412"/>
      <c r="Q106" s="412"/>
      <c r="R106" s="412"/>
      <c r="S106" s="412"/>
      <c r="T106" s="412"/>
      <c r="U106" s="412"/>
      <c r="V106" s="412"/>
      <c r="W106" s="412"/>
      <c r="X106" s="412"/>
      <c r="Y106" s="412"/>
      <c r="Z106" s="412"/>
      <c r="AA106" s="412"/>
      <c r="AB106" s="412"/>
      <c r="AC106" s="412"/>
      <c r="AD106" s="412"/>
      <c r="AE106" s="412"/>
      <c r="AF106" s="412"/>
      <c r="AG106" s="412"/>
      <c r="AH106" s="412"/>
      <c r="AI106" s="412"/>
      <c r="AJ106" s="412"/>
      <c r="AK106" s="412"/>
      <c r="AL106" s="412"/>
    </row>
    <row r="107" s="409" customFormat="1" ht="15.6">
      <c r="A107" s="410"/>
      <c r="B107" s="414"/>
      <c r="C107" s="414"/>
      <c r="D107" s="414"/>
      <c r="E107" s="414"/>
    </row>
    <row r="108" s="409" customFormat="1" ht="15.6">
      <c r="A108" s="410" t="s">
        <v>702</v>
      </c>
    </row>
    <row r="109" s="204" customFormat="1" ht="15.75" customHeight="1">
      <c r="A109" s="206" t="s">
        <v>177</v>
      </c>
      <c r="B109" s="206" t="s">
        <v>421</v>
      </c>
      <c r="C109" s="206"/>
      <c r="D109" s="206"/>
      <c r="E109" s="206"/>
      <c r="F109" s="206"/>
      <c r="G109" s="206"/>
      <c r="H109" s="206"/>
      <c r="I109" s="206"/>
      <c r="J109" s="208" t="s">
        <v>422</v>
      </c>
      <c r="K109" s="208"/>
      <c r="L109" s="208"/>
      <c r="M109" s="208"/>
      <c r="N109" s="208"/>
      <c r="O109" s="208"/>
      <c r="P109" s="208"/>
      <c r="Q109" s="208"/>
      <c r="R109" s="209" t="s">
        <v>423</v>
      </c>
      <c r="S109" s="209"/>
      <c r="T109" s="209"/>
      <c r="U109" s="209"/>
      <c r="V109" s="209"/>
      <c r="W109" s="209"/>
      <c r="X109" s="209"/>
      <c r="Y109" s="209"/>
      <c r="Z109" s="209"/>
      <c r="AA109" s="209"/>
      <c r="AB109" s="209"/>
      <c r="AC109" s="209"/>
      <c r="AD109" s="209"/>
      <c r="AE109" s="209"/>
      <c r="AF109" s="209"/>
      <c r="AG109" s="209"/>
      <c r="AH109" s="209"/>
      <c r="AI109" s="209"/>
      <c r="AJ109" s="209"/>
      <c r="AK109" s="209"/>
      <c r="AL109" s="209"/>
    </row>
    <row r="110" s="204" customFormat="1" ht="15.6" customHeight="1">
      <c r="A110" s="206"/>
      <c r="B110" s="206"/>
      <c r="C110" s="206"/>
      <c r="D110" s="206"/>
      <c r="E110" s="206"/>
      <c r="F110" s="206"/>
      <c r="G110" s="206"/>
      <c r="H110" s="206"/>
      <c r="I110" s="206"/>
      <c r="J110" s="208"/>
      <c r="K110" s="208"/>
      <c r="L110" s="208"/>
      <c r="M110" s="208"/>
      <c r="N110" s="208"/>
      <c r="O110" s="208"/>
      <c r="P110" s="208"/>
      <c r="Q110" s="208"/>
      <c r="R110" s="210" t="s">
        <v>320</v>
      </c>
      <c r="S110" s="210"/>
      <c r="T110" s="210"/>
      <c r="U110" s="211" t="s">
        <v>321</v>
      </c>
      <c r="V110" s="211"/>
      <c r="W110" s="211"/>
      <c r="X110" s="211" t="s">
        <v>322</v>
      </c>
      <c r="Y110" s="211"/>
      <c r="Z110" s="211"/>
      <c r="AA110" s="211" t="s">
        <v>323</v>
      </c>
      <c r="AB110" s="211"/>
      <c r="AC110" s="211"/>
      <c r="AD110" s="211" t="s">
        <v>324</v>
      </c>
      <c r="AE110" s="211"/>
      <c r="AF110" s="211"/>
      <c r="AG110" s="212" t="s">
        <v>325</v>
      </c>
      <c r="AH110" s="212"/>
      <c r="AI110" s="212"/>
      <c r="AJ110" s="212" t="s">
        <v>326</v>
      </c>
      <c r="AK110" s="212"/>
      <c r="AL110" s="212"/>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c r="CP110" s="213"/>
      <c r="CQ110" s="213"/>
      <c r="CR110" s="213"/>
      <c r="CS110" s="213"/>
      <c r="CT110" s="213"/>
      <c r="CU110" s="213"/>
      <c r="CV110" s="213"/>
      <c r="CW110" s="213"/>
      <c r="CX110" s="213"/>
      <c r="CY110" s="213"/>
      <c r="CZ110" s="213"/>
      <c r="DA110" s="213"/>
      <c r="DB110" s="213"/>
      <c r="DC110" s="213"/>
      <c r="DD110" s="213"/>
      <c r="DE110" s="213"/>
      <c r="DF110" s="213"/>
      <c r="DG110" s="213"/>
      <c r="DH110" s="213"/>
      <c r="DI110" s="213"/>
      <c r="DJ110" s="213"/>
      <c r="DK110" s="213"/>
      <c r="DL110" s="213"/>
      <c r="DM110" s="213"/>
      <c r="DN110" s="213"/>
      <c r="DO110" s="213"/>
      <c r="DP110" s="213"/>
      <c r="DQ110" s="213"/>
      <c r="DR110" s="213"/>
      <c r="DS110" s="213"/>
      <c r="DT110" s="213"/>
      <c r="DU110" s="213"/>
      <c r="DV110" s="213"/>
      <c r="DW110" s="213"/>
      <c r="DX110" s="213"/>
      <c r="DY110" s="213"/>
      <c r="DZ110" s="213"/>
      <c r="EA110" s="213"/>
      <c r="EB110" s="213"/>
      <c r="EC110" s="213"/>
      <c r="ED110" s="213"/>
      <c r="EE110" s="213"/>
      <c r="EF110" s="213"/>
      <c r="EG110" s="213"/>
      <c r="EH110" s="213"/>
      <c r="EI110" s="213"/>
      <c r="EJ110" s="213"/>
      <c r="EK110" s="213"/>
      <c r="EL110" s="213"/>
      <c r="EM110" s="213"/>
      <c r="EN110" s="213"/>
      <c r="EO110" s="213"/>
      <c r="EP110" s="213"/>
      <c r="EQ110" s="213"/>
      <c r="ER110" s="213"/>
      <c r="ES110" s="213"/>
      <c r="ET110" s="213"/>
      <c r="EU110" s="213"/>
      <c r="EV110" s="213"/>
      <c r="EW110" s="213"/>
      <c r="EX110" s="213"/>
      <c r="EY110" s="213"/>
      <c r="EZ110" s="213"/>
      <c r="FA110" s="213"/>
      <c r="FB110" s="213"/>
      <c r="FC110" s="213"/>
      <c r="FD110" s="213"/>
      <c r="FE110" s="213"/>
      <c r="FF110" s="213"/>
      <c r="FG110" s="213"/>
      <c r="FH110" s="213"/>
      <c r="FI110" s="213"/>
      <c r="FJ110" s="213"/>
      <c r="FK110" s="213"/>
      <c r="FL110" s="213"/>
      <c r="FM110" s="213"/>
      <c r="FN110" s="213"/>
      <c r="FO110" s="213"/>
      <c r="FP110" s="213"/>
      <c r="FQ110" s="213"/>
      <c r="FR110" s="213"/>
      <c r="FS110" s="213"/>
      <c r="FT110" s="213"/>
      <c r="FU110" s="213"/>
      <c r="FV110" s="213"/>
      <c r="FW110" s="213"/>
      <c r="FX110" s="213"/>
      <c r="FY110" s="213"/>
      <c r="FZ110" s="213"/>
      <c r="GA110" s="213"/>
      <c r="GB110" s="213"/>
      <c r="GC110" s="213"/>
      <c r="GD110" s="213"/>
      <c r="GE110" s="213"/>
      <c r="GF110" s="213"/>
      <c r="GG110" s="213"/>
      <c r="GH110" s="213"/>
      <c r="GI110" s="213"/>
      <c r="GJ110" s="213"/>
      <c r="GK110" s="213"/>
      <c r="GL110" s="213"/>
      <c r="GM110" s="213"/>
      <c r="GN110" s="213"/>
      <c r="GO110" s="213"/>
      <c r="GP110" s="213"/>
      <c r="GQ110" s="213"/>
      <c r="GR110" s="213"/>
      <c r="GS110" s="213"/>
      <c r="GT110" s="213"/>
      <c r="GU110" s="213"/>
      <c r="GV110" s="213"/>
      <c r="GW110" s="213"/>
      <c r="GX110" s="213"/>
      <c r="GY110" s="213"/>
      <c r="GZ110" s="213"/>
      <c r="HA110" s="213"/>
      <c r="HB110" s="213"/>
      <c r="HC110" s="213"/>
      <c r="HD110" s="213"/>
      <c r="HE110" s="213"/>
      <c r="HF110" s="213"/>
      <c r="HG110" s="213"/>
      <c r="HH110" s="213"/>
      <c r="HI110" s="213"/>
      <c r="HJ110" s="213"/>
      <c r="HK110" s="213"/>
      <c r="HL110" s="213"/>
      <c r="HM110" s="213"/>
      <c r="HN110" s="213"/>
      <c r="HO110" s="213"/>
      <c r="HP110" s="213"/>
      <c r="HQ110" s="213"/>
      <c r="HR110" s="213"/>
      <c r="HS110" s="213"/>
      <c r="HT110" s="213"/>
      <c r="HU110" s="213"/>
      <c r="HV110" s="213"/>
      <c r="HW110" s="213"/>
      <c r="HX110" s="213"/>
      <c r="HY110" s="213"/>
      <c r="HZ110" s="213"/>
      <c r="IA110" s="213"/>
      <c r="IB110" s="213"/>
      <c r="IC110" s="213"/>
      <c r="ID110" s="213"/>
      <c r="IE110" s="213"/>
      <c r="IF110" s="213"/>
      <c r="IG110" s="213"/>
      <c r="IH110" s="213"/>
      <c r="II110" s="213"/>
      <c r="IJ110" s="213"/>
      <c r="IK110" s="213"/>
      <c r="IL110" s="213"/>
      <c r="IM110" s="213"/>
      <c r="IN110" s="213"/>
      <c r="IO110" s="213"/>
      <c r="IP110" s="213"/>
      <c r="IQ110" s="213"/>
      <c r="IR110" s="213"/>
      <c r="IS110" s="213"/>
      <c r="IT110" s="213"/>
      <c r="IU110" s="213"/>
    </row>
    <row r="111" s="204" customFormat="1" ht="15.6">
      <c r="A111" s="206"/>
      <c r="B111" s="383">
        <v>43830</v>
      </c>
      <c r="C111" s="383" t="s">
        <v>425</v>
      </c>
      <c r="D111" s="383" t="s">
        <v>426</v>
      </c>
      <c r="E111" s="383" t="s">
        <v>427</v>
      </c>
      <c r="F111" s="383" t="s">
        <v>428</v>
      </c>
      <c r="G111" s="383" t="s">
        <v>429</v>
      </c>
      <c r="H111" s="383" t="s">
        <v>430</v>
      </c>
      <c r="I111" s="383" t="s">
        <v>431</v>
      </c>
      <c r="J111" s="383">
        <v>43830</v>
      </c>
      <c r="K111" s="383" t="s">
        <v>425</v>
      </c>
      <c r="L111" s="383" t="s">
        <v>426</v>
      </c>
      <c r="M111" s="383" t="s">
        <v>427</v>
      </c>
      <c r="N111" s="383" t="s">
        <v>428</v>
      </c>
      <c r="O111" s="383" t="s">
        <v>429</v>
      </c>
      <c r="P111" s="383" t="s">
        <v>430</v>
      </c>
      <c r="Q111" s="383" t="s">
        <v>431</v>
      </c>
      <c r="R111" s="215" t="s">
        <v>432</v>
      </c>
      <c r="S111" s="215" t="s">
        <v>433</v>
      </c>
      <c r="T111" s="215" t="s">
        <v>434</v>
      </c>
      <c r="U111" s="215" t="s">
        <v>432</v>
      </c>
      <c r="V111" s="215" t="s">
        <v>433</v>
      </c>
      <c r="W111" s="215" t="s">
        <v>434</v>
      </c>
      <c r="X111" s="215" t="str">
        <f>U111</f>
        <v xml:space="preserve">в тыс. руб.</v>
      </c>
      <c r="Y111" s="215" t="str">
        <f>V111</f>
        <v xml:space="preserve">темп прироста, %</v>
      </c>
      <c r="Z111" s="215" t="str">
        <f>W111</f>
        <v xml:space="preserve">в структуре, %</v>
      </c>
      <c r="AA111" s="215" t="str">
        <f>X111</f>
        <v xml:space="preserve">в тыс. руб.</v>
      </c>
      <c r="AB111" s="215" t="str">
        <f>Y111</f>
        <v xml:space="preserve">темп прироста, %</v>
      </c>
      <c r="AC111" s="215" t="str">
        <f>Z111</f>
        <v xml:space="preserve">в структуре, %</v>
      </c>
      <c r="AD111" s="215" t="str">
        <f>AA111</f>
        <v xml:space="preserve">в тыс. руб.</v>
      </c>
      <c r="AE111" s="215" t="str">
        <f>AB111</f>
        <v xml:space="preserve">темп прироста, %</v>
      </c>
      <c r="AF111" s="215" t="str">
        <f>AC111</f>
        <v xml:space="preserve">в структуре, %</v>
      </c>
      <c r="AG111" s="215" t="str">
        <f>AD111</f>
        <v xml:space="preserve">в тыс. руб.</v>
      </c>
      <c r="AH111" s="215" t="str">
        <f>AE111</f>
        <v xml:space="preserve">темп прироста, %</v>
      </c>
      <c r="AI111" s="215" t="str">
        <f>AF111</f>
        <v xml:space="preserve">в структуре, %</v>
      </c>
      <c r="AJ111" s="215" t="str">
        <f>AG111</f>
        <v xml:space="preserve">в тыс. руб.</v>
      </c>
      <c r="AK111" s="215" t="str">
        <f>AH111</f>
        <v xml:space="preserve">темп прироста, %</v>
      </c>
      <c r="AL111" s="215" t="str">
        <f>AI111</f>
        <v xml:space="preserve">в структуре, %</v>
      </c>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c r="CP111" s="213"/>
      <c r="CQ111" s="213"/>
      <c r="CR111" s="213"/>
      <c r="CS111" s="213"/>
      <c r="CT111" s="213"/>
      <c r="CU111" s="213"/>
      <c r="CV111" s="213"/>
      <c r="CW111" s="213"/>
      <c r="CX111" s="213"/>
      <c r="CY111" s="213"/>
      <c r="CZ111" s="213"/>
      <c r="DA111" s="213"/>
      <c r="DB111" s="213"/>
      <c r="DC111" s="213"/>
      <c r="DD111" s="213"/>
      <c r="DE111" s="213"/>
      <c r="DF111" s="213"/>
      <c r="DG111" s="213"/>
      <c r="DH111" s="213"/>
      <c r="DI111" s="213"/>
      <c r="DJ111" s="213"/>
      <c r="DK111" s="213"/>
      <c r="DL111" s="213"/>
      <c r="DM111" s="213"/>
      <c r="DN111" s="213"/>
      <c r="DO111" s="213"/>
      <c r="DP111" s="213"/>
      <c r="DQ111" s="213"/>
      <c r="DR111" s="213"/>
      <c r="DS111" s="213"/>
      <c r="DT111" s="213"/>
      <c r="DU111" s="213"/>
      <c r="DV111" s="213"/>
      <c r="DW111" s="213"/>
      <c r="DX111" s="213"/>
      <c r="DY111" s="213"/>
      <c r="DZ111" s="213"/>
      <c r="EA111" s="213"/>
      <c r="EB111" s="213"/>
      <c r="EC111" s="213"/>
      <c r="ED111" s="213"/>
      <c r="EE111" s="213"/>
      <c r="EF111" s="213"/>
      <c r="EG111" s="213"/>
      <c r="EH111" s="213"/>
      <c r="EI111" s="213"/>
      <c r="EJ111" s="213"/>
      <c r="EK111" s="213"/>
      <c r="EL111" s="213"/>
      <c r="EM111" s="213"/>
      <c r="EN111" s="213"/>
      <c r="EO111" s="213"/>
      <c r="EP111" s="213"/>
      <c r="EQ111" s="213"/>
      <c r="ER111" s="213"/>
      <c r="ES111" s="213"/>
      <c r="ET111" s="213"/>
      <c r="EU111" s="213"/>
      <c r="EV111" s="213"/>
      <c r="EW111" s="213"/>
      <c r="EX111" s="213"/>
      <c r="EY111" s="213"/>
      <c r="EZ111" s="213"/>
      <c r="FA111" s="213"/>
      <c r="FB111" s="213"/>
      <c r="FC111" s="213"/>
      <c r="FD111" s="213"/>
      <c r="FE111" s="213"/>
      <c r="FF111" s="213"/>
      <c r="FG111" s="213"/>
      <c r="FH111" s="213"/>
      <c r="FI111" s="213"/>
      <c r="FJ111" s="213"/>
      <c r="FK111" s="213"/>
      <c r="FL111" s="213"/>
      <c r="FM111" s="213"/>
      <c r="FN111" s="213"/>
      <c r="FO111" s="213"/>
      <c r="FP111" s="213"/>
      <c r="FQ111" s="213"/>
      <c r="FR111" s="213"/>
      <c r="FS111" s="213"/>
      <c r="FT111" s="213"/>
      <c r="FU111" s="213"/>
      <c r="FV111" s="213"/>
      <c r="FW111" s="213"/>
      <c r="FX111" s="213"/>
      <c r="FY111" s="213"/>
      <c r="FZ111" s="213"/>
      <c r="GA111" s="213"/>
      <c r="GB111" s="213"/>
      <c r="GC111" s="213"/>
      <c r="GD111" s="213"/>
      <c r="GE111" s="213"/>
      <c r="GF111" s="213"/>
      <c r="GG111" s="213"/>
      <c r="GH111" s="213"/>
      <c r="GI111" s="213"/>
      <c r="GJ111" s="213"/>
      <c r="GK111" s="213"/>
      <c r="GL111" s="213"/>
      <c r="GM111" s="213"/>
      <c r="GN111" s="213"/>
      <c r="GO111" s="213"/>
      <c r="GP111" s="213"/>
      <c r="GQ111" s="213"/>
      <c r="GR111" s="213"/>
      <c r="GS111" s="213"/>
      <c r="GT111" s="213"/>
      <c r="GU111" s="213"/>
      <c r="GV111" s="213"/>
      <c r="GW111" s="213"/>
      <c r="GX111" s="213"/>
      <c r="GY111" s="213"/>
      <c r="GZ111" s="213"/>
      <c r="HA111" s="213"/>
      <c r="HB111" s="213"/>
      <c r="HC111" s="213"/>
      <c r="HD111" s="213"/>
      <c r="HE111" s="213"/>
      <c r="HF111" s="213"/>
      <c r="HG111" s="213"/>
      <c r="HH111" s="213"/>
      <c r="HI111" s="213"/>
      <c r="HJ111" s="213"/>
      <c r="HK111" s="213"/>
      <c r="HL111" s="213"/>
      <c r="HM111" s="213"/>
      <c r="HN111" s="213"/>
      <c r="HO111" s="213"/>
      <c r="HP111" s="213"/>
      <c r="HQ111" s="213"/>
      <c r="HR111" s="213"/>
      <c r="HS111" s="213"/>
      <c r="HT111" s="213"/>
      <c r="HU111" s="213"/>
      <c r="HV111" s="213"/>
      <c r="HW111" s="213"/>
      <c r="HX111" s="213"/>
      <c r="HY111" s="213"/>
      <c r="HZ111" s="213"/>
      <c r="IA111" s="213"/>
      <c r="IB111" s="213"/>
      <c r="IC111" s="213"/>
      <c r="ID111" s="213"/>
      <c r="IE111" s="213"/>
      <c r="IF111" s="213"/>
      <c r="IG111" s="213"/>
      <c r="IH111" s="213"/>
      <c r="II111" s="213"/>
      <c r="IJ111" s="213"/>
      <c r="IK111" s="213"/>
      <c r="IL111" s="213"/>
      <c r="IM111" s="213"/>
      <c r="IN111" s="213"/>
      <c r="IO111" s="213"/>
      <c r="IP111" s="213"/>
      <c r="IQ111" s="213"/>
      <c r="IR111" s="213"/>
      <c r="IS111" s="213"/>
      <c r="IT111" s="213"/>
      <c r="IU111" s="213"/>
    </row>
    <row r="112" s="409" customFormat="1" ht="15.6">
      <c r="A112" s="411" t="s">
        <v>703</v>
      </c>
      <c r="B112" s="412"/>
      <c r="C112" s="412"/>
      <c r="D112" s="412"/>
      <c r="E112" s="412"/>
      <c r="F112" s="412"/>
      <c r="G112" s="412"/>
      <c r="H112" s="412"/>
      <c r="I112" s="412"/>
      <c r="J112" s="412"/>
      <c r="K112" s="412"/>
      <c r="L112" s="412"/>
      <c r="M112" s="412"/>
      <c r="N112" s="412"/>
      <c r="O112" s="412"/>
      <c r="P112" s="412"/>
      <c r="Q112" s="412"/>
      <c r="R112" s="412"/>
      <c r="S112" s="412"/>
      <c r="T112" s="412"/>
      <c r="U112" s="412"/>
      <c r="V112" s="412"/>
      <c r="W112" s="412"/>
      <c r="X112" s="412"/>
      <c r="Y112" s="412"/>
      <c r="Z112" s="412"/>
      <c r="AA112" s="412"/>
      <c r="AB112" s="412"/>
      <c r="AC112" s="412"/>
      <c r="AD112" s="412"/>
      <c r="AE112" s="412"/>
      <c r="AF112" s="412"/>
      <c r="AG112" s="412"/>
      <c r="AH112" s="412"/>
      <c r="AI112" s="412"/>
      <c r="AJ112" s="412"/>
      <c r="AK112" s="412"/>
      <c r="AL112" s="412"/>
    </row>
    <row r="113" s="409" customFormat="1" ht="15.6">
      <c r="A113" s="411" t="s">
        <v>704</v>
      </c>
      <c r="B113" s="412"/>
      <c r="C113" s="412"/>
      <c r="D113" s="412"/>
      <c r="E113" s="412"/>
      <c r="F113" s="412"/>
      <c r="G113" s="412"/>
      <c r="H113" s="412"/>
      <c r="I113" s="412"/>
      <c r="J113" s="412"/>
      <c r="K113" s="412"/>
      <c r="L113" s="412"/>
      <c r="M113" s="412"/>
      <c r="N113" s="412"/>
      <c r="O113" s="412"/>
      <c r="P113" s="412"/>
      <c r="Q113" s="412"/>
      <c r="R113" s="412"/>
      <c r="S113" s="412"/>
      <c r="T113" s="412"/>
      <c r="U113" s="412"/>
      <c r="V113" s="412"/>
      <c r="W113" s="412"/>
      <c r="X113" s="412"/>
      <c r="Y113" s="412"/>
      <c r="Z113" s="412"/>
      <c r="AA113" s="412"/>
      <c r="AB113" s="412"/>
      <c r="AC113" s="412"/>
      <c r="AD113" s="412"/>
      <c r="AE113" s="412"/>
      <c r="AF113" s="412"/>
      <c r="AG113" s="412"/>
      <c r="AH113" s="412"/>
      <c r="AI113" s="412"/>
      <c r="AJ113" s="412"/>
      <c r="AK113" s="412"/>
      <c r="AL113" s="412"/>
    </row>
    <row r="114" s="409" customFormat="1" ht="15.6">
      <c r="A114" s="411" t="s">
        <v>705</v>
      </c>
      <c r="B114" s="412"/>
      <c r="C114" s="412"/>
      <c r="D114" s="412"/>
      <c r="E114" s="412"/>
      <c r="F114" s="412"/>
      <c r="G114" s="412"/>
      <c r="H114" s="412"/>
      <c r="I114" s="412"/>
      <c r="J114" s="412"/>
      <c r="K114" s="412"/>
      <c r="L114" s="412"/>
      <c r="M114" s="412"/>
      <c r="N114" s="412"/>
      <c r="O114" s="412"/>
      <c r="P114" s="412"/>
      <c r="Q114" s="412"/>
      <c r="R114" s="412"/>
      <c r="S114" s="412"/>
      <c r="T114" s="412"/>
      <c r="U114" s="412"/>
      <c r="V114" s="412"/>
      <c r="W114" s="412"/>
      <c r="X114" s="412"/>
      <c r="Y114" s="412"/>
      <c r="Z114" s="412"/>
      <c r="AA114" s="412"/>
      <c r="AB114" s="412"/>
      <c r="AC114" s="412"/>
      <c r="AD114" s="412"/>
      <c r="AE114" s="412"/>
      <c r="AF114" s="412"/>
      <c r="AG114" s="412"/>
      <c r="AH114" s="412"/>
      <c r="AI114" s="412"/>
      <c r="AJ114" s="412"/>
      <c r="AK114" s="412"/>
      <c r="AL114" s="412"/>
    </row>
    <row r="115" s="409" customFormat="1" ht="15.6">
      <c r="A115" s="413" t="s">
        <v>695</v>
      </c>
      <c r="B115" s="412"/>
      <c r="C115" s="412"/>
      <c r="D115" s="412"/>
      <c r="E115" s="412"/>
      <c r="F115" s="412"/>
      <c r="G115" s="412"/>
      <c r="H115" s="412"/>
      <c r="I115" s="412"/>
      <c r="J115" s="412"/>
      <c r="K115" s="412"/>
      <c r="L115" s="412"/>
      <c r="M115" s="412"/>
      <c r="N115" s="412"/>
      <c r="O115" s="412"/>
      <c r="P115" s="412"/>
      <c r="Q115" s="412"/>
      <c r="R115" s="412"/>
      <c r="S115" s="412"/>
      <c r="T115" s="412"/>
      <c r="U115" s="412"/>
      <c r="V115" s="412"/>
      <c r="W115" s="412"/>
      <c r="X115" s="412"/>
      <c r="Y115" s="412"/>
      <c r="Z115" s="412"/>
      <c r="AA115" s="412"/>
      <c r="AB115" s="412"/>
      <c r="AC115" s="412"/>
      <c r="AD115" s="412"/>
      <c r="AE115" s="412"/>
      <c r="AF115" s="412"/>
      <c r="AG115" s="412"/>
      <c r="AH115" s="412"/>
      <c r="AI115" s="412"/>
      <c r="AJ115" s="412"/>
      <c r="AK115" s="412"/>
      <c r="AL115" s="412"/>
    </row>
    <row r="116" s="409" customFormat="1" ht="15.6">
      <c r="A116" s="410"/>
      <c r="B116" s="414"/>
      <c r="C116" s="414"/>
      <c r="D116" s="414"/>
      <c r="E116" s="414"/>
    </row>
    <row r="117" s="409" customFormat="1" ht="15.6">
      <c r="A117" s="410"/>
    </row>
    <row r="118" s="409" customFormat="1" ht="15.6">
      <c r="A118" s="410" t="s">
        <v>706</v>
      </c>
    </row>
    <row r="119" s="204" customFormat="1" ht="15.75" customHeight="1">
      <c r="A119" s="206" t="s">
        <v>177</v>
      </c>
      <c r="B119" s="206" t="s">
        <v>421</v>
      </c>
      <c r="C119" s="206"/>
      <c r="D119" s="206"/>
      <c r="E119" s="206"/>
      <c r="F119" s="206"/>
      <c r="G119" s="206"/>
      <c r="H119" s="206"/>
      <c r="I119" s="206"/>
      <c r="J119" s="208" t="s">
        <v>422</v>
      </c>
      <c r="K119" s="208"/>
      <c r="L119" s="208"/>
      <c r="M119" s="208"/>
      <c r="N119" s="208"/>
      <c r="O119" s="208"/>
      <c r="P119" s="208"/>
      <c r="Q119" s="208"/>
      <c r="R119" s="209" t="s">
        <v>423</v>
      </c>
      <c r="S119" s="209"/>
      <c r="T119" s="209"/>
      <c r="U119" s="209"/>
      <c r="V119" s="209"/>
      <c r="W119" s="209"/>
      <c r="X119" s="209"/>
      <c r="Y119" s="209"/>
      <c r="Z119" s="209"/>
      <c r="AA119" s="209"/>
      <c r="AB119" s="209"/>
      <c r="AC119" s="209"/>
      <c r="AD119" s="209"/>
      <c r="AE119" s="209"/>
      <c r="AF119" s="209"/>
      <c r="AG119" s="209"/>
      <c r="AH119" s="209"/>
      <c r="AI119" s="209"/>
      <c r="AJ119" s="209"/>
      <c r="AK119" s="209"/>
      <c r="AL119" s="209"/>
    </row>
    <row r="120" s="204" customFormat="1" ht="15.6" customHeight="1">
      <c r="A120" s="206"/>
      <c r="B120" s="206"/>
      <c r="C120" s="206"/>
      <c r="D120" s="206"/>
      <c r="E120" s="206"/>
      <c r="F120" s="206"/>
      <c r="G120" s="206"/>
      <c r="H120" s="206"/>
      <c r="I120" s="206"/>
      <c r="J120" s="208"/>
      <c r="K120" s="208"/>
      <c r="L120" s="208"/>
      <c r="M120" s="208"/>
      <c r="N120" s="208"/>
      <c r="O120" s="208"/>
      <c r="P120" s="208"/>
      <c r="Q120" s="208"/>
      <c r="R120" s="210" t="s">
        <v>320</v>
      </c>
      <c r="S120" s="210"/>
      <c r="T120" s="210"/>
      <c r="U120" s="211" t="s">
        <v>321</v>
      </c>
      <c r="V120" s="211"/>
      <c r="W120" s="211"/>
      <c r="X120" s="211" t="s">
        <v>322</v>
      </c>
      <c r="Y120" s="211"/>
      <c r="Z120" s="211"/>
      <c r="AA120" s="211" t="s">
        <v>323</v>
      </c>
      <c r="AB120" s="211"/>
      <c r="AC120" s="211"/>
      <c r="AD120" s="211" t="s">
        <v>324</v>
      </c>
      <c r="AE120" s="211"/>
      <c r="AF120" s="211"/>
      <c r="AG120" s="212" t="s">
        <v>325</v>
      </c>
      <c r="AH120" s="212"/>
      <c r="AI120" s="212"/>
      <c r="AJ120" s="212" t="s">
        <v>326</v>
      </c>
      <c r="AK120" s="212"/>
      <c r="AL120" s="212"/>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c r="CP120" s="213"/>
      <c r="CQ120" s="213"/>
      <c r="CR120" s="213"/>
      <c r="CS120" s="213"/>
      <c r="CT120" s="213"/>
      <c r="CU120" s="213"/>
      <c r="CV120" s="213"/>
      <c r="CW120" s="213"/>
      <c r="CX120" s="213"/>
      <c r="CY120" s="213"/>
      <c r="CZ120" s="213"/>
      <c r="DA120" s="213"/>
      <c r="DB120" s="213"/>
      <c r="DC120" s="213"/>
      <c r="DD120" s="213"/>
      <c r="DE120" s="213"/>
      <c r="DF120" s="213"/>
      <c r="DG120" s="213"/>
      <c r="DH120" s="213"/>
      <c r="DI120" s="213"/>
      <c r="DJ120" s="213"/>
      <c r="DK120" s="213"/>
      <c r="DL120" s="213"/>
      <c r="DM120" s="213"/>
      <c r="DN120" s="213"/>
      <c r="DO120" s="213"/>
      <c r="DP120" s="213"/>
      <c r="DQ120" s="213"/>
      <c r="DR120" s="213"/>
      <c r="DS120" s="213"/>
      <c r="DT120" s="213"/>
      <c r="DU120" s="213"/>
      <c r="DV120" s="213"/>
      <c r="DW120" s="213"/>
      <c r="DX120" s="213"/>
      <c r="DY120" s="213"/>
      <c r="DZ120" s="213"/>
      <c r="EA120" s="213"/>
      <c r="EB120" s="213"/>
      <c r="EC120" s="213"/>
      <c r="ED120" s="213"/>
      <c r="EE120" s="213"/>
      <c r="EF120" s="213"/>
      <c r="EG120" s="213"/>
      <c r="EH120" s="213"/>
      <c r="EI120" s="213"/>
      <c r="EJ120" s="213"/>
      <c r="EK120" s="213"/>
      <c r="EL120" s="213"/>
      <c r="EM120" s="213"/>
      <c r="EN120" s="213"/>
      <c r="EO120" s="213"/>
      <c r="EP120" s="213"/>
      <c r="EQ120" s="213"/>
      <c r="ER120" s="213"/>
      <c r="ES120" s="213"/>
      <c r="ET120" s="213"/>
      <c r="EU120" s="213"/>
      <c r="EV120" s="213"/>
      <c r="EW120" s="213"/>
      <c r="EX120" s="213"/>
      <c r="EY120" s="213"/>
      <c r="EZ120" s="213"/>
      <c r="FA120" s="213"/>
      <c r="FB120" s="213"/>
      <c r="FC120" s="213"/>
      <c r="FD120" s="213"/>
      <c r="FE120" s="213"/>
      <c r="FF120" s="213"/>
      <c r="FG120" s="213"/>
      <c r="FH120" s="213"/>
      <c r="FI120" s="213"/>
      <c r="FJ120" s="213"/>
      <c r="FK120" s="213"/>
      <c r="FL120" s="213"/>
      <c r="FM120" s="213"/>
      <c r="FN120" s="213"/>
      <c r="FO120" s="213"/>
      <c r="FP120" s="213"/>
      <c r="FQ120" s="213"/>
      <c r="FR120" s="213"/>
      <c r="FS120" s="213"/>
      <c r="FT120" s="213"/>
      <c r="FU120" s="213"/>
      <c r="FV120" s="213"/>
      <c r="FW120" s="213"/>
      <c r="FX120" s="213"/>
      <c r="FY120" s="213"/>
      <c r="FZ120" s="213"/>
      <c r="GA120" s="213"/>
      <c r="GB120" s="213"/>
      <c r="GC120" s="213"/>
      <c r="GD120" s="213"/>
      <c r="GE120" s="213"/>
      <c r="GF120" s="213"/>
      <c r="GG120" s="213"/>
      <c r="GH120" s="213"/>
      <c r="GI120" s="213"/>
      <c r="GJ120" s="213"/>
      <c r="GK120" s="213"/>
      <c r="GL120" s="213"/>
      <c r="GM120" s="213"/>
      <c r="GN120" s="213"/>
      <c r="GO120" s="213"/>
      <c r="GP120" s="213"/>
      <c r="GQ120" s="213"/>
      <c r="GR120" s="213"/>
      <c r="GS120" s="213"/>
      <c r="GT120" s="213"/>
      <c r="GU120" s="213"/>
      <c r="GV120" s="213"/>
      <c r="GW120" s="213"/>
      <c r="GX120" s="213"/>
      <c r="GY120" s="213"/>
      <c r="GZ120" s="213"/>
      <c r="HA120" s="213"/>
      <c r="HB120" s="213"/>
      <c r="HC120" s="213"/>
      <c r="HD120" s="213"/>
      <c r="HE120" s="213"/>
      <c r="HF120" s="213"/>
      <c r="HG120" s="213"/>
      <c r="HH120" s="213"/>
      <c r="HI120" s="213"/>
      <c r="HJ120" s="213"/>
      <c r="HK120" s="213"/>
      <c r="HL120" s="213"/>
      <c r="HM120" s="213"/>
      <c r="HN120" s="213"/>
      <c r="HO120" s="213"/>
      <c r="HP120" s="213"/>
      <c r="HQ120" s="213"/>
      <c r="HR120" s="213"/>
      <c r="HS120" s="213"/>
      <c r="HT120" s="213"/>
      <c r="HU120" s="213"/>
      <c r="HV120" s="213"/>
      <c r="HW120" s="213"/>
      <c r="HX120" s="213"/>
      <c r="HY120" s="213"/>
      <c r="HZ120" s="213"/>
      <c r="IA120" s="213"/>
      <c r="IB120" s="213"/>
      <c r="IC120" s="213"/>
      <c r="ID120" s="213"/>
      <c r="IE120" s="213"/>
      <c r="IF120" s="213"/>
      <c r="IG120" s="213"/>
      <c r="IH120" s="213"/>
      <c r="II120" s="213"/>
      <c r="IJ120" s="213"/>
      <c r="IK120" s="213"/>
      <c r="IL120" s="213"/>
      <c r="IM120" s="213"/>
      <c r="IN120" s="213"/>
      <c r="IO120" s="213"/>
      <c r="IP120" s="213"/>
      <c r="IQ120" s="213"/>
      <c r="IR120" s="213"/>
      <c r="IS120" s="213"/>
      <c r="IT120" s="213"/>
      <c r="IU120" s="213"/>
    </row>
    <row r="121" s="204" customFormat="1" ht="15.6">
      <c r="A121" s="206"/>
      <c r="B121" s="383">
        <v>43830</v>
      </c>
      <c r="C121" s="383" t="s">
        <v>425</v>
      </c>
      <c r="D121" s="383" t="s">
        <v>426</v>
      </c>
      <c r="E121" s="383" t="s">
        <v>427</v>
      </c>
      <c r="F121" s="383" t="s">
        <v>428</v>
      </c>
      <c r="G121" s="383" t="s">
        <v>429</v>
      </c>
      <c r="H121" s="383" t="s">
        <v>430</v>
      </c>
      <c r="I121" s="383" t="s">
        <v>431</v>
      </c>
      <c r="J121" s="383">
        <v>43830</v>
      </c>
      <c r="K121" s="383" t="s">
        <v>425</v>
      </c>
      <c r="L121" s="383" t="s">
        <v>426</v>
      </c>
      <c r="M121" s="383" t="s">
        <v>427</v>
      </c>
      <c r="N121" s="383" t="s">
        <v>428</v>
      </c>
      <c r="O121" s="383" t="s">
        <v>429</v>
      </c>
      <c r="P121" s="383" t="s">
        <v>430</v>
      </c>
      <c r="Q121" s="383" t="s">
        <v>431</v>
      </c>
      <c r="R121" s="215" t="s">
        <v>432</v>
      </c>
      <c r="S121" s="215" t="s">
        <v>433</v>
      </c>
      <c r="T121" s="215" t="s">
        <v>434</v>
      </c>
      <c r="U121" s="215" t="s">
        <v>432</v>
      </c>
      <c r="V121" s="215" t="s">
        <v>433</v>
      </c>
      <c r="W121" s="215" t="s">
        <v>434</v>
      </c>
      <c r="X121" s="215" t="str">
        <f>U121</f>
        <v xml:space="preserve">в тыс. руб.</v>
      </c>
      <c r="Y121" s="215" t="str">
        <f>V121</f>
        <v xml:space="preserve">темп прироста, %</v>
      </c>
      <c r="Z121" s="215" t="str">
        <f>W121</f>
        <v xml:space="preserve">в структуре, %</v>
      </c>
      <c r="AA121" s="215" t="str">
        <f>X121</f>
        <v xml:space="preserve">в тыс. руб.</v>
      </c>
      <c r="AB121" s="215" t="str">
        <f>Y121</f>
        <v xml:space="preserve">темп прироста, %</v>
      </c>
      <c r="AC121" s="215" t="str">
        <f>Z121</f>
        <v xml:space="preserve">в структуре, %</v>
      </c>
      <c r="AD121" s="215" t="str">
        <f>AA121</f>
        <v xml:space="preserve">в тыс. руб.</v>
      </c>
      <c r="AE121" s="215" t="str">
        <f>AB121</f>
        <v xml:space="preserve">темп прироста, %</v>
      </c>
      <c r="AF121" s="215" t="str">
        <f>AC121</f>
        <v xml:space="preserve">в структуре, %</v>
      </c>
      <c r="AG121" s="215" t="str">
        <f>AD121</f>
        <v xml:space="preserve">в тыс. руб.</v>
      </c>
      <c r="AH121" s="215" t="str">
        <f>AE121</f>
        <v xml:space="preserve">темп прироста, %</v>
      </c>
      <c r="AI121" s="215" t="str">
        <f>AF121</f>
        <v xml:space="preserve">в структуре, %</v>
      </c>
      <c r="AJ121" s="215" t="str">
        <f>AG121</f>
        <v xml:space="preserve">в тыс. руб.</v>
      </c>
      <c r="AK121" s="215" t="str">
        <f>AH121</f>
        <v xml:space="preserve">темп прироста, %</v>
      </c>
      <c r="AL121" s="215" t="str">
        <f>AI121</f>
        <v xml:space="preserve">в структуре, %</v>
      </c>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c r="CP121" s="213"/>
      <c r="CQ121" s="213"/>
      <c r="CR121" s="213"/>
      <c r="CS121" s="213"/>
      <c r="CT121" s="213"/>
      <c r="CU121" s="213"/>
      <c r="CV121" s="213"/>
      <c r="CW121" s="213"/>
      <c r="CX121" s="213"/>
      <c r="CY121" s="213"/>
      <c r="CZ121" s="213"/>
      <c r="DA121" s="213"/>
      <c r="DB121" s="213"/>
      <c r="DC121" s="213"/>
      <c r="DD121" s="213"/>
      <c r="DE121" s="213"/>
      <c r="DF121" s="213"/>
      <c r="DG121" s="213"/>
      <c r="DH121" s="213"/>
      <c r="DI121" s="213"/>
      <c r="DJ121" s="213"/>
      <c r="DK121" s="213"/>
      <c r="DL121" s="213"/>
      <c r="DM121" s="213"/>
      <c r="DN121" s="213"/>
      <c r="DO121" s="213"/>
      <c r="DP121" s="213"/>
      <c r="DQ121" s="213"/>
      <c r="DR121" s="213"/>
      <c r="DS121" s="213"/>
      <c r="DT121" s="213"/>
      <c r="DU121" s="213"/>
      <c r="DV121" s="213"/>
      <c r="DW121" s="213"/>
      <c r="DX121" s="213"/>
      <c r="DY121" s="213"/>
      <c r="DZ121" s="213"/>
      <c r="EA121" s="213"/>
      <c r="EB121" s="213"/>
      <c r="EC121" s="213"/>
      <c r="ED121" s="213"/>
      <c r="EE121" s="213"/>
      <c r="EF121" s="213"/>
      <c r="EG121" s="213"/>
      <c r="EH121" s="213"/>
      <c r="EI121" s="213"/>
      <c r="EJ121" s="213"/>
      <c r="EK121" s="213"/>
      <c r="EL121" s="213"/>
      <c r="EM121" s="213"/>
      <c r="EN121" s="213"/>
      <c r="EO121" s="213"/>
      <c r="EP121" s="213"/>
      <c r="EQ121" s="213"/>
      <c r="ER121" s="213"/>
      <c r="ES121" s="213"/>
      <c r="ET121" s="213"/>
      <c r="EU121" s="213"/>
      <c r="EV121" s="213"/>
      <c r="EW121" s="213"/>
      <c r="EX121" s="213"/>
      <c r="EY121" s="213"/>
      <c r="EZ121" s="213"/>
      <c r="FA121" s="213"/>
      <c r="FB121" s="213"/>
      <c r="FC121" s="213"/>
      <c r="FD121" s="213"/>
      <c r="FE121" s="213"/>
      <c r="FF121" s="213"/>
      <c r="FG121" s="213"/>
      <c r="FH121" s="213"/>
      <c r="FI121" s="213"/>
      <c r="FJ121" s="213"/>
      <c r="FK121" s="213"/>
      <c r="FL121" s="213"/>
      <c r="FM121" s="213"/>
      <c r="FN121" s="213"/>
      <c r="FO121" s="213"/>
      <c r="FP121" s="213"/>
      <c r="FQ121" s="213"/>
      <c r="FR121" s="213"/>
      <c r="FS121" s="213"/>
      <c r="FT121" s="213"/>
      <c r="FU121" s="213"/>
      <c r="FV121" s="213"/>
      <c r="FW121" s="213"/>
      <c r="FX121" s="213"/>
      <c r="FY121" s="213"/>
      <c r="FZ121" s="213"/>
      <c r="GA121" s="213"/>
      <c r="GB121" s="213"/>
      <c r="GC121" s="213"/>
      <c r="GD121" s="213"/>
      <c r="GE121" s="213"/>
      <c r="GF121" s="213"/>
      <c r="GG121" s="213"/>
      <c r="GH121" s="213"/>
      <c r="GI121" s="213"/>
      <c r="GJ121" s="213"/>
      <c r="GK121" s="213"/>
      <c r="GL121" s="213"/>
      <c r="GM121" s="213"/>
      <c r="GN121" s="213"/>
      <c r="GO121" s="213"/>
      <c r="GP121" s="213"/>
      <c r="GQ121" s="213"/>
      <c r="GR121" s="213"/>
      <c r="GS121" s="213"/>
      <c r="GT121" s="213"/>
      <c r="GU121" s="213"/>
      <c r="GV121" s="213"/>
      <c r="GW121" s="213"/>
      <c r="GX121" s="213"/>
      <c r="GY121" s="213"/>
      <c r="GZ121" s="213"/>
      <c r="HA121" s="213"/>
      <c r="HB121" s="213"/>
      <c r="HC121" s="213"/>
      <c r="HD121" s="213"/>
      <c r="HE121" s="213"/>
      <c r="HF121" s="213"/>
      <c r="HG121" s="213"/>
      <c r="HH121" s="213"/>
      <c r="HI121" s="213"/>
      <c r="HJ121" s="213"/>
      <c r="HK121" s="213"/>
      <c r="HL121" s="213"/>
      <c r="HM121" s="213"/>
      <c r="HN121" s="213"/>
      <c r="HO121" s="213"/>
      <c r="HP121" s="213"/>
      <c r="HQ121" s="213"/>
      <c r="HR121" s="213"/>
      <c r="HS121" s="213"/>
      <c r="HT121" s="213"/>
      <c r="HU121" s="213"/>
      <c r="HV121" s="213"/>
      <c r="HW121" s="213"/>
      <c r="HX121" s="213"/>
      <c r="HY121" s="213"/>
      <c r="HZ121" s="213"/>
      <c r="IA121" s="213"/>
      <c r="IB121" s="213"/>
      <c r="IC121" s="213"/>
      <c r="ID121" s="213"/>
      <c r="IE121" s="213"/>
      <c r="IF121" s="213"/>
      <c r="IG121" s="213"/>
      <c r="IH121" s="213"/>
      <c r="II121" s="213"/>
      <c r="IJ121" s="213"/>
      <c r="IK121" s="213"/>
      <c r="IL121" s="213"/>
      <c r="IM121" s="213"/>
      <c r="IN121" s="213"/>
      <c r="IO121" s="213"/>
      <c r="IP121" s="213"/>
      <c r="IQ121" s="213"/>
      <c r="IR121" s="213"/>
      <c r="IS121" s="213"/>
      <c r="IT121" s="213"/>
      <c r="IU121" s="213"/>
    </row>
    <row r="122" s="409" customFormat="1" ht="15.6">
      <c r="A122" s="411" t="s">
        <v>703</v>
      </c>
      <c r="B122" s="412"/>
      <c r="C122" s="412"/>
      <c r="D122" s="412"/>
      <c r="E122" s="412"/>
      <c r="F122" s="412"/>
      <c r="G122" s="412"/>
      <c r="H122" s="412"/>
      <c r="I122" s="412"/>
      <c r="J122" s="412"/>
      <c r="K122" s="412"/>
      <c r="L122" s="412"/>
      <c r="M122" s="412"/>
      <c r="N122" s="412"/>
      <c r="O122" s="412"/>
      <c r="P122" s="412"/>
      <c r="Q122" s="412"/>
      <c r="R122" s="412"/>
      <c r="S122" s="412"/>
      <c r="T122" s="412"/>
      <c r="U122" s="412"/>
      <c r="V122" s="412"/>
      <c r="W122" s="412"/>
      <c r="X122" s="412"/>
      <c r="Y122" s="412"/>
      <c r="Z122" s="412"/>
      <c r="AA122" s="412"/>
      <c r="AB122" s="412"/>
      <c r="AC122" s="412"/>
      <c r="AD122" s="412"/>
      <c r="AE122" s="412"/>
      <c r="AF122" s="412"/>
      <c r="AG122" s="412"/>
      <c r="AH122" s="412"/>
      <c r="AI122" s="412"/>
      <c r="AJ122" s="412"/>
      <c r="AK122" s="412"/>
      <c r="AL122" s="412"/>
    </row>
    <row r="123" s="409" customFormat="1" ht="15.6">
      <c r="A123" s="411" t="s">
        <v>704</v>
      </c>
      <c r="B123" s="412"/>
      <c r="C123" s="412"/>
      <c r="D123" s="412"/>
      <c r="E123" s="412"/>
      <c r="F123" s="412"/>
      <c r="G123" s="412"/>
      <c r="H123" s="412"/>
      <c r="I123" s="412"/>
      <c r="J123" s="412"/>
      <c r="K123" s="412"/>
      <c r="L123" s="412"/>
      <c r="M123" s="412"/>
      <c r="N123" s="412"/>
      <c r="O123" s="412"/>
      <c r="P123" s="412"/>
      <c r="Q123" s="412"/>
      <c r="R123" s="412"/>
      <c r="S123" s="412"/>
      <c r="T123" s="412"/>
      <c r="U123" s="412"/>
      <c r="V123" s="412"/>
      <c r="W123" s="412"/>
      <c r="X123" s="412"/>
      <c r="Y123" s="412"/>
      <c r="Z123" s="412"/>
      <c r="AA123" s="412"/>
      <c r="AB123" s="412"/>
      <c r="AC123" s="412"/>
      <c r="AD123" s="412"/>
      <c r="AE123" s="412"/>
      <c r="AF123" s="412"/>
      <c r="AG123" s="412"/>
      <c r="AH123" s="412"/>
      <c r="AI123" s="412"/>
      <c r="AJ123" s="412"/>
      <c r="AK123" s="412"/>
      <c r="AL123" s="412"/>
    </row>
    <row r="124" s="409" customFormat="1" ht="15.6">
      <c r="A124" s="411" t="s">
        <v>705</v>
      </c>
      <c r="B124" s="412"/>
      <c r="C124" s="412"/>
      <c r="D124" s="412"/>
      <c r="E124" s="412"/>
      <c r="F124" s="412"/>
      <c r="G124" s="412"/>
      <c r="H124" s="412"/>
      <c r="I124" s="412"/>
      <c r="J124" s="412"/>
      <c r="K124" s="412"/>
      <c r="L124" s="412"/>
      <c r="M124" s="412"/>
      <c r="N124" s="412"/>
      <c r="O124" s="412"/>
      <c r="P124" s="412"/>
      <c r="Q124" s="412"/>
      <c r="R124" s="412"/>
      <c r="S124" s="412"/>
      <c r="T124" s="412"/>
      <c r="U124" s="412"/>
      <c r="V124" s="412"/>
      <c r="W124" s="412"/>
      <c r="X124" s="412"/>
      <c r="Y124" s="412"/>
      <c r="Z124" s="412"/>
      <c r="AA124" s="412"/>
      <c r="AB124" s="412"/>
      <c r="AC124" s="412"/>
      <c r="AD124" s="412"/>
      <c r="AE124" s="412"/>
      <c r="AF124" s="412"/>
      <c r="AG124" s="412"/>
      <c r="AH124" s="412"/>
      <c r="AI124" s="412"/>
      <c r="AJ124" s="412"/>
      <c r="AK124" s="412"/>
      <c r="AL124" s="412"/>
    </row>
    <row r="125" s="409" customFormat="1" ht="15.6">
      <c r="A125" s="413" t="s">
        <v>697</v>
      </c>
      <c r="B125" s="412"/>
      <c r="C125" s="412"/>
      <c r="D125" s="412"/>
      <c r="E125" s="412"/>
      <c r="F125" s="412"/>
      <c r="G125" s="412"/>
      <c r="H125" s="412"/>
      <c r="I125" s="412"/>
      <c r="J125" s="412"/>
      <c r="K125" s="412"/>
      <c r="L125" s="412"/>
      <c r="M125" s="412"/>
      <c r="N125" s="412"/>
      <c r="O125" s="412"/>
      <c r="P125" s="412"/>
      <c r="Q125" s="412"/>
      <c r="R125" s="412"/>
      <c r="S125" s="412"/>
      <c r="T125" s="412"/>
      <c r="U125" s="412"/>
      <c r="V125" s="412"/>
      <c r="W125" s="412"/>
      <c r="X125" s="412"/>
      <c r="Y125" s="412"/>
      <c r="Z125" s="412"/>
      <c r="AA125" s="412"/>
      <c r="AB125" s="412"/>
      <c r="AC125" s="412"/>
      <c r="AD125" s="412"/>
      <c r="AE125" s="412"/>
      <c r="AF125" s="412"/>
      <c r="AG125" s="412"/>
      <c r="AH125" s="412"/>
      <c r="AI125" s="412"/>
      <c r="AJ125" s="412"/>
      <c r="AK125" s="412"/>
      <c r="AL125" s="412"/>
    </row>
  </sheetData>
  <mergeCells count="124">
    <mergeCell ref="A4:A6"/>
    <mergeCell ref="B4:I5"/>
    <mergeCell ref="J4:Q5"/>
    <mergeCell ref="R4:AL4"/>
    <mergeCell ref="R5:T5"/>
    <mergeCell ref="U5:W5"/>
    <mergeCell ref="X5:Z5"/>
    <mergeCell ref="AA5:AC5"/>
    <mergeCell ref="AD5:AF5"/>
    <mergeCell ref="AG5:AI5"/>
    <mergeCell ref="AJ5:AL5"/>
    <mergeCell ref="A15:A17"/>
    <mergeCell ref="B15:I16"/>
    <mergeCell ref="J15:Q16"/>
    <mergeCell ref="R15:AL15"/>
    <mergeCell ref="R16:T16"/>
    <mergeCell ref="U16:W16"/>
    <mergeCell ref="X16:Z16"/>
    <mergeCell ref="AA16:AC16"/>
    <mergeCell ref="AD16:AF16"/>
    <mergeCell ref="AG16:AI16"/>
    <mergeCell ref="AJ16:AL16"/>
    <mergeCell ref="A25:A27"/>
    <mergeCell ref="B25:I26"/>
    <mergeCell ref="J25:Q26"/>
    <mergeCell ref="R25:AL25"/>
    <mergeCell ref="R26:T26"/>
    <mergeCell ref="U26:W26"/>
    <mergeCell ref="X26:Z26"/>
    <mergeCell ref="AA26:AC26"/>
    <mergeCell ref="AD26:AF26"/>
    <mergeCell ref="AG26:AI26"/>
    <mergeCell ref="AJ26:AL26"/>
    <mergeCell ref="B36:Q37"/>
    <mergeCell ref="A40:A42"/>
    <mergeCell ref="B40:I41"/>
    <mergeCell ref="J40:Q41"/>
    <mergeCell ref="R40:AL40"/>
    <mergeCell ref="R41:T41"/>
    <mergeCell ref="U41:W41"/>
    <mergeCell ref="X41:Z41"/>
    <mergeCell ref="AA41:AC41"/>
    <mergeCell ref="AD41:AF41"/>
    <mergeCell ref="AG41:AI41"/>
    <mergeCell ref="AJ41:AL41"/>
    <mergeCell ref="B47:R48"/>
    <mergeCell ref="I51:Q52"/>
    <mergeCell ref="A55:A57"/>
    <mergeCell ref="B55:I56"/>
    <mergeCell ref="J55:Q56"/>
    <mergeCell ref="R55:AL55"/>
    <mergeCell ref="R56:T56"/>
    <mergeCell ref="U56:W56"/>
    <mergeCell ref="X56:Z56"/>
    <mergeCell ref="AA56:AC56"/>
    <mergeCell ref="AD56:AF56"/>
    <mergeCell ref="AG56:AI56"/>
    <mergeCell ref="AJ56:AL56"/>
    <mergeCell ref="A71:A73"/>
    <mergeCell ref="B71:I72"/>
    <mergeCell ref="J71:Q72"/>
    <mergeCell ref="R71:AL71"/>
    <mergeCell ref="R72:T72"/>
    <mergeCell ref="U72:W72"/>
    <mergeCell ref="X72:Z72"/>
    <mergeCell ref="AA72:AC72"/>
    <mergeCell ref="AD72:AF72"/>
    <mergeCell ref="AG72:AI72"/>
    <mergeCell ref="AJ72:AL72"/>
    <mergeCell ref="A84:A86"/>
    <mergeCell ref="B84:I85"/>
    <mergeCell ref="J84:Q85"/>
    <mergeCell ref="R84:AL84"/>
    <mergeCell ref="R85:T85"/>
    <mergeCell ref="U85:W85"/>
    <mergeCell ref="X85:Z85"/>
    <mergeCell ref="AA85:AC85"/>
    <mergeCell ref="AD85:AF85"/>
    <mergeCell ref="AG85:AI85"/>
    <mergeCell ref="AJ85:AL85"/>
    <mergeCell ref="A93:A95"/>
    <mergeCell ref="B93:I94"/>
    <mergeCell ref="J93:Q94"/>
    <mergeCell ref="R93:AL93"/>
    <mergeCell ref="R94:T94"/>
    <mergeCell ref="U94:W94"/>
    <mergeCell ref="X94:Z94"/>
    <mergeCell ref="AA94:AC94"/>
    <mergeCell ref="AD94:AF94"/>
    <mergeCell ref="AG94:AI94"/>
    <mergeCell ref="AJ94:AL94"/>
    <mergeCell ref="A101:A103"/>
    <mergeCell ref="B101:I102"/>
    <mergeCell ref="J101:Q102"/>
    <mergeCell ref="R101:AL101"/>
    <mergeCell ref="R102:T102"/>
    <mergeCell ref="U102:W102"/>
    <mergeCell ref="X102:Z102"/>
    <mergeCell ref="AA102:AC102"/>
    <mergeCell ref="AD102:AF102"/>
    <mergeCell ref="AG102:AI102"/>
    <mergeCell ref="AJ102:AL102"/>
    <mergeCell ref="A109:A111"/>
    <mergeCell ref="B109:I110"/>
    <mergeCell ref="J109:Q110"/>
    <mergeCell ref="R109:AL109"/>
    <mergeCell ref="R110:T110"/>
    <mergeCell ref="U110:W110"/>
    <mergeCell ref="X110:Z110"/>
    <mergeCell ref="AA110:AC110"/>
    <mergeCell ref="AD110:AF110"/>
    <mergeCell ref="AG110:AI110"/>
    <mergeCell ref="AJ110:AL110"/>
    <mergeCell ref="A119:A121"/>
    <mergeCell ref="B119:I120"/>
    <mergeCell ref="J119:Q120"/>
    <mergeCell ref="R119:AL119"/>
    <mergeCell ref="R120:T120"/>
    <mergeCell ref="U120:W120"/>
    <mergeCell ref="X120:Z120"/>
    <mergeCell ref="AA120:AC120"/>
    <mergeCell ref="AD120:AF120"/>
    <mergeCell ref="AG120:AI120"/>
    <mergeCell ref="AJ120:AL120"/>
  </mergeCells>
  <printOptions headings="0" gridLines="0" horizontalCentered="0" verticalCentered="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7030A0"/>
    <outlinePr applyStyles="0" summaryBelow="1" summaryRight="1" showOutlineSymbols="1"/>
    <pageSetUpPr autoPageBreaks="1" fitToPage="0"/>
  </sheetPr>
  <sheetViews>
    <sheetView showFormulas="0" showGridLines="1" showRowColHeaders="1" showZeros="1" rightToLeft="0" view="normal" topLeftCell="A1" zoomScale="60" workbookViewId="0">
      <selection activeCell="O37" activeCellId="0" sqref="O37"/>
    </sheetView>
  </sheetViews>
  <sheetFormatPr defaultColWidth="9.109375" defaultRowHeight="15.6"/>
  <cols>
    <col customWidth="1" min="1" max="1" style="64" width="55.670000000000002"/>
    <col customWidth="1" min="2" max="8" style="64" width="18.670000000000002"/>
    <col customWidth="1" min="9" max="9" style="64" width="12.109999999999999"/>
    <col customWidth="0" min="10" max="256" style="64" width="9.1099999999999994"/>
    <col customWidth="1" min="257" max="257" style="64" width="28.559999999999999"/>
    <col customWidth="1" min="258" max="258" style="64" width="17.559999999999999"/>
    <col customWidth="1" min="259" max="259" style="64" width="17"/>
    <col customWidth="1" min="260" max="260" style="64" width="19.109999999999999"/>
    <col customWidth="1" min="261" max="261" style="64" width="16.329999999999998"/>
    <col customWidth="1" min="262" max="262" style="64" width="11.67"/>
    <col customWidth="1" min="263" max="264" style="64" width="10.44"/>
    <col customWidth="1" min="265" max="265" style="64" width="12.109999999999999"/>
    <col customWidth="0" min="266" max="512" style="64" width="9.1099999999999994"/>
    <col customWidth="1" min="513" max="513" style="64" width="28.559999999999999"/>
    <col customWidth="1" min="514" max="514" style="64" width="17.559999999999999"/>
    <col customWidth="1" min="515" max="515" style="64" width="17"/>
    <col customWidth="1" min="516" max="516" style="64" width="19.109999999999999"/>
    <col customWidth="1" min="517" max="517" style="64" width="16.329999999999998"/>
    <col customWidth="1" min="518" max="518" style="64" width="11.67"/>
    <col customWidth="1" min="519" max="520" style="64" width="10.44"/>
    <col customWidth="1" min="521" max="521" style="64" width="12.109999999999999"/>
    <col customWidth="0" min="522" max="768" style="64" width="9.1099999999999994"/>
    <col customWidth="1" min="769" max="769" style="64" width="28.559999999999999"/>
    <col customWidth="1" min="770" max="770" style="64" width="17.559999999999999"/>
    <col customWidth="1" min="771" max="771" style="64" width="17"/>
    <col customWidth="1" min="772" max="772" style="64" width="19.109999999999999"/>
    <col customWidth="1" min="773" max="773" style="64" width="16.329999999999998"/>
    <col customWidth="1" min="774" max="774" style="64" width="11.67"/>
    <col customWidth="1" min="775" max="776" style="64" width="10.44"/>
    <col customWidth="1" min="777" max="777" style="64" width="12.109999999999999"/>
    <col customWidth="0" min="778" max="1024" style="64" width="9.1099999999999994"/>
    <col customWidth="1" min="1025" max="1025" style="64" width="28.559999999999999"/>
    <col customWidth="1" min="1026" max="1026" style="64" width="17.559999999999999"/>
    <col customWidth="1" min="1027" max="1027" style="64" width="17"/>
    <col customWidth="1" min="1028" max="1028" style="64" width="19.109999999999999"/>
    <col customWidth="1" min="1029" max="1029" style="64" width="16.329999999999998"/>
    <col customWidth="1" min="1030" max="1030" style="64" width="11.67"/>
    <col customWidth="1" min="1031" max="1032" style="64" width="10.44"/>
    <col customWidth="1" min="1033" max="1033" style="64" width="12.109999999999999"/>
    <col customWidth="0" min="1034" max="1280" style="64" width="9.1099999999999994"/>
    <col customWidth="1" min="1281" max="1281" style="64" width="28.559999999999999"/>
    <col customWidth="1" min="1282" max="1282" style="64" width="17.559999999999999"/>
    <col customWidth="1" min="1283" max="1283" style="64" width="17"/>
    <col customWidth="1" min="1284" max="1284" style="64" width="19.109999999999999"/>
    <col customWidth="1" min="1285" max="1285" style="64" width="16.329999999999998"/>
    <col customWidth="1" min="1286" max="1286" style="64" width="11.67"/>
    <col customWidth="1" min="1287" max="1288" style="64" width="10.44"/>
    <col customWidth="1" min="1289" max="1289" style="64" width="12.109999999999999"/>
    <col customWidth="0" min="1290" max="1536" style="64" width="9.1099999999999994"/>
    <col customWidth="1" min="1537" max="1537" style="64" width="28.559999999999999"/>
    <col customWidth="1" min="1538" max="1538" style="64" width="17.559999999999999"/>
    <col customWidth="1" min="1539" max="1539" style="64" width="17"/>
    <col customWidth="1" min="1540" max="1540" style="64" width="19.109999999999999"/>
    <col customWidth="1" min="1541" max="1541" style="64" width="16.329999999999998"/>
    <col customWidth="1" min="1542" max="1542" style="64" width="11.67"/>
    <col customWidth="1" min="1543" max="1544" style="64" width="10.44"/>
    <col customWidth="1" min="1545" max="1545" style="64" width="12.109999999999999"/>
    <col customWidth="0" min="1546" max="1792" style="64" width="9.1099999999999994"/>
    <col customWidth="1" min="1793" max="1793" style="64" width="28.559999999999999"/>
    <col customWidth="1" min="1794" max="1794" style="64" width="17.559999999999999"/>
    <col customWidth="1" min="1795" max="1795" style="64" width="17"/>
    <col customWidth="1" min="1796" max="1796" style="64" width="19.109999999999999"/>
    <col customWidth="1" min="1797" max="1797" style="64" width="16.329999999999998"/>
    <col customWidth="1" min="1798" max="1798" style="64" width="11.67"/>
    <col customWidth="1" min="1799" max="1800" style="64" width="10.44"/>
    <col customWidth="1" min="1801" max="1801" style="64" width="12.109999999999999"/>
    <col customWidth="0" min="1802" max="2048" style="64" width="9.1099999999999994"/>
    <col customWidth="1" min="2049" max="2049" style="64" width="28.559999999999999"/>
    <col customWidth="1" min="2050" max="2050" style="64" width="17.559999999999999"/>
    <col customWidth="1" min="2051" max="2051" style="64" width="17"/>
    <col customWidth="1" min="2052" max="2052" style="64" width="19.109999999999999"/>
    <col customWidth="1" min="2053" max="2053" style="64" width="16.329999999999998"/>
    <col customWidth="1" min="2054" max="2054" style="64" width="11.67"/>
    <col customWidth="1" min="2055" max="2056" style="64" width="10.44"/>
    <col customWidth="1" min="2057" max="2057" style="64" width="12.109999999999999"/>
    <col customWidth="0" min="2058" max="2304" style="64" width="9.1099999999999994"/>
    <col customWidth="1" min="2305" max="2305" style="64" width="28.559999999999999"/>
    <col customWidth="1" min="2306" max="2306" style="64" width="17.559999999999999"/>
    <col customWidth="1" min="2307" max="2307" style="64" width="17"/>
    <col customWidth="1" min="2308" max="2308" style="64" width="19.109999999999999"/>
    <col customWidth="1" min="2309" max="2309" style="64" width="16.329999999999998"/>
    <col customWidth="1" min="2310" max="2310" style="64" width="11.67"/>
    <col customWidth="1" min="2311" max="2312" style="64" width="10.44"/>
    <col customWidth="1" min="2313" max="2313" style="64" width="12.109999999999999"/>
    <col customWidth="0" min="2314" max="2560" style="64" width="9.1099999999999994"/>
    <col customWidth="1" min="2561" max="2561" style="64" width="28.559999999999999"/>
    <col customWidth="1" min="2562" max="2562" style="64" width="17.559999999999999"/>
    <col customWidth="1" min="2563" max="2563" style="64" width="17"/>
    <col customWidth="1" min="2564" max="2564" style="64" width="19.109999999999999"/>
    <col customWidth="1" min="2565" max="2565" style="64" width="16.329999999999998"/>
    <col customWidth="1" min="2566" max="2566" style="64" width="11.67"/>
    <col customWidth="1" min="2567" max="2568" style="64" width="10.44"/>
    <col customWidth="1" min="2569" max="2569" style="64" width="12.109999999999999"/>
    <col customWidth="0" min="2570" max="2816" style="64" width="9.1099999999999994"/>
    <col customWidth="1" min="2817" max="2817" style="64" width="28.559999999999999"/>
    <col customWidth="1" min="2818" max="2818" style="64" width="17.559999999999999"/>
    <col customWidth="1" min="2819" max="2819" style="64" width="17"/>
    <col customWidth="1" min="2820" max="2820" style="64" width="19.109999999999999"/>
    <col customWidth="1" min="2821" max="2821" style="64" width="16.329999999999998"/>
    <col customWidth="1" min="2822" max="2822" style="64" width="11.67"/>
    <col customWidth="1" min="2823" max="2824" style="64" width="10.44"/>
    <col customWidth="1" min="2825" max="2825" style="64" width="12.109999999999999"/>
    <col customWidth="0" min="2826" max="3072" style="64" width="9.1099999999999994"/>
    <col customWidth="1" min="3073" max="3073" style="64" width="28.559999999999999"/>
    <col customWidth="1" min="3074" max="3074" style="64" width="17.559999999999999"/>
    <col customWidth="1" min="3075" max="3075" style="64" width="17"/>
    <col customWidth="1" min="3076" max="3076" style="64" width="19.109999999999999"/>
    <col customWidth="1" min="3077" max="3077" style="64" width="16.329999999999998"/>
    <col customWidth="1" min="3078" max="3078" style="64" width="11.67"/>
    <col customWidth="1" min="3079" max="3080" style="64" width="10.44"/>
    <col customWidth="1" min="3081" max="3081" style="64" width="12.109999999999999"/>
    <col customWidth="0" min="3082" max="3328" style="64" width="9.1099999999999994"/>
    <col customWidth="1" min="3329" max="3329" style="64" width="28.559999999999999"/>
    <col customWidth="1" min="3330" max="3330" style="64" width="17.559999999999999"/>
    <col customWidth="1" min="3331" max="3331" style="64" width="17"/>
    <col customWidth="1" min="3332" max="3332" style="64" width="19.109999999999999"/>
    <col customWidth="1" min="3333" max="3333" style="64" width="16.329999999999998"/>
    <col customWidth="1" min="3334" max="3334" style="64" width="11.67"/>
    <col customWidth="1" min="3335" max="3336" style="64" width="10.44"/>
    <col customWidth="1" min="3337" max="3337" style="64" width="12.109999999999999"/>
    <col customWidth="0" min="3338" max="3584" style="64" width="9.1099999999999994"/>
    <col customWidth="1" min="3585" max="3585" style="64" width="28.559999999999999"/>
    <col customWidth="1" min="3586" max="3586" style="64" width="17.559999999999999"/>
    <col customWidth="1" min="3587" max="3587" style="64" width="17"/>
    <col customWidth="1" min="3588" max="3588" style="64" width="19.109999999999999"/>
    <col customWidth="1" min="3589" max="3589" style="64" width="16.329999999999998"/>
    <col customWidth="1" min="3590" max="3590" style="64" width="11.67"/>
    <col customWidth="1" min="3591" max="3592" style="64" width="10.44"/>
    <col customWidth="1" min="3593" max="3593" style="64" width="12.109999999999999"/>
    <col customWidth="0" min="3594" max="3840" style="64" width="9.1099999999999994"/>
    <col customWidth="1" min="3841" max="3841" style="64" width="28.559999999999999"/>
    <col customWidth="1" min="3842" max="3842" style="64" width="17.559999999999999"/>
    <col customWidth="1" min="3843" max="3843" style="64" width="17"/>
    <col customWidth="1" min="3844" max="3844" style="64" width="19.109999999999999"/>
    <col customWidth="1" min="3845" max="3845" style="64" width="16.329999999999998"/>
    <col customWidth="1" min="3846" max="3846" style="64" width="11.67"/>
    <col customWidth="1" min="3847" max="3848" style="64" width="10.44"/>
    <col customWidth="1" min="3849" max="3849" style="64" width="12.109999999999999"/>
    <col customWidth="0" min="3850" max="4096" style="64" width="9.1099999999999994"/>
    <col customWidth="1" min="4097" max="4097" style="64" width="28.559999999999999"/>
    <col customWidth="1" min="4098" max="4098" style="64" width="17.559999999999999"/>
    <col customWidth="1" min="4099" max="4099" style="64" width="17"/>
    <col customWidth="1" min="4100" max="4100" style="64" width="19.109999999999999"/>
    <col customWidth="1" min="4101" max="4101" style="64" width="16.329999999999998"/>
    <col customWidth="1" min="4102" max="4102" style="64" width="11.67"/>
    <col customWidth="1" min="4103" max="4104" style="64" width="10.44"/>
    <col customWidth="1" min="4105" max="4105" style="64" width="12.109999999999999"/>
    <col customWidth="0" min="4106" max="4352" style="64" width="9.1099999999999994"/>
    <col customWidth="1" min="4353" max="4353" style="64" width="28.559999999999999"/>
    <col customWidth="1" min="4354" max="4354" style="64" width="17.559999999999999"/>
    <col customWidth="1" min="4355" max="4355" style="64" width="17"/>
    <col customWidth="1" min="4356" max="4356" style="64" width="19.109999999999999"/>
    <col customWidth="1" min="4357" max="4357" style="64" width="16.329999999999998"/>
    <col customWidth="1" min="4358" max="4358" style="64" width="11.67"/>
    <col customWidth="1" min="4359" max="4360" style="64" width="10.44"/>
    <col customWidth="1" min="4361" max="4361" style="64" width="12.109999999999999"/>
    <col customWidth="0" min="4362" max="4608" style="64" width="9.1099999999999994"/>
    <col customWidth="1" min="4609" max="4609" style="64" width="28.559999999999999"/>
    <col customWidth="1" min="4610" max="4610" style="64" width="17.559999999999999"/>
    <col customWidth="1" min="4611" max="4611" style="64" width="17"/>
    <col customWidth="1" min="4612" max="4612" style="64" width="19.109999999999999"/>
    <col customWidth="1" min="4613" max="4613" style="64" width="16.329999999999998"/>
    <col customWidth="1" min="4614" max="4614" style="64" width="11.67"/>
    <col customWidth="1" min="4615" max="4616" style="64" width="10.44"/>
    <col customWidth="1" min="4617" max="4617" style="64" width="12.109999999999999"/>
    <col customWidth="0" min="4618" max="4864" style="64" width="9.1099999999999994"/>
    <col customWidth="1" min="4865" max="4865" style="64" width="28.559999999999999"/>
    <col customWidth="1" min="4866" max="4866" style="64" width="17.559999999999999"/>
    <col customWidth="1" min="4867" max="4867" style="64" width="17"/>
    <col customWidth="1" min="4868" max="4868" style="64" width="19.109999999999999"/>
    <col customWidth="1" min="4869" max="4869" style="64" width="16.329999999999998"/>
    <col customWidth="1" min="4870" max="4870" style="64" width="11.67"/>
    <col customWidth="1" min="4871" max="4872" style="64" width="10.44"/>
    <col customWidth="1" min="4873" max="4873" style="64" width="12.109999999999999"/>
    <col customWidth="0" min="4874" max="5120" style="64" width="9.1099999999999994"/>
    <col customWidth="1" min="5121" max="5121" style="64" width="28.559999999999999"/>
    <col customWidth="1" min="5122" max="5122" style="64" width="17.559999999999999"/>
    <col customWidth="1" min="5123" max="5123" style="64" width="17"/>
    <col customWidth="1" min="5124" max="5124" style="64" width="19.109999999999999"/>
    <col customWidth="1" min="5125" max="5125" style="64" width="16.329999999999998"/>
    <col customWidth="1" min="5126" max="5126" style="64" width="11.67"/>
    <col customWidth="1" min="5127" max="5128" style="64" width="10.44"/>
    <col customWidth="1" min="5129" max="5129" style="64" width="12.109999999999999"/>
    <col customWidth="0" min="5130" max="5376" style="64" width="9.1099999999999994"/>
    <col customWidth="1" min="5377" max="5377" style="64" width="28.559999999999999"/>
    <col customWidth="1" min="5378" max="5378" style="64" width="17.559999999999999"/>
    <col customWidth="1" min="5379" max="5379" style="64" width="17"/>
    <col customWidth="1" min="5380" max="5380" style="64" width="19.109999999999999"/>
    <col customWidth="1" min="5381" max="5381" style="64" width="16.329999999999998"/>
    <col customWidth="1" min="5382" max="5382" style="64" width="11.67"/>
    <col customWidth="1" min="5383" max="5384" style="64" width="10.44"/>
    <col customWidth="1" min="5385" max="5385" style="64" width="12.109999999999999"/>
    <col customWidth="0" min="5386" max="5632" style="64" width="9.1099999999999994"/>
    <col customWidth="1" min="5633" max="5633" style="64" width="28.559999999999999"/>
    <col customWidth="1" min="5634" max="5634" style="64" width="17.559999999999999"/>
    <col customWidth="1" min="5635" max="5635" style="64" width="17"/>
    <col customWidth="1" min="5636" max="5636" style="64" width="19.109999999999999"/>
    <col customWidth="1" min="5637" max="5637" style="64" width="16.329999999999998"/>
    <col customWidth="1" min="5638" max="5638" style="64" width="11.67"/>
    <col customWidth="1" min="5639" max="5640" style="64" width="10.44"/>
    <col customWidth="1" min="5641" max="5641" style="64" width="12.109999999999999"/>
    <col customWidth="0" min="5642" max="5888" style="64" width="9.1099999999999994"/>
    <col customWidth="1" min="5889" max="5889" style="64" width="28.559999999999999"/>
    <col customWidth="1" min="5890" max="5890" style="64" width="17.559999999999999"/>
    <col customWidth="1" min="5891" max="5891" style="64" width="17"/>
    <col customWidth="1" min="5892" max="5892" style="64" width="19.109999999999999"/>
    <col customWidth="1" min="5893" max="5893" style="64" width="16.329999999999998"/>
    <col customWidth="1" min="5894" max="5894" style="64" width="11.67"/>
    <col customWidth="1" min="5895" max="5896" style="64" width="10.44"/>
    <col customWidth="1" min="5897" max="5897" style="64" width="12.109999999999999"/>
    <col customWidth="0" min="5898" max="6144" style="64" width="9.1099999999999994"/>
    <col customWidth="1" min="6145" max="6145" style="64" width="28.559999999999999"/>
    <col customWidth="1" min="6146" max="6146" style="64" width="17.559999999999999"/>
    <col customWidth="1" min="6147" max="6147" style="64" width="17"/>
    <col customWidth="1" min="6148" max="6148" style="64" width="19.109999999999999"/>
    <col customWidth="1" min="6149" max="6149" style="64" width="16.329999999999998"/>
    <col customWidth="1" min="6150" max="6150" style="64" width="11.67"/>
    <col customWidth="1" min="6151" max="6152" style="64" width="10.44"/>
    <col customWidth="1" min="6153" max="6153" style="64" width="12.109999999999999"/>
    <col customWidth="0" min="6154" max="6400" style="64" width="9.1099999999999994"/>
    <col customWidth="1" min="6401" max="6401" style="64" width="28.559999999999999"/>
    <col customWidth="1" min="6402" max="6402" style="64" width="17.559999999999999"/>
    <col customWidth="1" min="6403" max="6403" style="64" width="17"/>
    <col customWidth="1" min="6404" max="6404" style="64" width="19.109999999999999"/>
    <col customWidth="1" min="6405" max="6405" style="64" width="16.329999999999998"/>
    <col customWidth="1" min="6406" max="6406" style="64" width="11.67"/>
    <col customWidth="1" min="6407" max="6408" style="64" width="10.44"/>
    <col customWidth="1" min="6409" max="6409" style="64" width="12.109999999999999"/>
    <col customWidth="0" min="6410" max="6656" style="64" width="9.1099999999999994"/>
    <col customWidth="1" min="6657" max="6657" style="64" width="28.559999999999999"/>
    <col customWidth="1" min="6658" max="6658" style="64" width="17.559999999999999"/>
    <col customWidth="1" min="6659" max="6659" style="64" width="17"/>
    <col customWidth="1" min="6660" max="6660" style="64" width="19.109999999999999"/>
    <col customWidth="1" min="6661" max="6661" style="64" width="16.329999999999998"/>
    <col customWidth="1" min="6662" max="6662" style="64" width="11.67"/>
    <col customWidth="1" min="6663" max="6664" style="64" width="10.44"/>
    <col customWidth="1" min="6665" max="6665" style="64" width="12.109999999999999"/>
    <col customWidth="0" min="6666" max="6912" style="64" width="9.1099999999999994"/>
    <col customWidth="1" min="6913" max="6913" style="64" width="28.559999999999999"/>
    <col customWidth="1" min="6914" max="6914" style="64" width="17.559999999999999"/>
    <col customWidth="1" min="6915" max="6915" style="64" width="17"/>
    <col customWidth="1" min="6916" max="6916" style="64" width="19.109999999999999"/>
    <col customWidth="1" min="6917" max="6917" style="64" width="16.329999999999998"/>
    <col customWidth="1" min="6918" max="6918" style="64" width="11.67"/>
    <col customWidth="1" min="6919" max="6920" style="64" width="10.44"/>
    <col customWidth="1" min="6921" max="6921" style="64" width="12.109999999999999"/>
    <col customWidth="0" min="6922" max="7168" style="64" width="9.1099999999999994"/>
    <col customWidth="1" min="7169" max="7169" style="64" width="28.559999999999999"/>
    <col customWidth="1" min="7170" max="7170" style="64" width="17.559999999999999"/>
    <col customWidth="1" min="7171" max="7171" style="64" width="17"/>
    <col customWidth="1" min="7172" max="7172" style="64" width="19.109999999999999"/>
    <col customWidth="1" min="7173" max="7173" style="64" width="16.329999999999998"/>
    <col customWidth="1" min="7174" max="7174" style="64" width="11.67"/>
    <col customWidth="1" min="7175" max="7176" style="64" width="10.44"/>
    <col customWidth="1" min="7177" max="7177" style="64" width="12.109999999999999"/>
    <col customWidth="0" min="7178" max="7424" style="64" width="9.1099999999999994"/>
    <col customWidth="1" min="7425" max="7425" style="64" width="28.559999999999999"/>
    <col customWidth="1" min="7426" max="7426" style="64" width="17.559999999999999"/>
    <col customWidth="1" min="7427" max="7427" style="64" width="17"/>
    <col customWidth="1" min="7428" max="7428" style="64" width="19.109999999999999"/>
    <col customWidth="1" min="7429" max="7429" style="64" width="16.329999999999998"/>
    <col customWidth="1" min="7430" max="7430" style="64" width="11.67"/>
    <col customWidth="1" min="7431" max="7432" style="64" width="10.44"/>
    <col customWidth="1" min="7433" max="7433" style="64" width="12.109999999999999"/>
    <col customWidth="0" min="7434" max="7680" style="64" width="9.1099999999999994"/>
    <col customWidth="1" min="7681" max="7681" style="64" width="28.559999999999999"/>
    <col customWidth="1" min="7682" max="7682" style="64" width="17.559999999999999"/>
    <col customWidth="1" min="7683" max="7683" style="64" width="17"/>
    <col customWidth="1" min="7684" max="7684" style="64" width="19.109999999999999"/>
    <col customWidth="1" min="7685" max="7685" style="64" width="16.329999999999998"/>
    <col customWidth="1" min="7686" max="7686" style="64" width="11.67"/>
    <col customWidth="1" min="7687" max="7688" style="64" width="10.44"/>
    <col customWidth="1" min="7689" max="7689" style="64" width="12.109999999999999"/>
    <col customWidth="0" min="7690" max="7936" style="64" width="9.1099999999999994"/>
    <col customWidth="1" min="7937" max="7937" style="64" width="28.559999999999999"/>
    <col customWidth="1" min="7938" max="7938" style="64" width="17.559999999999999"/>
    <col customWidth="1" min="7939" max="7939" style="64" width="17"/>
    <col customWidth="1" min="7940" max="7940" style="64" width="19.109999999999999"/>
    <col customWidth="1" min="7941" max="7941" style="64" width="16.329999999999998"/>
    <col customWidth="1" min="7942" max="7942" style="64" width="11.67"/>
    <col customWidth="1" min="7943" max="7944" style="64" width="10.44"/>
    <col customWidth="1" min="7945" max="7945" style="64" width="12.109999999999999"/>
    <col customWidth="0" min="7946" max="8192" style="64" width="9.1099999999999994"/>
    <col customWidth="1" min="8193" max="8193" style="64" width="28.559999999999999"/>
    <col customWidth="1" min="8194" max="8194" style="64" width="17.559999999999999"/>
    <col customWidth="1" min="8195" max="8195" style="64" width="17"/>
    <col customWidth="1" min="8196" max="8196" style="64" width="19.109999999999999"/>
    <col customWidth="1" min="8197" max="8197" style="64" width="16.329999999999998"/>
    <col customWidth="1" min="8198" max="8198" style="64" width="11.67"/>
    <col customWidth="1" min="8199" max="8200" style="64" width="10.44"/>
    <col customWidth="1" min="8201" max="8201" style="64" width="12.109999999999999"/>
    <col customWidth="0" min="8202" max="8448" style="64" width="9.1099999999999994"/>
    <col customWidth="1" min="8449" max="8449" style="64" width="28.559999999999999"/>
    <col customWidth="1" min="8450" max="8450" style="64" width="17.559999999999999"/>
    <col customWidth="1" min="8451" max="8451" style="64" width="17"/>
    <col customWidth="1" min="8452" max="8452" style="64" width="19.109999999999999"/>
    <col customWidth="1" min="8453" max="8453" style="64" width="16.329999999999998"/>
    <col customWidth="1" min="8454" max="8454" style="64" width="11.67"/>
    <col customWidth="1" min="8455" max="8456" style="64" width="10.44"/>
    <col customWidth="1" min="8457" max="8457" style="64" width="12.109999999999999"/>
    <col customWidth="0" min="8458" max="8704" style="64" width="9.1099999999999994"/>
    <col customWidth="1" min="8705" max="8705" style="64" width="28.559999999999999"/>
    <col customWidth="1" min="8706" max="8706" style="64" width="17.559999999999999"/>
    <col customWidth="1" min="8707" max="8707" style="64" width="17"/>
    <col customWidth="1" min="8708" max="8708" style="64" width="19.109999999999999"/>
    <col customWidth="1" min="8709" max="8709" style="64" width="16.329999999999998"/>
    <col customWidth="1" min="8710" max="8710" style="64" width="11.67"/>
    <col customWidth="1" min="8711" max="8712" style="64" width="10.44"/>
    <col customWidth="1" min="8713" max="8713" style="64" width="12.109999999999999"/>
    <col customWidth="0" min="8714" max="8960" style="64" width="9.1099999999999994"/>
    <col customWidth="1" min="8961" max="8961" style="64" width="28.559999999999999"/>
    <col customWidth="1" min="8962" max="8962" style="64" width="17.559999999999999"/>
    <col customWidth="1" min="8963" max="8963" style="64" width="17"/>
    <col customWidth="1" min="8964" max="8964" style="64" width="19.109999999999999"/>
    <col customWidth="1" min="8965" max="8965" style="64" width="16.329999999999998"/>
    <col customWidth="1" min="8966" max="8966" style="64" width="11.67"/>
    <col customWidth="1" min="8967" max="8968" style="64" width="10.44"/>
    <col customWidth="1" min="8969" max="8969" style="64" width="12.109999999999999"/>
    <col customWidth="0" min="8970" max="9216" style="64" width="9.1099999999999994"/>
    <col customWidth="1" min="9217" max="9217" style="64" width="28.559999999999999"/>
    <col customWidth="1" min="9218" max="9218" style="64" width="17.559999999999999"/>
    <col customWidth="1" min="9219" max="9219" style="64" width="17"/>
    <col customWidth="1" min="9220" max="9220" style="64" width="19.109999999999999"/>
    <col customWidth="1" min="9221" max="9221" style="64" width="16.329999999999998"/>
    <col customWidth="1" min="9222" max="9222" style="64" width="11.67"/>
    <col customWidth="1" min="9223" max="9224" style="64" width="10.44"/>
    <col customWidth="1" min="9225" max="9225" style="64" width="12.109999999999999"/>
    <col customWidth="0" min="9226" max="9472" style="64" width="9.1099999999999994"/>
    <col customWidth="1" min="9473" max="9473" style="64" width="28.559999999999999"/>
    <col customWidth="1" min="9474" max="9474" style="64" width="17.559999999999999"/>
    <col customWidth="1" min="9475" max="9475" style="64" width="17"/>
    <col customWidth="1" min="9476" max="9476" style="64" width="19.109999999999999"/>
    <col customWidth="1" min="9477" max="9477" style="64" width="16.329999999999998"/>
    <col customWidth="1" min="9478" max="9478" style="64" width="11.67"/>
    <col customWidth="1" min="9479" max="9480" style="64" width="10.44"/>
    <col customWidth="1" min="9481" max="9481" style="64" width="12.109999999999999"/>
    <col customWidth="0" min="9482" max="9728" style="64" width="9.1099999999999994"/>
    <col customWidth="1" min="9729" max="9729" style="64" width="28.559999999999999"/>
    <col customWidth="1" min="9730" max="9730" style="64" width="17.559999999999999"/>
    <col customWidth="1" min="9731" max="9731" style="64" width="17"/>
    <col customWidth="1" min="9732" max="9732" style="64" width="19.109999999999999"/>
    <col customWidth="1" min="9733" max="9733" style="64" width="16.329999999999998"/>
    <col customWidth="1" min="9734" max="9734" style="64" width="11.67"/>
    <col customWidth="1" min="9735" max="9736" style="64" width="10.44"/>
    <col customWidth="1" min="9737" max="9737" style="64" width="12.109999999999999"/>
    <col customWidth="0" min="9738" max="9984" style="64" width="9.1099999999999994"/>
    <col customWidth="1" min="9985" max="9985" style="64" width="28.559999999999999"/>
    <col customWidth="1" min="9986" max="9986" style="64" width="17.559999999999999"/>
    <col customWidth="1" min="9987" max="9987" style="64" width="17"/>
    <col customWidth="1" min="9988" max="9988" style="64" width="19.109999999999999"/>
    <col customWidth="1" min="9989" max="9989" style="64" width="16.329999999999998"/>
    <col customWidth="1" min="9990" max="9990" style="64" width="11.67"/>
    <col customWidth="1" min="9991" max="9992" style="64" width="10.44"/>
    <col customWidth="1" min="9993" max="9993" style="64" width="12.109999999999999"/>
    <col customWidth="0" min="9994" max="10240" style="64" width="9.1099999999999994"/>
    <col customWidth="1" min="10241" max="10241" style="64" width="28.559999999999999"/>
    <col customWidth="1" min="10242" max="10242" style="64" width="17.559999999999999"/>
    <col customWidth="1" min="10243" max="10243" style="64" width="17"/>
    <col customWidth="1" min="10244" max="10244" style="64" width="19.109999999999999"/>
    <col customWidth="1" min="10245" max="10245" style="64" width="16.329999999999998"/>
    <col customWidth="1" min="10246" max="10246" style="64" width="11.67"/>
    <col customWidth="1" min="10247" max="10248" style="64" width="10.44"/>
    <col customWidth="1" min="10249" max="10249" style="64" width="12.109999999999999"/>
    <col customWidth="0" min="10250" max="10496" style="64" width="9.1099999999999994"/>
    <col customWidth="1" min="10497" max="10497" style="64" width="28.559999999999999"/>
    <col customWidth="1" min="10498" max="10498" style="64" width="17.559999999999999"/>
    <col customWidth="1" min="10499" max="10499" style="64" width="17"/>
    <col customWidth="1" min="10500" max="10500" style="64" width="19.109999999999999"/>
    <col customWidth="1" min="10501" max="10501" style="64" width="16.329999999999998"/>
    <col customWidth="1" min="10502" max="10502" style="64" width="11.67"/>
    <col customWidth="1" min="10503" max="10504" style="64" width="10.44"/>
    <col customWidth="1" min="10505" max="10505" style="64" width="12.109999999999999"/>
    <col customWidth="0" min="10506" max="10752" style="64" width="9.1099999999999994"/>
    <col customWidth="1" min="10753" max="10753" style="64" width="28.559999999999999"/>
    <col customWidth="1" min="10754" max="10754" style="64" width="17.559999999999999"/>
    <col customWidth="1" min="10755" max="10755" style="64" width="17"/>
    <col customWidth="1" min="10756" max="10756" style="64" width="19.109999999999999"/>
    <col customWidth="1" min="10757" max="10757" style="64" width="16.329999999999998"/>
    <col customWidth="1" min="10758" max="10758" style="64" width="11.67"/>
    <col customWidth="1" min="10759" max="10760" style="64" width="10.44"/>
    <col customWidth="1" min="10761" max="10761" style="64" width="12.109999999999999"/>
    <col customWidth="0" min="10762" max="11008" style="64" width="9.1099999999999994"/>
    <col customWidth="1" min="11009" max="11009" style="64" width="28.559999999999999"/>
    <col customWidth="1" min="11010" max="11010" style="64" width="17.559999999999999"/>
    <col customWidth="1" min="11011" max="11011" style="64" width="17"/>
    <col customWidth="1" min="11012" max="11012" style="64" width="19.109999999999999"/>
    <col customWidth="1" min="11013" max="11013" style="64" width="16.329999999999998"/>
    <col customWidth="1" min="11014" max="11014" style="64" width="11.67"/>
    <col customWidth="1" min="11015" max="11016" style="64" width="10.44"/>
    <col customWidth="1" min="11017" max="11017" style="64" width="12.109999999999999"/>
    <col customWidth="0" min="11018" max="11264" style="64" width="9.1099999999999994"/>
    <col customWidth="1" min="11265" max="11265" style="64" width="28.559999999999999"/>
    <col customWidth="1" min="11266" max="11266" style="64" width="17.559999999999999"/>
    <col customWidth="1" min="11267" max="11267" style="64" width="17"/>
    <col customWidth="1" min="11268" max="11268" style="64" width="19.109999999999999"/>
    <col customWidth="1" min="11269" max="11269" style="64" width="16.329999999999998"/>
    <col customWidth="1" min="11270" max="11270" style="64" width="11.67"/>
    <col customWidth="1" min="11271" max="11272" style="64" width="10.44"/>
    <col customWidth="1" min="11273" max="11273" style="64" width="12.109999999999999"/>
    <col customWidth="0" min="11274" max="11520" style="64" width="9.1099999999999994"/>
    <col customWidth="1" min="11521" max="11521" style="64" width="28.559999999999999"/>
    <col customWidth="1" min="11522" max="11522" style="64" width="17.559999999999999"/>
    <col customWidth="1" min="11523" max="11523" style="64" width="17"/>
    <col customWidth="1" min="11524" max="11524" style="64" width="19.109999999999999"/>
    <col customWidth="1" min="11525" max="11525" style="64" width="16.329999999999998"/>
    <col customWidth="1" min="11526" max="11526" style="64" width="11.67"/>
    <col customWidth="1" min="11527" max="11528" style="64" width="10.44"/>
    <col customWidth="1" min="11529" max="11529" style="64" width="12.109999999999999"/>
    <col customWidth="0" min="11530" max="11776" style="64" width="9.1099999999999994"/>
    <col customWidth="1" min="11777" max="11777" style="64" width="28.559999999999999"/>
    <col customWidth="1" min="11778" max="11778" style="64" width="17.559999999999999"/>
    <col customWidth="1" min="11779" max="11779" style="64" width="17"/>
    <col customWidth="1" min="11780" max="11780" style="64" width="19.109999999999999"/>
    <col customWidth="1" min="11781" max="11781" style="64" width="16.329999999999998"/>
    <col customWidth="1" min="11782" max="11782" style="64" width="11.67"/>
    <col customWidth="1" min="11783" max="11784" style="64" width="10.44"/>
    <col customWidth="1" min="11785" max="11785" style="64" width="12.109999999999999"/>
    <col customWidth="0" min="11786" max="12032" style="64" width="9.1099999999999994"/>
    <col customWidth="1" min="12033" max="12033" style="64" width="28.559999999999999"/>
    <col customWidth="1" min="12034" max="12034" style="64" width="17.559999999999999"/>
    <col customWidth="1" min="12035" max="12035" style="64" width="17"/>
    <col customWidth="1" min="12036" max="12036" style="64" width="19.109999999999999"/>
    <col customWidth="1" min="12037" max="12037" style="64" width="16.329999999999998"/>
    <col customWidth="1" min="12038" max="12038" style="64" width="11.67"/>
    <col customWidth="1" min="12039" max="12040" style="64" width="10.44"/>
    <col customWidth="1" min="12041" max="12041" style="64" width="12.109999999999999"/>
    <col customWidth="0" min="12042" max="12288" style="64" width="9.1099999999999994"/>
    <col customWidth="1" min="12289" max="12289" style="64" width="28.559999999999999"/>
    <col customWidth="1" min="12290" max="12290" style="64" width="17.559999999999999"/>
    <col customWidth="1" min="12291" max="12291" style="64" width="17"/>
    <col customWidth="1" min="12292" max="12292" style="64" width="19.109999999999999"/>
    <col customWidth="1" min="12293" max="12293" style="64" width="16.329999999999998"/>
    <col customWidth="1" min="12294" max="12294" style="64" width="11.67"/>
    <col customWidth="1" min="12295" max="12296" style="64" width="10.44"/>
    <col customWidth="1" min="12297" max="12297" style="64" width="12.109999999999999"/>
    <col customWidth="0" min="12298" max="12544" style="64" width="9.1099999999999994"/>
    <col customWidth="1" min="12545" max="12545" style="64" width="28.559999999999999"/>
    <col customWidth="1" min="12546" max="12546" style="64" width="17.559999999999999"/>
    <col customWidth="1" min="12547" max="12547" style="64" width="17"/>
    <col customWidth="1" min="12548" max="12548" style="64" width="19.109999999999999"/>
    <col customWidth="1" min="12549" max="12549" style="64" width="16.329999999999998"/>
    <col customWidth="1" min="12550" max="12550" style="64" width="11.67"/>
    <col customWidth="1" min="12551" max="12552" style="64" width="10.44"/>
    <col customWidth="1" min="12553" max="12553" style="64" width="12.109999999999999"/>
    <col customWidth="0" min="12554" max="12800" style="64" width="9.1099999999999994"/>
    <col customWidth="1" min="12801" max="12801" style="64" width="28.559999999999999"/>
    <col customWidth="1" min="12802" max="12802" style="64" width="17.559999999999999"/>
    <col customWidth="1" min="12803" max="12803" style="64" width="17"/>
    <col customWidth="1" min="12804" max="12804" style="64" width="19.109999999999999"/>
    <col customWidth="1" min="12805" max="12805" style="64" width="16.329999999999998"/>
    <col customWidth="1" min="12806" max="12806" style="64" width="11.67"/>
    <col customWidth="1" min="12807" max="12808" style="64" width="10.44"/>
    <col customWidth="1" min="12809" max="12809" style="64" width="12.109999999999999"/>
    <col customWidth="0" min="12810" max="13056" style="64" width="9.1099999999999994"/>
    <col customWidth="1" min="13057" max="13057" style="64" width="28.559999999999999"/>
    <col customWidth="1" min="13058" max="13058" style="64" width="17.559999999999999"/>
    <col customWidth="1" min="13059" max="13059" style="64" width="17"/>
    <col customWidth="1" min="13060" max="13060" style="64" width="19.109999999999999"/>
    <col customWidth="1" min="13061" max="13061" style="64" width="16.329999999999998"/>
    <col customWidth="1" min="13062" max="13062" style="64" width="11.67"/>
    <col customWidth="1" min="13063" max="13064" style="64" width="10.44"/>
    <col customWidth="1" min="13065" max="13065" style="64" width="12.109999999999999"/>
    <col customWidth="0" min="13066" max="13312" style="64" width="9.1099999999999994"/>
    <col customWidth="1" min="13313" max="13313" style="64" width="28.559999999999999"/>
    <col customWidth="1" min="13314" max="13314" style="64" width="17.559999999999999"/>
    <col customWidth="1" min="13315" max="13315" style="64" width="17"/>
    <col customWidth="1" min="13316" max="13316" style="64" width="19.109999999999999"/>
    <col customWidth="1" min="13317" max="13317" style="64" width="16.329999999999998"/>
    <col customWidth="1" min="13318" max="13318" style="64" width="11.67"/>
    <col customWidth="1" min="13319" max="13320" style="64" width="10.44"/>
    <col customWidth="1" min="13321" max="13321" style="64" width="12.109999999999999"/>
    <col customWidth="0" min="13322" max="13568" style="64" width="9.1099999999999994"/>
    <col customWidth="1" min="13569" max="13569" style="64" width="28.559999999999999"/>
    <col customWidth="1" min="13570" max="13570" style="64" width="17.559999999999999"/>
    <col customWidth="1" min="13571" max="13571" style="64" width="17"/>
    <col customWidth="1" min="13572" max="13572" style="64" width="19.109999999999999"/>
    <col customWidth="1" min="13573" max="13573" style="64" width="16.329999999999998"/>
    <col customWidth="1" min="13574" max="13574" style="64" width="11.67"/>
    <col customWidth="1" min="13575" max="13576" style="64" width="10.44"/>
    <col customWidth="1" min="13577" max="13577" style="64" width="12.109999999999999"/>
    <col customWidth="0" min="13578" max="13824" style="64" width="9.1099999999999994"/>
    <col customWidth="1" min="13825" max="13825" style="64" width="28.559999999999999"/>
    <col customWidth="1" min="13826" max="13826" style="64" width="17.559999999999999"/>
    <col customWidth="1" min="13827" max="13827" style="64" width="17"/>
    <col customWidth="1" min="13828" max="13828" style="64" width="19.109999999999999"/>
    <col customWidth="1" min="13829" max="13829" style="64" width="16.329999999999998"/>
    <col customWidth="1" min="13830" max="13830" style="64" width="11.67"/>
    <col customWidth="1" min="13831" max="13832" style="64" width="10.44"/>
    <col customWidth="1" min="13833" max="13833" style="64" width="12.109999999999999"/>
    <col customWidth="0" min="13834" max="14080" style="64" width="9.1099999999999994"/>
    <col customWidth="1" min="14081" max="14081" style="64" width="28.559999999999999"/>
    <col customWidth="1" min="14082" max="14082" style="64" width="17.559999999999999"/>
    <col customWidth="1" min="14083" max="14083" style="64" width="17"/>
    <col customWidth="1" min="14084" max="14084" style="64" width="19.109999999999999"/>
    <col customWidth="1" min="14085" max="14085" style="64" width="16.329999999999998"/>
    <col customWidth="1" min="14086" max="14086" style="64" width="11.67"/>
    <col customWidth="1" min="14087" max="14088" style="64" width="10.44"/>
    <col customWidth="1" min="14089" max="14089" style="64" width="12.109999999999999"/>
    <col customWidth="0" min="14090" max="14336" style="64" width="9.1099999999999994"/>
    <col customWidth="1" min="14337" max="14337" style="64" width="28.559999999999999"/>
    <col customWidth="1" min="14338" max="14338" style="64" width="17.559999999999999"/>
    <col customWidth="1" min="14339" max="14339" style="64" width="17"/>
    <col customWidth="1" min="14340" max="14340" style="64" width="19.109999999999999"/>
    <col customWidth="1" min="14341" max="14341" style="64" width="16.329999999999998"/>
    <col customWidth="1" min="14342" max="14342" style="64" width="11.67"/>
    <col customWidth="1" min="14343" max="14344" style="64" width="10.44"/>
    <col customWidth="1" min="14345" max="14345" style="64" width="12.109999999999999"/>
    <col customWidth="0" min="14346" max="14592" style="64" width="9.1099999999999994"/>
    <col customWidth="1" min="14593" max="14593" style="64" width="28.559999999999999"/>
    <col customWidth="1" min="14594" max="14594" style="64" width="17.559999999999999"/>
    <col customWidth="1" min="14595" max="14595" style="64" width="17"/>
    <col customWidth="1" min="14596" max="14596" style="64" width="19.109999999999999"/>
    <col customWidth="1" min="14597" max="14597" style="64" width="16.329999999999998"/>
    <col customWidth="1" min="14598" max="14598" style="64" width="11.67"/>
    <col customWidth="1" min="14599" max="14600" style="64" width="10.44"/>
    <col customWidth="1" min="14601" max="14601" style="64" width="12.109999999999999"/>
    <col customWidth="0" min="14602" max="14848" style="64" width="9.1099999999999994"/>
    <col customWidth="1" min="14849" max="14849" style="64" width="28.559999999999999"/>
    <col customWidth="1" min="14850" max="14850" style="64" width="17.559999999999999"/>
    <col customWidth="1" min="14851" max="14851" style="64" width="17"/>
    <col customWidth="1" min="14852" max="14852" style="64" width="19.109999999999999"/>
    <col customWidth="1" min="14853" max="14853" style="64" width="16.329999999999998"/>
    <col customWidth="1" min="14854" max="14854" style="64" width="11.67"/>
    <col customWidth="1" min="14855" max="14856" style="64" width="10.44"/>
    <col customWidth="1" min="14857" max="14857" style="64" width="12.109999999999999"/>
    <col customWidth="0" min="14858" max="15104" style="64" width="9.1099999999999994"/>
    <col customWidth="1" min="15105" max="15105" style="64" width="28.559999999999999"/>
    <col customWidth="1" min="15106" max="15106" style="64" width="17.559999999999999"/>
    <col customWidth="1" min="15107" max="15107" style="64" width="17"/>
    <col customWidth="1" min="15108" max="15108" style="64" width="19.109999999999999"/>
    <col customWidth="1" min="15109" max="15109" style="64" width="16.329999999999998"/>
    <col customWidth="1" min="15110" max="15110" style="64" width="11.67"/>
    <col customWidth="1" min="15111" max="15112" style="64" width="10.44"/>
    <col customWidth="1" min="15113" max="15113" style="64" width="12.109999999999999"/>
    <col customWidth="0" min="15114" max="15360" style="64" width="9.1099999999999994"/>
    <col customWidth="1" min="15361" max="15361" style="64" width="28.559999999999999"/>
    <col customWidth="1" min="15362" max="15362" style="64" width="17.559999999999999"/>
    <col customWidth="1" min="15363" max="15363" style="64" width="17"/>
    <col customWidth="1" min="15364" max="15364" style="64" width="19.109999999999999"/>
    <col customWidth="1" min="15365" max="15365" style="64" width="16.329999999999998"/>
    <col customWidth="1" min="15366" max="15366" style="64" width="11.67"/>
    <col customWidth="1" min="15367" max="15368" style="64" width="10.44"/>
    <col customWidth="1" min="15369" max="15369" style="64" width="12.109999999999999"/>
    <col customWidth="0" min="15370" max="15616" style="64" width="9.1099999999999994"/>
    <col customWidth="1" min="15617" max="15617" style="64" width="28.559999999999999"/>
    <col customWidth="1" min="15618" max="15618" style="64" width="17.559999999999999"/>
    <col customWidth="1" min="15619" max="15619" style="64" width="17"/>
    <col customWidth="1" min="15620" max="15620" style="64" width="19.109999999999999"/>
    <col customWidth="1" min="15621" max="15621" style="64" width="16.329999999999998"/>
    <col customWidth="1" min="15622" max="15622" style="64" width="11.67"/>
    <col customWidth="1" min="15623" max="15624" style="64" width="10.44"/>
    <col customWidth="1" min="15625" max="15625" style="64" width="12.109999999999999"/>
    <col customWidth="0" min="15626" max="15872" style="64" width="9.1099999999999994"/>
    <col customWidth="1" min="15873" max="15873" style="64" width="28.559999999999999"/>
    <col customWidth="1" min="15874" max="15874" style="64" width="17.559999999999999"/>
    <col customWidth="1" min="15875" max="15875" style="64" width="17"/>
    <col customWidth="1" min="15876" max="15876" style="64" width="19.109999999999999"/>
    <col customWidth="1" min="15877" max="15877" style="64" width="16.329999999999998"/>
    <col customWidth="1" min="15878" max="15878" style="64" width="11.67"/>
    <col customWidth="1" min="15879" max="15880" style="64" width="10.44"/>
    <col customWidth="1" min="15881" max="15881" style="64" width="12.109999999999999"/>
    <col customWidth="0" min="15882" max="16128" style="64" width="9.1099999999999994"/>
    <col customWidth="1" min="16129" max="16129" style="64" width="28.559999999999999"/>
    <col customWidth="1" min="16130" max="16130" style="64" width="17.559999999999999"/>
    <col customWidth="1" min="16131" max="16131" style="64" width="17"/>
    <col customWidth="1" min="16132" max="16132" style="64" width="19.109999999999999"/>
    <col customWidth="1" min="16133" max="16133" style="64" width="16.329999999999998"/>
    <col customWidth="1" min="16134" max="16134" style="64" width="11.67"/>
    <col customWidth="1" min="16135" max="16136" style="64" width="10.44"/>
    <col customWidth="1" min="16137" max="16137" style="64" width="12.109999999999999"/>
    <col customWidth="0" min="16138" max="16384" style="64" width="9.1099999999999994"/>
  </cols>
  <sheetData>
    <row r="1" ht="15.6">
      <c r="A1" s="66" t="s">
        <v>707</v>
      </c>
      <c r="B1" s="176"/>
      <c r="C1" s="176"/>
      <c r="D1" s="176"/>
      <c r="E1" s="176"/>
      <c r="F1" s="176"/>
      <c r="G1" s="176"/>
      <c r="H1" s="176"/>
    </row>
    <row r="2" s="415" customFormat="1" ht="15.6">
      <c r="A2" s="416" t="s">
        <v>708</v>
      </c>
      <c r="B2" s="417"/>
      <c r="C2" s="417"/>
      <c r="D2" s="417"/>
      <c r="E2" s="417"/>
      <c r="F2" s="417"/>
      <c r="G2" s="417"/>
      <c r="H2" s="417"/>
    </row>
    <row r="3" s="415" customFormat="1" ht="15.6">
      <c r="A3" s="416"/>
      <c r="B3" s="417"/>
      <c r="C3" s="417"/>
      <c r="D3" s="417"/>
      <c r="E3" s="417"/>
      <c r="F3" s="417"/>
      <c r="G3" s="417"/>
      <c r="H3" s="417"/>
    </row>
    <row r="4" ht="15.6">
      <c r="A4" s="66" t="s">
        <v>709</v>
      </c>
      <c r="B4" s="65"/>
    </row>
    <row r="5" ht="15.6">
      <c r="A5" s="66" t="s">
        <v>710</v>
      </c>
      <c r="B5" s="65"/>
    </row>
    <row r="6" ht="15.6">
      <c r="A6" s="418" t="s">
        <v>177</v>
      </c>
      <c r="B6" s="419" t="str">
        <f>аб!C23</f>
        <v xml:space="preserve">2019 год</v>
      </c>
      <c r="C6" s="419" t="str">
        <f>аб!D23</f>
        <v xml:space="preserve">2018 год</v>
      </c>
      <c r="D6" s="419" t="str">
        <f>аб!E23</f>
        <v xml:space="preserve">2017 год</v>
      </c>
      <c r="E6" s="419" t="str">
        <f>аб!F23</f>
        <v xml:space="preserve">2016 год</v>
      </c>
      <c r="F6" s="419" t="str">
        <f>аб!G23</f>
        <v xml:space="preserve">2015 год</v>
      </c>
      <c r="G6" s="419" t="str">
        <f>аб!H23</f>
        <v xml:space="preserve">2014 год</v>
      </c>
      <c r="H6" s="419" t="str">
        <f>аб!I23</f>
        <v xml:space="preserve">2013 год</v>
      </c>
    </row>
    <row r="7" ht="15.6">
      <c r="A7" s="420" t="s">
        <v>96</v>
      </c>
      <c r="B7" s="80"/>
      <c r="C7" s="80"/>
      <c r="D7" s="80"/>
      <c r="E7" s="80"/>
      <c r="F7" s="80"/>
      <c r="G7" s="80"/>
      <c r="H7" s="80"/>
    </row>
    <row r="8" ht="15.6">
      <c r="A8" s="420" t="s">
        <v>711</v>
      </c>
      <c r="B8" s="80"/>
      <c r="C8" s="153"/>
      <c r="D8" s="80"/>
      <c r="E8" s="153"/>
      <c r="F8" s="80"/>
      <c r="G8" s="153"/>
      <c r="H8" s="80"/>
    </row>
    <row r="9" ht="15.6">
      <c r="A9" s="420" t="s">
        <v>712</v>
      </c>
      <c r="B9" s="80"/>
      <c r="C9" s="80"/>
      <c r="D9" s="80"/>
      <c r="E9" s="80"/>
      <c r="F9" s="80"/>
      <c r="G9" s="80"/>
      <c r="H9" s="80"/>
    </row>
    <row r="10" ht="15.6">
      <c r="A10" s="420" t="s">
        <v>713</v>
      </c>
      <c r="B10" s="421"/>
      <c r="C10" s="421"/>
      <c r="D10" s="421"/>
      <c r="E10" s="421"/>
      <c r="F10" s="421"/>
      <c r="G10" s="421"/>
      <c r="H10" s="421"/>
    </row>
    <row r="11" ht="15.6">
      <c r="A11" s="422" t="s">
        <v>714</v>
      </c>
      <c r="B11" s="423"/>
      <c r="C11" s="423"/>
      <c r="D11" s="423"/>
      <c r="E11" s="423"/>
      <c r="F11" s="423"/>
      <c r="G11" s="423"/>
      <c r="H11" s="423"/>
    </row>
    <row r="12" ht="15.6">
      <c r="A12" s="424" t="s">
        <v>715</v>
      </c>
      <c r="B12" s="425"/>
      <c r="C12" s="425"/>
      <c r="D12" s="425"/>
      <c r="E12" s="425"/>
      <c r="F12" s="425"/>
      <c r="G12" s="425"/>
      <c r="H12" s="425"/>
      <c r="I12" s="426"/>
      <c r="J12" s="426"/>
      <c r="K12" s="426"/>
    </row>
    <row r="13" ht="15.6">
      <c r="A13" s="420" t="s">
        <v>716</v>
      </c>
      <c r="B13" s="427"/>
      <c r="C13" s="427"/>
      <c r="D13" s="427"/>
      <c r="E13" s="427"/>
      <c r="F13" s="427"/>
      <c r="G13" s="427"/>
      <c r="H13" s="427"/>
    </row>
    <row r="14" ht="15.6">
      <c r="A14" s="420" t="s">
        <v>717</v>
      </c>
      <c r="B14" s="427"/>
      <c r="C14" s="427"/>
      <c r="D14" s="427"/>
      <c r="E14" s="427"/>
      <c r="F14" s="427"/>
      <c r="G14" s="427"/>
      <c r="H14" s="427"/>
    </row>
    <row r="15" ht="15.6">
      <c r="A15" s="420" t="s">
        <v>718</v>
      </c>
      <c r="B15" s="427"/>
      <c r="C15" s="427"/>
      <c r="D15" s="427"/>
      <c r="E15" s="427"/>
      <c r="F15" s="427"/>
      <c r="G15" s="427"/>
      <c r="H15" s="427"/>
    </row>
    <row r="16" ht="15.6">
      <c r="A16" s="420" t="s">
        <v>719</v>
      </c>
      <c r="B16" s="427"/>
      <c r="C16" s="427"/>
      <c r="D16" s="427"/>
      <c r="E16" s="427"/>
      <c r="F16" s="427"/>
      <c r="G16" s="427"/>
      <c r="H16" s="427"/>
    </row>
    <row r="17" ht="15.6">
      <c r="A17" s="428" t="s">
        <v>720</v>
      </c>
      <c r="B17" s="429"/>
      <c r="C17" s="429"/>
      <c r="D17" s="429"/>
      <c r="E17" s="429"/>
      <c r="F17" s="429"/>
      <c r="G17" s="429"/>
      <c r="H17" s="429"/>
    </row>
    <row r="18" ht="28.550000000000001">
      <c r="A18" s="430" t="s">
        <v>721</v>
      </c>
      <c r="B18" s="427"/>
      <c r="C18" s="427"/>
      <c r="D18" s="427"/>
      <c r="E18" s="427"/>
      <c r="F18" s="427"/>
      <c r="G18" s="427"/>
      <c r="H18" s="427"/>
    </row>
    <row r="19" ht="28.550000000000001">
      <c r="A19" s="430" t="s">
        <v>722</v>
      </c>
      <c r="B19" s="427"/>
      <c r="C19" s="427"/>
      <c r="D19" s="427"/>
      <c r="E19" s="427"/>
      <c r="F19" s="427"/>
      <c r="G19" s="427"/>
      <c r="H19" s="427"/>
    </row>
    <row r="20" ht="28.550000000000001">
      <c r="A20" s="430" t="s">
        <v>723</v>
      </c>
      <c r="B20" s="427"/>
      <c r="C20" s="427"/>
      <c r="D20" s="427"/>
      <c r="E20" s="427"/>
      <c r="F20" s="427"/>
      <c r="G20" s="427"/>
      <c r="H20" s="427"/>
    </row>
    <row r="21" ht="15.6">
      <c r="A21" s="420" t="s">
        <v>724</v>
      </c>
      <c r="B21" s="427"/>
      <c r="C21" s="427"/>
      <c r="D21" s="427"/>
      <c r="E21" s="427"/>
      <c r="F21" s="427"/>
      <c r="G21" s="427"/>
      <c r="H21" s="427"/>
    </row>
    <row r="22" ht="15.6">
      <c r="A22" s="420" t="s">
        <v>725</v>
      </c>
      <c r="B22" s="427"/>
      <c r="C22" s="427"/>
      <c r="D22" s="427"/>
      <c r="E22" s="427"/>
      <c r="F22" s="427"/>
      <c r="G22" s="427"/>
      <c r="H22" s="427"/>
    </row>
    <row r="23" ht="15.6">
      <c r="A23" s="422" t="s">
        <v>726</v>
      </c>
      <c r="B23" s="431"/>
      <c r="C23" s="431"/>
      <c r="D23" s="431"/>
      <c r="E23" s="431"/>
      <c r="F23" s="431"/>
      <c r="G23" s="431"/>
      <c r="H23" s="431"/>
    </row>
    <row r="24" ht="15.6">
      <c r="A24" s="66" t="s">
        <v>574</v>
      </c>
    </row>
    <row r="25" ht="15.6">
      <c r="A25" s="66"/>
    </row>
    <row r="26" ht="15.6">
      <c r="A26" s="418" t="s">
        <v>177</v>
      </c>
      <c r="B26" s="419" t="str">
        <f>B6</f>
        <v xml:space="preserve">2019 год</v>
      </c>
      <c r="C26" s="419" t="str">
        <f>C6</f>
        <v xml:space="preserve">2018 год</v>
      </c>
      <c r="D26" s="419" t="str">
        <f>D6</f>
        <v xml:space="preserve">2017 год</v>
      </c>
      <c r="E26" s="419" t="str">
        <f>E6</f>
        <v xml:space="preserve">2016 год</v>
      </c>
      <c r="F26" s="419" t="str">
        <f>F6</f>
        <v xml:space="preserve">2015 год</v>
      </c>
      <c r="G26" s="419" t="str">
        <f>G6</f>
        <v xml:space="preserve">2014 год</v>
      </c>
      <c r="H26" s="419" t="str">
        <f>H6</f>
        <v xml:space="preserve">2013 год</v>
      </c>
    </row>
    <row r="27" ht="15.6">
      <c r="A27" s="420" t="s">
        <v>727</v>
      </c>
      <c r="B27" s="421"/>
      <c r="C27" s="421"/>
      <c r="D27" s="421"/>
      <c r="E27" s="421"/>
      <c r="F27" s="421"/>
      <c r="G27" s="421"/>
      <c r="H27" s="421"/>
    </row>
    <row r="28" ht="15.6">
      <c r="A28" s="420" t="s">
        <v>728</v>
      </c>
      <c r="B28" s="421"/>
      <c r="C28" s="421"/>
      <c r="D28" s="421"/>
      <c r="E28" s="421"/>
      <c r="F28" s="421"/>
      <c r="G28" s="421"/>
      <c r="H28" s="421"/>
    </row>
    <row r="29" ht="15.6">
      <c r="A29" s="420" t="s">
        <v>729</v>
      </c>
      <c r="B29" s="421"/>
      <c r="C29" s="421"/>
      <c r="D29" s="421"/>
      <c r="E29" s="421"/>
      <c r="F29" s="421"/>
      <c r="G29" s="421"/>
      <c r="H29" s="421"/>
    </row>
    <row r="30" ht="15.6">
      <c r="A30" s="420" t="s">
        <v>730</v>
      </c>
      <c r="B30" s="421"/>
      <c r="C30" s="421"/>
      <c r="D30" s="421"/>
      <c r="E30" s="421"/>
      <c r="F30" s="421"/>
      <c r="G30" s="421"/>
      <c r="H30" s="421"/>
    </row>
    <row r="31" s="66" customFormat="1" ht="15.6">
      <c r="A31" s="420" t="s">
        <v>731</v>
      </c>
      <c r="B31" s="421"/>
      <c r="C31" s="421"/>
      <c r="D31" s="421"/>
      <c r="E31" s="421"/>
      <c r="F31" s="421"/>
      <c r="G31" s="421"/>
      <c r="H31" s="421"/>
    </row>
    <row r="32" ht="15.6">
      <c r="A32" s="420" t="s">
        <v>732</v>
      </c>
      <c r="B32" s="421"/>
      <c r="C32" s="421"/>
      <c r="D32" s="421"/>
      <c r="E32" s="421"/>
      <c r="F32" s="421"/>
      <c r="G32" s="421"/>
      <c r="H32" s="421"/>
    </row>
    <row r="33" ht="15.6">
      <c r="A33" s="420" t="s">
        <v>733</v>
      </c>
      <c r="B33" s="421"/>
      <c r="C33" s="421"/>
      <c r="D33" s="421"/>
      <c r="E33" s="421"/>
      <c r="F33" s="421"/>
      <c r="G33" s="421"/>
      <c r="H33" s="421"/>
    </row>
    <row r="34" ht="15.6">
      <c r="A34" s="420" t="s">
        <v>734</v>
      </c>
      <c r="B34" s="421"/>
      <c r="C34" s="421"/>
      <c r="D34" s="421"/>
      <c r="E34" s="421"/>
      <c r="F34" s="421"/>
      <c r="G34" s="421"/>
      <c r="H34" s="421"/>
    </row>
    <row r="35" ht="15.6">
      <c r="A35" s="420" t="s">
        <v>735</v>
      </c>
      <c r="B35" s="421"/>
      <c r="C35" s="421"/>
      <c r="D35" s="421"/>
      <c r="E35" s="421"/>
      <c r="F35" s="421"/>
      <c r="G35" s="421"/>
      <c r="H35" s="421"/>
    </row>
    <row r="36" ht="15.6">
      <c r="A36" s="420" t="s">
        <v>396</v>
      </c>
      <c r="B36" s="421"/>
      <c r="C36" s="421"/>
      <c r="D36" s="421"/>
      <c r="E36" s="421"/>
      <c r="F36" s="421"/>
      <c r="G36" s="421"/>
      <c r="H36" s="421"/>
    </row>
    <row r="37" ht="15.6">
      <c r="A37" s="420" t="s">
        <v>736</v>
      </c>
      <c r="B37" s="421"/>
      <c r="C37" s="421"/>
      <c r="D37" s="421"/>
      <c r="E37" s="421"/>
      <c r="F37" s="421"/>
      <c r="G37" s="421"/>
      <c r="H37" s="421"/>
    </row>
    <row r="38" ht="15.6">
      <c r="A38" s="420" t="s">
        <v>737</v>
      </c>
      <c r="B38" s="421"/>
      <c r="C38" s="421"/>
      <c r="D38" s="421"/>
      <c r="E38" s="421"/>
      <c r="F38" s="421"/>
      <c r="G38" s="421"/>
      <c r="H38" s="421"/>
    </row>
    <row r="40" ht="15.6">
      <c r="A40" s="66" t="s">
        <v>738</v>
      </c>
    </row>
    <row r="41" s="66" customFormat="1" ht="15.6">
      <c r="A41" s="432" t="s">
        <v>177</v>
      </c>
      <c r="B41" s="432" t="str">
        <f>B6</f>
        <v xml:space="preserve">2019 год</v>
      </c>
      <c r="C41" s="432" t="str">
        <f>C6</f>
        <v xml:space="preserve">2018 год</v>
      </c>
      <c r="D41" s="432" t="str">
        <f>D6</f>
        <v xml:space="preserve">2017 год</v>
      </c>
      <c r="E41" s="432" t="str">
        <f>E6</f>
        <v xml:space="preserve">2016 год</v>
      </c>
      <c r="F41" s="432" t="str">
        <f>F6</f>
        <v xml:space="preserve">2015 год</v>
      </c>
      <c r="G41" s="432" t="str">
        <f>G6</f>
        <v xml:space="preserve">2014 год</v>
      </c>
      <c r="H41" s="432" t="str">
        <f>H6</f>
        <v xml:space="preserve">2013 год</v>
      </c>
    </row>
    <row r="42" ht="15.6">
      <c r="A42" s="316" t="s">
        <v>396</v>
      </c>
      <c r="B42" s="433"/>
      <c r="C42" s="433"/>
      <c r="D42" s="433"/>
      <c r="E42" s="433"/>
      <c r="F42" s="433"/>
      <c r="G42" s="433"/>
      <c r="H42" s="433"/>
    </row>
    <row r="43" s="66" customFormat="1" ht="15.6">
      <c r="A43" s="432" t="s">
        <v>466</v>
      </c>
      <c r="B43" s="84"/>
      <c r="C43" s="84"/>
      <c r="D43" s="84"/>
      <c r="E43" s="84"/>
      <c r="F43" s="84"/>
      <c r="G43" s="84"/>
      <c r="H43" s="84"/>
    </row>
    <row r="44" ht="28.550000000000001">
      <c r="A44" s="316" t="s">
        <v>739</v>
      </c>
      <c r="B44" s="79"/>
      <c r="C44" s="79"/>
      <c r="D44" s="79"/>
      <c r="E44" s="79"/>
      <c r="F44" s="79"/>
      <c r="G44" s="79"/>
      <c r="H44" s="79"/>
    </row>
    <row r="45" s="66" customFormat="1" ht="15.6">
      <c r="A45" s="432" t="s">
        <v>466</v>
      </c>
      <c r="B45" s="84"/>
      <c r="C45" s="84"/>
      <c r="D45" s="84"/>
      <c r="E45" s="84"/>
      <c r="F45" s="84"/>
      <c r="G45" s="84"/>
      <c r="H45" s="84"/>
    </row>
    <row r="46" ht="28.550000000000001">
      <c r="A46" s="316" t="s">
        <v>740</v>
      </c>
      <c r="B46" s="394"/>
      <c r="C46" s="394"/>
      <c r="D46" s="394"/>
      <c r="E46" s="394"/>
      <c r="F46" s="394"/>
      <c r="G46" s="394"/>
      <c r="H46" s="394"/>
    </row>
    <row r="47" s="66" customFormat="1" ht="15.6">
      <c r="A47" s="432" t="s">
        <v>466</v>
      </c>
      <c r="B47" s="84"/>
      <c r="C47" s="84"/>
      <c r="D47" s="84"/>
      <c r="E47" s="84"/>
      <c r="F47" s="84"/>
      <c r="G47" s="84"/>
      <c r="H47" s="84"/>
    </row>
    <row r="48" ht="15.6">
      <c r="A48" s="316" t="s">
        <v>741</v>
      </c>
      <c r="B48" s="394"/>
      <c r="C48" s="394"/>
      <c r="D48" s="394"/>
      <c r="E48" s="394"/>
      <c r="F48" s="394"/>
      <c r="G48" s="394"/>
      <c r="H48" s="394"/>
    </row>
    <row r="49" s="66" customFormat="1" ht="15.6">
      <c r="A49" s="432" t="s">
        <v>466</v>
      </c>
      <c r="B49" s="84"/>
      <c r="C49" s="84"/>
      <c r="D49" s="84"/>
      <c r="E49" s="84"/>
      <c r="F49" s="84"/>
      <c r="G49" s="84"/>
      <c r="H49" s="84"/>
    </row>
    <row r="50" ht="28.550000000000001">
      <c r="A50" s="434" t="s">
        <v>742</v>
      </c>
      <c r="B50" s="435"/>
      <c r="C50" s="435"/>
      <c r="D50" s="435"/>
      <c r="E50" s="435"/>
      <c r="F50" s="435"/>
      <c r="G50" s="435"/>
      <c r="H50" s="435"/>
    </row>
    <row r="51" ht="15.6">
      <c r="A51" s="432" t="s">
        <v>466</v>
      </c>
      <c r="B51" s="84"/>
      <c r="C51" s="84"/>
      <c r="D51" s="84"/>
      <c r="E51" s="84"/>
      <c r="F51" s="84"/>
      <c r="G51" s="84"/>
      <c r="H51" s="84"/>
    </row>
    <row r="52" ht="15.6">
      <c r="A52" s="316" t="s">
        <v>512</v>
      </c>
      <c r="B52" s="433"/>
      <c r="C52" s="433"/>
      <c r="D52" s="433"/>
      <c r="E52" s="433"/>
      <c r="F52" s="433"/>
      <c r="G52" s="433"/>
      <c r="H52" s="433"/>
    </row>
    <row r="53" s="66" customFormat="1" ht="15.6">
      <c r="A53" s="432" t="s">
        <v>466</v>
      </c>
      <c r="B53" s="84"/>
      <c r="C53" s="84"/>
      <c r="D53" s="84"/>
      <c r="E53" s="84"/>
      <c r="F53" s="84"/>
      <c r="G53" s="84"/>
      <c r="H53" s="84"/>
    </row>
  </sheetData>
  <printOptions headings="0" gridLines="0" horizontalCentered="0" verticalCentered="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indexed="45"/>
    <outlinePr applyStyles="0" summaryBelow="1" summaryRight="1" showOutlineSymbols="1"/>
    <pageSetUpPr autoPageBreaks="1" fitToPage="1"/>
  </sheetPr>
  <sheetViews>
    <sheetView showFormulas="0" showGridLines="1" showRowColHeaders="1" showZeros="1" rightToLeft="0" view="normal" topLeftCell="A1" zoomScale="75" workbookViewId="0">
      <pane xSplit="1" topLeftCell="B1" activePane="topRight" state="frozen"/>
      <selection activeCell="A1" activeCellId="0" sqref="A1"/>
    </sheetView>
  </sheetViews>
  <sheetFormatPr defaultColWidth="17.00390625" defaultRowHeight="15.6"/>
  <cols>
    <col customWidth="1" min="1" max="1" style="31" width="39.439999999999998"/>
    <col customWidth="0" min="2" max="2" style="31" width="17"/>
    <col customWidth="1" min="3" max="3" style="32" width="21.440000000000001"/>
    <col customWidth="1" min="4" max="4" style="33" width="21.440000000000001"/>
    <col customWidth="1" min="5" max="9" style="31" width="21.440000000000001"/>
    <col customWidth="0" min="10" max="16384" style="31" width="17"/>
  </cols>
  <sheetData>
    <row r="1" ht="15.6">
      <c r="A1" s="31" t="s">
        <v>0</v>
      </c>
    </row>
    <row r="2" ht="15.6">
      <c r="A2" s="6" t="str">
        <f>'1'!A2</f>
        <v xml:space="preserve">ПАО "ДОРОГОБУЖ"</v>
      </c>
      <c r="B2" s="7"/>
    </row>
    <row r="3" ht="15.6">
      <c r="A3" s="34" t="s">
        <v>56</v>
      </c>
      <c r="B3" s="35" t="str">
        <f>'1'!B3</f>
        <v xml:space="preserve">2013-2019 годы</v>
      </c>
      <c r="E3" s="36"/>
    </row>
    <row r="4" ht="15.6">
      <c r="A4" s="37" t="s">
        <v>4</v>
      </c>
      <c r="B4" s="38" t="s">
        <v>5</v>
      </c>
    </row>
    <row r="5" s="37" customFormat="1" ht="28.550000000000001">
      <c r="A5" s="39" t="s">
        <v>57</v>
      </c>
      <c r="B5" s="40" t="s">
        <v>58</v>
      </c>
      <c r="C5" s="12" t="s">
        <v>59</v>
      </c>
      <c r="D5" s="12" t="s">
        <v>60</v>
      </c>
      <c r="E5" s="12" t="s">
        <v>61</v>
      </c>
      <c r="F5" s="12" t="s">
        <v>62</v>
      </c>
      <c r="G5" s="12" t="s">
        <v>63</v>
      </c>
      <c r="H5" s="12" t="s">
        <v>64</v>
      </c>
      <c r="I5" s="12" t="s">
        <v>65</v>
      </c>
    </row>
    <row r="6" ht="12.75" customHeight="1">
      <c r="A6" s="39" t="s">
        <v>66</v>
      </c>
      <c r="B6" s="41"/>
      <c r="C6" s="42"/>
      <c r="D6" s="42"/>
      <c r="E6" s="42"/>
      <c r="F6" s="42"/>
      <c r="G6" s="42"/>
      <c r="H6" s="42"/>
      <c r="I6" s="42"/>
    </row>
    <row r="7" s="33" customFormat="1" ht="15.6">
      <c r="A7" s="43" t="s">
        <v>67</v>
      </c>
      <c r="B7" s="44">
        <v>2110</v>
      </c>
      <c r="C7" s="44">
        <v>21650314</v>
      </c>
      <c r="D7" s="44">
        <v>27154819</v>
      </c>
      <c r="E7" s="44">
        <v>24000677</v>
      </c>
      <c r="F7" s="44">
        <v>23253619</v>
      </c>
      <c r="G7" s="44">
        <v>26654915</v>
      </c>
      <c r="H7" s="44">
        <v>16131092</v>
      </c>
      <c r="I7" s="44">
        <v>17359621</v>
      </c>
    </row>
    <row r="8" ht="15.6">
      <c r="A8" s="45" t="s">
        <v>68</v>
      </c>
      <c r="B8" s="44">
        <v>2120</v>
      </c>
      <c r="C8" s="44">
        <v>-13418367</v>
      </c>
      <c r="D8" s="44">
        <v>-14616025</v>
      </c>
      <c r="E8" s="44">
        <v>-12781114</v>
      </c>
      <c r="F8" s="44">
        <v>-12937806</v>
      </c>
      <c r="G8" s="44">
        <v>-11257301</v>
      </c>
      <c r="H8" s="44">
        <v>-8937073</v>
      </c>
      <c r="I8" s="44">
        <v>-9560909</v>
      </c>
    </row>
    <row r="9" s="37" customFormat="1" ht="15.6">
      <c r="A9" s="46" t="s">
        <v>69</v>
      </c>
      <c r="B9" s="47">
        <v>2100</v>
      </c>
      <c r="C9" s="47">
        <f>C7+C8</f>
        <v>8231947</v>
      </c>
      <c r="D9" s="47">
        <f>D7+D8</f>
        <v>12538794</v>
      </c>
      <c r="E9" s="47">
        <f>E7+E8</f>
        <v>11219563</v>
      </c>
      <c r="F9" s="47">
        <f>F7+F8</f>
        <v>10315813</v>
      </c>
      <c r="G9" s="47">
        <f>G7+G8</f>
        <v>15397614</v>
      </c>
      <c r="H9" s="47">
        <f>H7+H8</f>
        <v>7194019</v>
      </c>
      <c r="I9" s="47">
        <f>I7+I8</f>
        <v>7798712</v>
      </c>
    </row>
    <row r="10" ht="15.6">
      <c r="A10" s="45" t="s">
        <v>70</v>
      </c>
      <c r="B10" s="44">
        <v>2210</v>
      </c>
      <c r="C10" s="44">
        <v>-2751252</v>
      </c>
      <c r="D10" s="44">
        <v>-3080637</v>
      </c>
      <c r="E10" s="44">
        <v>-2719112</v>
      </c>
      <c r="F10" s="44">
        <v>-2388888</v>
      </c>
      <c r="G10" s="44">
        <v>-2064941</v>
      </c>
      <c r="H10" s="44">
        <v>-1715664</v>
      </c>
      <c r="I10" s="44">
        <v>-2082936</v>
      </c>
    </row>
    <row r="11" ht="15.6">
      <c r="A11" s="45" t="s">
        <v>71</v>
      </c>
      <c r="B11" s="44">
        <v>2220</v>
      </c>
      <c r="C11" s="44">
        <v>-2173083</v>
      </c>
      <c r="D11" s="44">
        <v>-2047745</v>
      </c>
      <c r="E11" s="44">
        <v>-1814290</v>
      </c>
      <c r="F11" s="44">
        <v>-2227779</v>
      </c>
      <c r="G11" s="44">
        <v>-1712792</v>
      </c>
      <c r="H11" s="44">
        <v>-1391250</v>
      </c>
      <c r="I11" s="44">
        <v>-1250271</v>
      </c>
    </row>
    <row r="12" s="37" customFormat="1" ht="15.6">
      <c r="A12" s="46" t="s">
        <v>72</v>
      </c>
      <c r="B12" s="47">
        <v>2200</v>
      </c>
      <c r="C12" s="47">
        <f>C9+C10+C11</f>
        <v>3307612</v>
      </c>
      <c r="D12" s="47">
        <f>D9+D10+D11</f>
        <v>7410412</v>
      </c>
      <c r="E12" s="47">
        <f>E9+E10+E11</f>
        <v>6686161</v>
      </c>
      <c r="F12" s="47">
        <f>F9+F10+F11</f>
        <v>5699146</v>
      </c>
      <c r="G12" s="47">
        <f>G9+G10+G11</f>
        <v>11619881</v>
      </c>
      <c r="H12" s="47">
        <f>H9+H10+H11</f>
        <v>4087105</v>
      </c>
      <c r="I12" s="47">
        <f>I9+I10+I11</f>
        <v>4465505</v>
      </c>
    </row>
    <row r="13" ht="15.6">
      <c r="A13" s="39" t="s">
        <v>73</v>
      </c>
      <c r="B13" s="44"/>
      <c r="C13" s="44"/>
      <c r="D13" s="44"/>
      <c r="E13" s="44"/>
      <c r="F13" s="44"/>
      <c r="G13" s="44"/>
      <c r="H13" s="44"/>
      <c r="I13" s="44"/>
    </row>
    <row r="14" ht="28.550000000000001">
      <c r="A14" s="45" t="s">
        <v>74</v>
      </c>
      <c r="B14" s="44">
        <v>2310</v>
      </c>
      <c r="C14" s="44">
        <v>813755</v>
      </c>
      <c r="D14" s="44">
        <v>476987</v>
      </c>
      <c r="E14" s="44">
        <v>289688</v>
      </c>
      <c r="F14" s="44">
        <v>160729</v>
      </c>
      <c r="G14" s="44">
        <v>51224</v>
      </c>
      <c r="H14" s="44"/>
      <c r="I14" s="44">
        <v>1088</v>
      </c>
    </row>
    <row r="15" ht="15.6">
      <c r="A15" s="45" t="s">
        <v>75</v>
      </c>
      <c r="B15" s="44">
        <v>2320</v>
      </c>
      <c r="C15" s="44">
        <v>1578176</v>
      </c>
      <c r="D15" s="44">
        <v>2026212</v>
      </c>
      <c r="E15" s="44">
        <v>3097686</v>
      </c>
      <c r="F15" s="44">
        <v>3730206</v>
      </c>
      <c r="G15" s="44">
        <v>3530157</v>
      </c>
      <c r="H15" s="44">
        <v>2116170</v>
      </c>
      <c r="I15" s="44">
        <v>1721971</v>
      </c>
    </row>
    <row r="16" ht="15.6">
      <c r="A16" s="45" t="s">
        <v>76</v>
      </c>
      <c r="B16" s="44">
        <v>2330</v>
      </c>
      <c r="C16" s="44"/>
      <c r="D16" s="44">
        <v>-45991</v>
      </c>
      <c r="E16" s="44">
        <v>-329136</v>
      </c>
      <c r="F16" s="44">
        <v>-774458</v>
      </c>
      <c r="G16" s="44">
        <v>-877327</v>
      </c>
      <c r="H16" s="44">
        <v>-430471</v>
      </c>
      <c r="I16" s="44">
        <v>-419765</v>
      </c>
    </row>
    <row r="17" ht="15.6">
      <c r="A17" s="45" t="s">
        <v>77</v>
      </c>
      <c r="B17" s="44">
        <v>2340</v>
      </c>
      <c r="C17" s="44">
        <v>898216</v>
      </c>
      <c r="D17" s="44">
        <v>14716570</v>
      </c>
      <c r="E17" s="44">
        <v>1089682</v>
      </c>
      <c r="F17" s="44">
        <v>1951065</v>
      </c>
      <c r="G17" s="44">
        <v>982583</v>
      </c>
      <c r="H17" s="44">
        <v>986800</v>
      </c>
      <c r="I17" s="44">
        <v>2657807</v>
      </c>
      <c r="J17" s="48"/>
      <c r="K17" s="48"/>
      <c r="L17" s="49"/>
    </row>
    <row r="18" ht="15.6">
      <c r="A18" s="45" t="s">
        <v>78</v>
      </c>
      <c r="B18" s="44">
        <v>2350</v>
      </c>
      <c r="C18" s="44">
        <v>-2130237</v>
      </c>
      <c r="D18" s="44">
        <v>-17398570</v>
      </c>
      <c r="E18" s="44">
        <v>-792416</v>
      </c>
      <c r="F18" s="44">
        <v>-1377711</v>
      </c>
      <c r="G18" s="44">
        <v>-3912599</v>
      </c>
      <c r="H18" s="44">
        <v>-6194082</v>
      </c>
      <c r="I18" s="44">
        <v>-3331305</v>
      </c>
    </row>
    <row r="19" s="37" customFormat="1" ht="28.550000000000001">
      <c r="A19" s="46" t="s">
        <v>79</v>
      </c>
      <c r="B19" s="47">
        <v>2300</v>
      </c>
      <c r="C19" s="47">
        <f>C12+C14+C15+C16+C17+C18</f>
        <v>4467522</v>
      </c>
      <c r="D19" s="47">
        <f>D12+D14+D15+D16+D17+D18</f>
        <v>7185620</v>
      </c>
      <c r="E19" s="47">
        <f>E12+E14+E15+E16+E17+E18</f>
        <v>10041665</v>
      </c>
      <c r="F19" s="47">
        <f>F12+F14+F15+F16+F17+F18</f>
        <v>9388977</v>
      </c>
      <c r="G19" s="47">
        <f>G12+G14+G15+G16+G17+G18</f>
        <v>11393919</v>
      </c>
      <c r="H19" s="47">
        <f>H12+H14+H15+H16+H17+H18</f>
        <v>565522</v>
      </c>
      <c r="I19" s="47">
        <f>I12+I14+I15+I16+I17+I18</f>
        <v>5095301</v>
      </c>
    </row>
    <row r="20" ht="15.6">
      <c r="A20" s="45" t="s">
        <v>80</v>
      </c>
      <c r="B20" s="50">
        <v>2410</v>
      </c>
      <c r="C20" s="51">
        <v>-655018</v>
      </c>
      <c r="D20" s="51">
        <v>-2302336</v>
      </c>
      <c r="E20" s="51">
        <v>-1823795</v>
      </c>
      <c r="F20" s="51">
        <v>-1959181</v>
      </c>
      <c r="G20" s="51">
        <v>-2218641</v>
      </c>
      <c r="H20" s="51">
        <v>-190864</v>
      </c>
      <c r="I20" s="51">
        <v>-1066641</v>
      </c>
    </row>
    <row r="21" ht="28.550000000000001">
      <c r="A21" s="45" t="s">
        <v>81</v>
      </c>
      <c r="B21" s="50">
        <v>2421</v>
      </c>
      <c r="C21" s="51">
        <v>-110315</v>
      </c>
      <c r="D21" s="51">
        <v>1005937</v>
      </c>
      <c r="E21" s="51">
        <v>-18381</v>
      </c>
      <c r="F21" s="51">
        <v>57475</v>
      </c>
      <c r="G21" s="51">
        <v>42824</v>
      </c>
      <c r="H21" s="51">
        <v>39720</v>
      </c>
      <c r="I21" s="51">
        <v>45380</v>
      </c>
    </row>
    <row r="22" ht="28.550000000000001">
      <c r="A22" s="45" t="s">
        <v>82</v>
      </c>
      <c r="B22" s="50">
        <v>2430</v>
      </c>
      <c r="C22" s="51">
        <v>-130663</v>
      </c>
      <c r="D22" s="51">
        <v>-132207</v>
      </c>
      <c r="E22" s="51">
        <v>-158331</v>
      </c>
      <c r="F22" s="51">
        <v>13955</v>
      </c>
      <c r="G22" s="51">
        <v>-113768</v>
      </c>
      <c r="H22" s="51">
        <v>-37221</v>
      </c>
      <c r="I22" s="51">
        <v>-11228</v>
      </c>
    </row>
    <row r="23" ht="28.550000000000001">
      <c r="A23" s="45" t="s">
        <v>83</v>
      </c>
      <c r="B23" s="50">
        <v>2450</v>
      </c>
      <c r="C23" s="51">
        <v>2492</v>
      </c>
      <c r="D23" s="51">
        <v>-8518</v>
      </c>
      <c r="E23" s="51">
        <v>-7826</v>
      </c>
      <c r="F23" s="51">
        <v>9955</v>
      </c>
      <c r="G23" s="51">
        <v>10801</v>
      </c>
      <c r="H23" s="51">
        <v>75260</v>
      </c>
      <c r="I23" s="51">
        <v>11107</v>
      </c>
    </row>
    <row r="24" ht="15.6">
      <c r="A24" s="41" t="s">
        <v>84</v>
      </c>
      <c r="B24" s="41">
        <v>2460</v>
      </c>
      <c r="C24" s="50">
        <v>3650</v>
      </c>
      <c r="D24" s="50">
        <v>3421</v>
      </c>
      <c r="E24" s="50">
        <v>4594</v>
      </c>
      <c r="F24" s="50">
        <v>5292</v>
      </c>
      <c r="G24" s="50">
        <v>2083</v>
      </c>
      <c r="H24" s="50">
        <v>-209</v>
      </c>
      <c r="I24" s="50">
        <v>-99</v>
      </c>
    </row>
    <row r="25" s="37" customFormat="1" ht="15.6">
      <c r="A25" s="46" t="s">
        <v>85</v>
      </c>
      <c r="B25" s="40">
        <v>2400</v>
      </c>
      <c r="C25" s="52">
        <f>C19+C20+C22+C23+C24</f>
        <v>3687983</v>
      </c>
      <c r="D25" s="52">
        <f>D19+D20+D22+D23+D24</f>
        <v>4745980</v>
      </c>
      <c r="E25" s="52">
        <f>E19+E20+E22+E23+E24</f>
        <v>8056307</v>
      </c>
      <c r="F25" s="52">
        <f>F19+F20+F22+F23+F24</f>
        <v>7458998</v>
      </c>
      <c r="G25" s="52">
        <f>G19+G20+G22+G23+G24</f>
        <v>9074394</v>
      </c>
      <c r="H25" s="52">
        <f>H19+H20+H22+H23+H24</f>
        <v>412488</v>
      </c>
      <c r="I25" s="52">
        <f>I19+I20+I22+I23+I24</f>
        <v>4028440</v>
      </c>
    </row>
    <row r="26" s="31" customFormat="1" ht="15.6"/>
    <row r="27" s="31" customFormat="1" ht="15.6">
      <c r="G27" s="53"/>
      <c r="H27" s="53"/>
    </row>
    <row r="28" s="31" customFormat="1" ht="15.6"/>
    <row r="29" ht="28.550000000000001">
      <c r="A29" s="39" t="s">
        <v>86</v>
      </c>
      <c r="B29" s="40" t="s">
        <v>58</v>
      </c>
      <c r="C29" s="54" t="str">
        <f>C5</f>
        <v xml:space="preserve">за январь-декабрь 2019 года</v>
      </c>
      <c r="D29" s="54" t="str">
        <f>D5</f>
        <v xml:space="preserve">за январь-декабрь 2018 года</v>
      </c>
      <c r="E29" s="54" t="str">
        <f>E5</f>
        <v xml:space="preserve">за январь-декабрь 2017 года</v>
      </c>
      <c r="F29" s="54" t="str">
        <f>F5</f>
        <v xml:space="preserve">за январь-декабрь 2016 года</v>
      </c>
      <c r="G29" s="54" t="str">
        <f>G5</f>
        <v xml:space="preserve">за январь-декабрь 2015 года</v>
      </c>
      <c r="H29" s="54" t="str">
        <f>H5</f>
        <v xml:space="preserve">за январь-декабрь 2014 года</v>
      </c>
      <c r="I29" s="54" t="str">
        <f>I5</f>
        <v xml:space="preserve">за январь-декабрь 2013 года</v>
      </c>
    </row>
    <row r="30" ht="15.6">
      <c r="A30" s="55" t="s">
        <v>87</v>
      </c>
      <c r="B30" s="56"/>
      <c r="C30" s="57"/>
      <c r="D30" s="57"/>
      <c r="E30" s="57"/>
      <c r="F30" s="57"/>
      <c r="G30" s="57"/>
      <c r="H30" s="57"/>
      <c r="I30" s="57"/>
    </row>
    <row r="31" ht="53.25" customHeight="1">
      <c r="A31" s="45" t="s">
        <v>88</v>
      </c>
      <c r="B31" s="50">
        <v>2510</v>
      </c>
      <c r="C31" s="58"/>
      <c r="D31" s="58"/>
      <c r="E31" s="58"/>
      <c r="F31" s="58"/>
      <c r="G31" s="58"/>
      <c r="H31" s="58"/>
      <c r="I31" s="58"/>
    </row>
    <row r="32" ht="42.100000000000001">
      <c r="A32" s="45" t="s">
        <v>89</v>
      </c>
      <c r="B32" s="50">
        <v>2520</v>
      </c>
      <c r="C32" s="59"/>
      <c r="D32" s="59"/>
      <c r="E32" s="59"/>
      <c r="F32" s="59"/>
      <c r="G32" s="59"/>
      <c r="H32" s="59"/>
      <c r="I32" s="59"/>
      <c r="J32" s="60"/>
      <c r="K32" s="60"/>
      <c r="L32" s="60"/>
    </row>
    <row r="33" ht="28.550000000000001">
      <c r="A33" s="45" t="s">
        <v>90</v>
      </c>
      <c r="B33" s="41">
        <v>2500</v>
      </c>
      <c r="C33" s="61">
        <v>3687983</v>
      </c>
      <c r="D33" s="61">
        <v>4745980</v>
      </c>
      <c r="E33" s="61">
        <v>8056307</v>
      </c>
      <c r="F33" s="61">
        <v>7458998</v>
      </c>
      <c r="G33" s="61">
        <v>9074394</v>
      </c>
      <c r="H33" s="61">
        <v>412488</v>
      </c>
      <c r="I33" s="61">
        <v>4028440</v>
      </c>
    </row>
    <row r="34" ht="15.6">
      <c r="A34" s="45" t="s">
        <v>91</v>
      </c>
      <c r="B34" s="41">
        <v>2900</v>
      </c>
      <c r="C34" s="62">
        <v>0.0042100000000000002</v>
      </c>
      <c r="D34" s="62">
        <v>0.0054200000000000003</v>
      </c>
      <c r="E34" s="62">
        <v>0.0091999999999999998</v>
      </c>
      <c r="F34" s="62">
        <v>0.0085299999999999994</v>
      </c>
      <c r="G34" s="62">
        <v>0.01133</v>
      </c>
      <c r="H34" s="63"/>
      <c r="I34" s="63"/>
    </row>
    <row r="35" ht="15.6">
      <c r="A35" s="45" t="s">
        <v>92</v>
      </c>
      <c r="B35" s="41">
        <v>2910</v>
      </c>
      <c r="C35" s="63"/>
      <c r="D35" s="63"/>
      <c r="E35" s="63"/>
      <c r="F35" s="62"/>
      <c r="G35" s="62">
        <v>0.010370000000000001</v>
      </c>
      <c r="H35" s="63"/>
      <c r="I35" s="63"/>
    </row>
  </sheetData>
  <printOptions headings="0" gridLines="0" horizontalCentered="0" verticalCentered="0"/>
  <pageMargins left="0.75" right="0.75" top="0.50972222222222197" bottom="0.50972222222222197"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indexed="45"/>
    <outlinePr applyStyles="0" summaryBelow="1" summaryRight="1" showOutlineSymbols="1"/>
    <pageSetUpPr autoPageBreaks="1" fitToPage="1"/>
  </sheetPr>
  <sheetViews>
    <sheetView showFormulas="0" showGridLines="1" showRowColHeaders="1" showZeros="1" rightToLeft="0" view="normal" topLeftCell="A124" zoomScale="75" workbookViewId="0">
      <selection activeCell="G147" activeCellId="0" sqref="G147"/>
    </sheetView>
  </sheetViews>
  <sheetFormatPr defaultColWidth="9.109375" defaultRowHeight="15.6"/>
  <cols>
    <col customWidth="1" min="1" max="1" style="64" width="44"/>
    <col customWidth="0" min="2" max="2" style="65" width="9.1099999999999994"/>
    <col customWidth="1" min="3" max="7" style="65" width="15.44"/>
    <col customWidth="1" min="8" max="9" style="64" width="15.44"/>
    <col customWidth="1" min="10" max="10" style="64" width="15.56"/>
    <col customWidth="1" min="11" max="13" style="64" width="12.56"/>
    <col customWidth="0" min="14" max="16384" style="64" width="9.1099999999999994"/>
  </cols>
  <sheetData>
    <row r="1" ht="15.6">
      <c r="A1" s="64" t="s">
        <v>0</v>
      </c>
      <c r="F1" s="64"/>
      <c r="G1" s="64"/>
    </row>
    <row r="2" s="64" customFormat="1" ht="15.6">
      <c r="A2" s="6" t="str">
        <f>'1'!A2</f>
        <v xml:space="preserve">ПАО "ДОРОГОБУЖ"</v>
      </c>
      <c r="B2" s="7"/>
      <c r="C2" s="33"/>
      <c r="D2" s="33"/>
      <c r="E2" s="31"/>
    </row>
    <row r="3" ht="15.6">
      <c r="A3" s="66" t="s">
        <v>93</v>
      </c>
      <c r="B3" s="67" t="str">
        <f>'1'!B3</f>
        <v xml:space="preserve">2013-2019 годы</v>
      </c>
    </row>
    <row r="4" ht="15.6">
      <c r="A4" s="37" t="s">
        <v>4</v>
      </c>
      <c r="B4" s="8" t="s">
        <v>5</v>
      </c>
    </row>
    <row r="5" ht="15.6">
      <c r="A5" s="66"/>
      <c r="B5" s="68" t="s">
        <v>94</v>
      </c>
    </row>
    <row r="6" s="33" customFormat="1" ht="78.75" customHeight="1">
      <c r="A6" s="50" t="s">
        <v>57</v>
      </c>
      <c r="B6" s="50" t="s">
        <v>95</v>
      </c>
      <c r="C6" s="69" t="s">
        <v>96</v>
      </c>
      <c r="D6" s="69" t="s">
        <v>39</v>
      </c>
      <c r="E6" s="69" t="s">
        <v>97</v>
      </c>
      <c r="F6" s="69" t="s">
        <v>42</v>
      </c>
      <c r="G6" s="69" t="s">
        <v>43</v>
      </c>
      <c r="H6" s="69" t="s">
        <v>98</v>
      </c>
    </row>
    <row r="7" s="70" customFormat="1" ht="15.6">
      <c r="A7" s="46" t="s">
        <v>99</v>
      </c>
      <c r="B7" s="71">
        <v>3100</v>
      </c>
      <c r="C7" s="46">
        <v>218860</v>
      </c>
      <c r="D7" s="47"/>
      <c r="E7" s="46">
        <v>647922</v>
      </c>
      <c r="F7" s="46">
        <v>32829</v>
      </c>
      <c r="G7" s="46">
        <v>21162720</v>
      </c>
      <c r="H7" s="47">
        <f t="shared" ref="H7:H8" si="0">C7+D7+E7+F7+G7</f>
        <v>22062331</v>
      </c>
    </row>
    <row r="8" s="72" customFormat="1" ht="15.6">
      <c r="A8" s="73" t="s">
        <v>100</v>
      </c>
      <c r="B8" s="74"/>
      <c r="C8" s="75"/>
      <c r="D8" s="75"/>
      <c r="E8" s="75"/>
      <c r="F8" s="75"/>
      <c r="G8" s="45"/>
      <c r="H8" s="44">
        <f t="shared" si="0"/>
        <v>0</v>
      </c>
    </row>
    <row r="9" s="70" customFormat="1" ht="15.6">
      <c r="A9" s="76" t="s">
        <v>101</v>
      </c>
      <c r="B9" s="71">
        <v>3210</v>
      </c>
      <c r="C9" s="54"/>
      <c r="D9" s="54">
        <v>0</v>
      </c>
      <c r="E9" s="54">
        <f>E11</f>
        <v>0</v>
      </c>
      <c r="F9" s="54" t="s">
        <v>102</v>
      </c>
      <c r="G9" s="54">
        <f>G10+G11</f>
        <v>4028859</v>
      </c>
      <c r="H9" s="47">
        <f>C9+D9+E9+G9</f>
        <v>4028859</v>
      </c>
      <c r="J9" s="72"/>
    </row>
    <row r="10" s="72" customFormat="1" ht="15.6">
      <c r="A10" s="45" t="s">
        <v>103</v>
      </c>
      <c r="B10" s="74">
        <v>3211</v>
      </c>
      <c r="C10" s="75" t="s">
        <v>102</v>
      </c>
      <c r="D10" s="75" t="s">
        <v>102</v>
      </c>
      <c r="E10" s="75" t="s">
        <v>102</v>
      </c>
      <c r="F10" s="75" t="s">
        <v>102</v>
      </c>
      <c r="G10" s="75">
        <v>4028859</v>
      </c>
      <c r="H10" s="47">
        <f>G10</f>
        <v>4028859</v>
      </c>
    </row>
    <row r="11" s="72" customFormat="1" ht="15.6">
      <c r="A11" s="45" t="s">
        <v>104</v>
      </c>
      <c r="B11" s="74">
        <v>3212</v>
      </c>
      <c r="C11" s="75" t="s">
        <v>102</v>
      </c>
      <c r="D11" s="75" t="s">
        <v>102</v>
      </c>
      <c r="E11" s="75"/>
      <c r="F11" s="75" t="s">
        <v>102</v>
      </c>
      <c r="G11" s="45"/>
      <c r="H11" s="44"/>
    </row>
    <row r="12" s="72" customFormat="1" ht="28.550000000000001">
      <c r="A12" s="45" t="s">
        <v>105</v>
      </c>
      <c r="B12" s="74">
        <v>3213</v>
      </c>
      <c r="C12" s="75" t="s">
        <v>102</v>
      </c>
      <c r="D12" s="75" t="s">
        <v>102</v>
      </c>
      <c r="E12" s="75"/>
      <c r="F12" s="75" t="s">
        <v>102</v>
      </c>
      <c r="G12" s="75">
        <v>419</v>
      </c>
      <c r="H12" s="44">
        <f>E12+G12</f>
        <v>419</v>
      </c>
    </row>
    <row r="13" s="72" customFormat="1" ht="15.6">
      <c r="A13" s="45" t="s">
        <v>106</v>
      </c>
      <c r="B13" s="74">
        <v>3214</v>
      </c>
      <c r="C13" s="44"/>
      <c r="D13" s="44"/>
      <c r="E13" s="44"/>
      <c r="F13" s="75" t="s">
        <v>102</v>
      </c>
      <c r="G13" s="75" t="s">
        <v>102</v>
      </c>
      <c r="H13" s="44">
        <f>C13+D13+E13</f>
        <v>0</v>
      </c>
    </row>
    <row r="14" s="72" customFormat="1" ht="17.25" customHeight="1">
      <c r="A14" s="45" t="s">
        <v>107</v>
      </c>
      <c r="B14" s="74">
        <v>3215</v>
      </c>
      <c r="C14" s="44"/>
      <c r="D14" s="44"/>
      <c r="E14" s="44"/>
      <c r="F14" s="75" t="s">
        <v>102</v>
      </c>
      <c r="G14" s="75" t="s">
        <v>108</v>
      </c>
      <c r="H14" s="44" t="s">
        <v>102</v>
      </c>
    </row>
    <row r="15" s="72" customFormat="1" ht="15.6">
      <c r="A15" s="45" t="s">
        <v>109</v>
      </c>
      <c r="B15" s="74">
        <v>3216</v>
      </c>
      <c r="C15" s="75"/>
      <c r="D15" s="75"/>
      <c r="E15" s="75"/>
      <c r="F15" s="75"/>
      <c r="G15" s="75"/>
      <c r="H15" s="44">
        <f>C15+D15+E15+F15+G15</f>
        <v>0</v>
      </c>
    </row>
    <row r="16" s="77" customFormat="1" ht="15.6">
      <c r="A16" s="76" t="s">
        <v>110</v>
      </c>
      <c r="B16" s="71">
        <v>3220</v>
      </c>
      <c r="C16" s="54"/>
      <c r="D16" s="54">
        <v>0</v>
      </c>
      <c r="E16" s="54">
        <f>E18</f>
        <v>0</v>
      </c>
      <c r="F16" s="54" t="s">
        <v>102</v>
      </c>
      <c r="G16" s="54">
        <f>G19+G23</f>
        <v>-185108</v>
      </c>
      <c r="H16" s="47">
        <f>C16+D16+E16+G16</f>
        <v>-185108</v>
      </c>
    </row>
    <row r="17" s="78" customFormat="1" ht="15.6">
      <c r="A17" s="45" t="s">
        <v>111</v>
      </c>
      <c r="B17" s="74">
        <v>3221</v>
      </c>
      <c r="C17" s="75" t="s">
        <v>102</v>
      </c>
      <c r="D17" s="75" t="s">
        <v>102</v>
      </c>
      <c r="E17" s="75" t="s">
        <v>102</v>
      </c>
      <c r="F17" s="75" t="s">
        <v>102</v>
      </c>
      <c r="G17" s="75"/>
      <c r="H17" s="44">
        <f>G17</f>
        <v>0</v>
      </c>
    </row>
    <row r="18" s="78" customFormat="1" ht="15.6">
      <c r="A18" s="45" t="s">
        <v>104</v>
      </c>
      <c r="B18" s="74">
        <v>3222</v>
      </c>
      <c r="C18" s="75" t="s">
        <v>102</v>
      </c>
      <c r="D18" s="75" t="s">
        <v>102</v>
      </c>
      <c r="E18" s="75"/>
      <c r="F18" s="75" t="s">
        <v>102</v>
      </c>
      <c r="G18" s="45"/>
      <c r="H18" s="44">
        <f>E18+G18</f>
        <v>0</v>
      </c>
    </row>
    <row r="19" s="78" customFormat="1" ht="28.550000000000001">
      <c r="A19" s="45" t="s">
        <v>112</v>
      </c>
      <c r="B19" s="74">
        <v>3223</v>
      </c>
      <c r="C19" s="75" t="s">
        <v>102</v>
      </c>
      <c r="D19" s="75" t="s">
        <v>102</v>
      </c>
      <c r="E19" s="75"/>
      <c r="F19" s="75" t="s">
        <v>102</v>
      </c>
      <c r="G19" s="75">
        <v>0</v>
      </c>
      <c r="H19" s="44">
        <f>G19</f>
        <v>0</v>
      </c>
    </row>
    <row r="20" s="78" customFormat="1" ht="20.25" customHeight="1">
      <c r="A20" s="45" t="s">
        <v>113</v>
      </c>
      <c r="B20" s="74">
        <v>3224</v>
      </c>
      <c r="C20" s="75"/>
      <c r="D20" s="75"/>
      <c r="E20" s="75"/>
      <c r="F20" s="75"/>
      <c r="G20" s="75"/>
      <c r="H20" s="44"/>
    </row>
    <row r="21" s="78" customFormat="1" ht="15.6">
      <c r="A21" s="45" t="s">
        <v>114</v>
      </c>
      <c r="B21" s="74">
        <v>3225</v>
      </c>
      <c r="C21" s="44"/>
      <c r="D21" s="44"/>
      <c r="E21" s="44"/>
      <c r="F21" s="75" t="s">
        <v>102</v>
      </c>
      <c r="G21" s="75" t="s">
        <v>102</v>
      </c>
      <c r="H21" s="44">
        <f>C21+D21+E21</f>
        <v>0</v>
      </c>
    </row>
    <row r="22" s="78" customFormat="1" ht="15.6">
      <c r="A22" s="45" t="s">
        <v>109</v>
      </c>
      <c r="B22" s="74">
        <v>3226</v>
      </c>
      <c r="C22" s="75"/>
      <c r="D22" s="75"/>
      <c r="E22" s="75"/>
      <c r="F22" s="75"/>
      <c r="G22" s="75"/>
      <c r="H22" s="44">
        <f>C22+D22+E22+F22+G22</f>
        <v>0</v>
      </c>
    </row>
    <row r="23" s="78" customFormat="1" ht="15.6">
      <c r="A23" s="79" t="s">
        <v>115</v>
      </c>
      <c r="B23" s="74">
        <v>3227</v>
      </c>
      <c r="C23" s="80"/>
      <c r="D23" s="80"/>
      <c r="E23" s="80"/>
      <c r="F23" s="81"/>
      <c r="G23" s="81">
        <v>-185108</v>
      </c>
      <c r="H23" s="44">
        <f>G23</f>
        <v>-185108</v>
      </c>
    </row>
    <row r="24" s="78" customFormat="1" ht="15.6">
      <c r="A24" s="79" t="s">
        <v>116</v>
      </c>
      <c r="B24" s="82">
        <v>3230</v>
      </c>
      <c r="C24" s="80"/>
      <c r="D24" s="80"/>
      <c r="E24" s="80">
        <v>-20801</v>
      </c>
      <c r="F24" s="80"/>
      <c r="G24" s="80">
        <f>-E24</f>
        <v>20801</v>
      </c>
      <c r="H24" s="80" t="s">
        <v>102</v>
      </c>
    </row>
    <row r="25" s="78" customFormat="1" ht="15.6">
      <c r="A25" s="79" t="s">
        <v>117</v>
      </c>
      <c r="B25" s="82">
        <v>3240</v>
      </c>
      <c r="C25" s="80"/>
      <c r="D25" s="80"/>
      <c r="E25" s="80"/>
      <c r="F25" s="80"/>
      <c r="G25" s="80"/>
      <c r="H25" s="83"/>
    </row>
    <row r="26" s="78" customFormat="1" ht="15.6">
      <c r="A26" s="84" t="s">
        <v>118</v>
      </c>
      <c r="B26" s="82">
        <v>3200</v>
      </c>
      <c r="C26" s="85">
        <f>C7+C9+C16</f>
        <v>218860</v>
      </c>
      <c r="D26" s="85">
        <f>D7+D9+D16</f>
        <v>0</v>
      </c>
      <c r="E26" s="85">
        <f>E7+E9+E16+E24</f>
        <v>627121</v>
      </c>
      <c r="F26" s="85">
        <f>F7+F25</f>
        <v>32829</v>
      </c>
      <c r="G26" s="85">
        <f>G7+G9+G16+G25+G24</f>
        <v>25027272</v>
      </c>
      <c r="H26" s="85">
        <f>H7+H9+H16</f>
        <v>25906082</v>
      </c>
      <c r="I26" s="78">
        <f>H26-'1'!D37</f>
        <v>-19837952</v>
      </c>
    </row>
    <row r="27" s="78" customFormat="1" ht="15.6">
      <c r="A27" s="73" t="s">
        <v>119</v>
      </c>
      <c r="B27" s="74"/>
      <c r="C27" s="75"/>
      <c r="D27" s="75"/>
      <c r="E27" s="75"/>
      <c r="F27" s="75"/>
      <c r="G27" s="45"/>
      <c r="H27" s="44">
        <f>C27+D27+E27+F27+G27</f>
        <v>0</v>
      </c>
    </row>
    <row r="28" s="77" customFormat="1" ht="15.6">
      <c r="A28" s="76" t="s">
        <v>101</v>
      </c>
      <c r="B28" s="71">
        <v>3310</v>
      </c>
      <c r="C28" s="54"/>
      <c r="D28" s="54"/>
      <c r="E28" s="54">
        <f>SUM(E29:E33)</f>
        <v>0</v>
      </c>
      <c r="F28" s="54" t="s">
        <v>102</v>
      </c>
      <c r="G28" s="54">
        <f>SUM(G29:G33)</f>
        <v>414506</v>
      </c>
      <c r="H28" s="47">
        <f>C28+D28+E28+G28</f>
        <v>414506</v>
      </c>
      <c r="K28" s="86"/>
    </row>
    <row r="29" s="78" customFormat="1" ht="15.6">
      <c r="A29" s="45" t="s">
        <v>103</v>
      </c>
      <c r="B29" s="74">
        <v>3311</v>
      </c>
      <c r="C29" s="75" t="s">
        <v>102</v>
      </c>
      <c r="D29" s="75" t="s">
        <v>102</v>
      </c>
      <c r="E29" s="75" t="s">
        <v>102</v>
      </c>
      <c r="F29" s="75" t="s">
        <v>102</v>
      </c>
      <c r="G29" s="75">
        <v>412488</v>
      </c>
      <c r="H29" s="44">
        <f>G29</f>
        <v>412488</v>
      </c>
    </row>
    <row r="30" s="78" customFormat="1" ht="15.6">
      <c r="A30" s="45" t="s">
        <v>104</v>
      </c>
      <c r="B30" s="74">
        <v>3312</v>
      </c>
      <c r="C30" s="75" t="s">
        <v>102</v>
      </c>
      <c r="D30" s="75" t="s">
        <v>102</v>
      </c>
      <c r="E30" s="75"/>
      <c r="F30" s="75" t="s">
        <v>102</v>
      </c>
      <c r="G30" s="45">
        <v>0</v>
      </c>
      <c r="H30" s="44">
        <f t="shared" ref="H30:H31" si="1">SUM(C30:G30)</f>
        <v>0</v>
      </c>
    </row>
    <row r="31" s="78" customFormat="1" ht="28.550000000000001">
      <c r="A31" s="45" t="s">
        <v>105</v>
      </c>
      <c r="B31" s="74">
        <v>3313</v>
      </c>
      <c r="C31" s="75" t="s">
        <v>102</v>
      </c>
      <c r="D31" s="75" t="s">
        <v>102</v>
      </c>
      <c r="E31" s="75"/>
      <c r="F31" s="75" t="s">
        <v>102</v>
      </c>
      <c r="G31" s="75">
        <v>2018</v>
      </c>
      <c r="H31" s="44">
        <f t="shared" si="1"/>
        <v>2018</v>
      </c>
    </row>
    <row r="32" s="78" customFormat="1" ht="15.6">
      <c r="A32" s="45" t="s">
        <v>106</v>
      </c>
      <c r="B32" s="74">
        <v>3314</v>
      </c>
      <c r="C32" s="44"/>
      <c r="D32" s="44"/>
      <c r="E32" s="44"/>
      <c r="F32" s="75" t="s">
        <v>102</v>
      </c>
      <c r="G32" s="75" t="s">
        <v>102</v>
      </c>
      <c r="H32" s="44">
        <f>C32+D32+E32</f>
        <v>0</v>
      </c>
    </row>
    <row r="33" s="78" customFormat="1" ht="15.6">
      <c r="A33" s="45" t="s">
        <v>109</v>
      </c>
      <c r="B33" s="74">
        <v>3315</v>
      </c>
      <c r="C33" s="75"/>
      <c r="D33" s="75"/>
      <c r="E33" s="75"/>
      <c r="F33" s="75"/>
      <c r="G33" s="75"/>
      <c r="H33" s="44">
        <f>C33+D33+E33+F33+G33</f>
        <v>0</v>
      </c>
      <c r="K33" s="87"/>
    </row>
    <row r="34" s="77" customFormat="1" ht="15.6">
      <c r="A34" s="76" t="s">
        <v>110</v>
      </c>
      <c r="B34" s="71">
        <v>3320</v>
      </c>
      <c r="C34" s="54">
        <v>0</v>
      </c>
      <c r="D34" s="54">
        <v>0</v>
      </c>
      <c r="E34" s="54">
        <v>0</v>
      </c>
      <c r="F34" s="54">
        <v>0</v>
      </c>
      <c r="G34" s="54">
        <f>SUM(G35:G41)</f>
        <v>-185108</v>
      </c>
      <c r="H34" s="47">
        <f>C34+D34+E34+G34</f>
        <v>-185108</v>
      </c>
    </row>
    <row r="35" s="78" customFormat="1" ht="15.6">
      <c r="A35" s="45" t="s">
        <v>111</v>
      </c>
      <c r="B35" s="74">
        <v>3321</v>
      </c>
      <c r="C35" s="75" t="s">
        <v>102</v>
      </c>
      <c r="D35" s="75" t="s">
        <v>102</v>
      </c>
      <c r="E35" s="75" t="s">
        <v>102</v>
      </c>
      <c r="F35" s="75" t="s">
        <v>102</v>
      </c>
      <c r="G35" s="75"/>
      <c r="H35" s="44">
        <f t="shared" ref="H35:H36" si="2">G35</f>
        <v>0</v>
      </c>
      <c r="J35" s="87"/>
      <c r="K35" s="87"/>
    </row>
    <row r="36" s="78" customFormat="1" ht="15.6">
      <c r="A36" s="45" t="s">
        <v>104</v>
      </c>
      <c r="B36" s="74">
        <v>3322</v>
      </c>
      <c r="C36" s="75" t="s">
        <v>102</v>
      </c>
      <c r="D36" s="75" t="s">
        <v>102</v>
      </c>
      <c r="E36" s="75">
        <v>0</v>
      </c>
      <c r="F36" s="75" t="s">
        <v>102</v>
      </c>
      <c r="G36" s="45"/>
      <c r="H36" s="44">
        <f t="shared" si="2"/>
        <v>0</v>
      </c>
    </row>
    <row r="37" s="78" customFormat="1" ht="28.550000000000001">
      <c r="A37" s="45" t="s">
        <v>112</v>
      </c>
      <c r="B37" s="74">
        <v>3323</v>
      </c>
      <c r="C37" s="75" t="s">
        <v>102</v>
      </c>
      <c r="D37" s="75" t="s">
        <v>102</v>
      </c>
      <c r="E37" s="75"/>
      <c r="F37" s="75" t="s">
        <v>102</v>
      </c>
      <c r="G37" s="75">
        <v>0</v>
      </c>
      <c r="H37" s="44">
        <f>SUM(C37:G37)</f>
        <v>0</v>
      </c>
    </row>
    <row r="38" s="78" customFormat="1" ht="15.6">
      <c r="A38" s="45" t="s">
        <v>113</v>
      </c>
      <c r="B38" s="74">
        <v>3324</v>
      </c>
      <c r="C38" s="75"/>
      <c r="D38" s="75"/>
      <c r="E38" s="75"/>
      <c r="F38" s="75"/>
      <c r="G38" s="75"/>
      <c r="H38" s="44"/>
    </row>
    <row r="39" s="78" customFormat="1" ht="15.6">
      <c r="A39" s="45" t="s">
        <v>114</v>
      </c>
      <c r="B39" s="74">
        <v>3325</v>
      </c>
      <c r="C39" s="44">
        <v>0</v>
      </c>
      <c r="D39" s="44">
        <v>0</v>
      </c>
      <c r="E39" s="44"/>
      <c r="F39" s="75" t="s">
        <v>102</v>
      </c>
      <c r="G39" s="75" t="s">
        <v>102</v>
      </c>
      <c r="H39" s="44">
        <f>C39+D39+E39</f>
        <v>0</v>
      </c>
    </row>
    <row r="40" s="78" customFormat="1" ht="15.6">
      <c r="A40" s="45" t="s">
        <v>109</v>
      </c>
      <c r="B40" s="74">
        <v>3326</v>
      </c>
      <c r="C40" s="75"/>
      <c r="D40" s="75"/>
      <c r="E40" s="75"/>
      <c r="F40" s="75"/>
      <c r="G40" s="75">
        <v>0</v>
      </c>
      <c r="H40" s="44">
        <f>C40+D40+E40+F40+G40</f>
        <v>0</v>
      </c>
    </row>
    <row r="41" s="78" customFormat="1" ht="15.6">
      <c r="A41" s="79" t="s">
        <v>115</v>
      </c>
      <c r="B41" s="74">
        <v>3327</v>
      </c>
      <c r="C41" s="80"/>
      <c r="D41" s="80"/>
      <c r="E41" s="80"/>
      <c r="F41" s="81"/>
      <c r="G41" s="81">
        <v>-185108</v>
      </c>
      <c r="H41" s="44">
        <f>G41</f>
        <v>-185108</v>
      </c>
    </row>
    <row r="42" s="78" customFormat="1" ht="15.6">
      <c r="A42" s="79" t="s">
        <v>116</v>
      </c>
      <c r="B42" s="82">
        <v>3330</v>
      </c>
      <c r="C42" s="80"/>
      <c r="D42" s="80"/>
      <c r="E42" s="80">
        <v>-11568</v>
      </c>
      <c r="F42" s="80"/>
      <c r="G42" s="80">
        <f>-E42</f>
        <v>11568</v>
      </c>
      <c r="H42" s="80" t="s">
        <v>102</v>
      </c>
    </row>
    <row r="43" s="78" customFormat="1" ht="15.6">
      <c r="A43" s="79" t="s">
        <v>117</v>
      </c>
      <c r="B43" s="82">
        <v>3340</v>
      </c>
      <c r="C43" s="80"/>
      <c r="D43" s="80"/>
      <c r="E43" s="80"/>
      <c r="F43" s="80"/>
      <c r="G43" s="80"/>
      <c r="H43" s="80" t="s">
        <v>102</v>
      </c>
    </row>
    <row r="44" s="77" customFormat="1" ht="15.6">
      <c r="A44" s="84" t="s">
        <v>120</v>
      </c>
      <c r="B44" s="88">
        <v>3300</v>
      </c>
      <c r="C44" s="85">
        <f>C26+C28+C34</f>
        <v>218860</v>
      </c>
      <c r="D44" s="85">
        <f>D26+D28+D34</f>
        <v>0</v>
      </c>
      <c r="E44" s="85">
        <f>E26+E28+E42</f>
        <v>615553</v>
      </c>
      <c r="F44" s="85">
        <f>F26+F43</f>
        <v>32829</v>
      </c>
      <c r="G44" s="85">
        <f>G26+G28+G34+G42+G43</f>
        <v>25268238</v>
      </c>
      <c r="H44" s="85">
        <f>H26+H28+H34</f>
        <v>26135480</v>
      </c>
      <c r="I44" s="77">
        <f>H44-'1'!C37</f>
        <v>-14283212</v>
      </c>
    </row>
    <row r="45" s="78" customFormat="1" ht="15.6">
      <c r="A45" s="73" t="s">
        <v>121</v>
      </c>
      <c r="B45" s="74"/>
      <c r="C45" s="75"/>
      <c r="D45" s="75"/>
      <c r="E45" s="75"/>
      <c r="F45" s="75"/>
      <c r="G45" s="45"/>
      <c r="H45" s="44">
        <f>C45+D45+E45+F45+G45</f>
        <v>0</v>
      </c>
    </row>
    <row r="46" s="77" customFormat="1" ht="15.6">
      <c r="A46" s="76" t="s">
        <v>101</v>
      </c>
      <c r="B46" s="71">
        <v>3310</v>
      </c>
      <c r="C46" s="54"/>
      <c r="D46" s="54"/>
      <c r="E46" s="54">
        <f>SUM(E47:E51)</f>
        <v>0</v>
      </c>
      <c r="F46" s="54" t="s">
        <v>102</v>
      </c>
      <c r="G46" s="54">
        <f>SUM(G47:G51)</f>
        <v>9076359</v>
      </c>
      <c r="H46" s="47">
        <f>C46+D46+E46+G46</f>
        <v>9076359</v>
      </c>
      <c r="K46" s="86"/>
    </row>
    <row r="47" s="78" customFormat="1" ht="15.6">
      <c r="A47" s="45" t="s">
        <v>103</v>
      </c>
      <c r="B47" s="74">
        <v>3311</v>
      </c>
      <c r="C47" s="75" t="s">
        <v>102</v>
      </c>
      <c r="D47" s="75" t="s">
        <v>102</v>
      </c>
      <c r="E47" s="75" t="s">
        <v>102</v>
      </c>
      <c r="F47" s="75" t="s">
        <v>102</v>
      </c>
      <c r="G47" s="75">
        <v>9074394</v>
      </c>
      <c r="H47" s="44">
        <f>G47</f>
        <v>9074394</v>
      </c>
    </row>
    <row r="48" s="78" customFormat="1" ht="15.6">
      <c r="A48" s="45" t="s">
        <v>104</v>
      </c>
      <c r="B48" s="74">
        <v>3312</v>
      </c>
      <c r="C48" s="75" t="s">
        <v>102</v>
      </c>
      <c r="D48" s="75" t="s">
        <v>102</v>
      </c>
      <c r="E48" s="75"/>
      <c r="F48" s="75" t="s">
        <v>102</v>
      </c>
      <c r="G48" s="45">
        <v>0</v>
      </c>
      <c r="H48" s="44">
        <f t="shared" ref="H48:H49" si="3">SUM(C48:G48)</f>
        <v>0</v>
      </c>
    </row>
    <row r="49" s="78" customFormat="1" ht="28.550000000000001">
      <c r="A49" s="45" t="s">
        <v>105</v>
      </c>
      <c r="B49" s="74">
        <v>3313</v>
      </c>
      <c r="C49" s="75" t="s">
        <v>102</v>
      </c>
      <c r="D49" s="75" t="s">
        <v>102</v>
      </c>
      <c r="E49" s="75"/>
      <c r="F49" s="75" t="s">
        <v>102</v>
      </c>
      <c r="G49" s="75">
        <v>1965</v>
      </c>
      <c r="H49" s="44">
        <f t="shared" si="3"/>
        <v>1965</v>
      </c>
    </row>
    <row r="50" s="78" customFormat="1" ht="15.6">
      <c r="A50" s="45" t="s">
        <v>106</v>
      </c>
      <c r="B50" s="74">
        <v>3314</v>
      </c>
      <c r="C50" s="44"/>
      <c r="D50" s="44"/>
      <c r="E50" s="44"/>
      <c r="F50" s="75" t="s">
        <v>102</v>
      </c>
      <c r="G50" s="75" t="s">
        <v>102</v>
      </c>
      <c r="H50" s="44">
        <f>C50+D50+E50</f>
        <v>0</v>
      </c>
    </row>
    <row r="51" s="78" customFormat="1" ht="15.6">
      <c r="A51" s="45" t="s">
        <v>109</v>
      </c>
      <c r="B51" s="74">
        <v>3315</v>
      </c>
      <c r="C51" s="75"/>
      <c r="D51" s="75"/>
      <c r="E51" s="75"/>
      <c r="F51" s="75"/>
      <c r="G51" s="75"/>
      <c r="H51" s="44">
        <f>C51+D51+E51+F51+G51</f>
        <v>0</v>
      </c>
      <c r="K51" s="87"/>
    </row>
    <row r="52" s="77" customFormat="1" ht="15.6">
      <c r="A52" s="76" t="s">
        <v>110</v>
      </c>
      <c r="B52" s="71">
        <v>3320</v>
      </c>
      <c r="C52" s="54">
        <f>SUM(C53:C61)</f>
        <v>0</v>
      </c>
      <c r="D52" s="54">
        <f>SUM(D53:D61)</f>
        <v>-20847</v>
      </c>
      <c r="E52" s="54"/>
      <c r="F52" s="54">
        <v>0</v>
      </c>
      <c r="G52" s="54">
        <f>SUM(G53:G59)</f>
        <v>-280140</v>
      </c>
      <c r="H52" s="47">
        <f>C52+D52+E52+G52</f>
        <v>-300987</v>
      </c>
    </row>
    <row r="53" s="78" customFormat="1" ht="15.6">
      <c r="A53" s="45" t="s">
        <v>111</v>
      </c>
      <c r="B53" s="74">
        <v>3321</v>
      </c>
      <c r="C53" s="75" t="s">
        <v>102</v>
      </c>
      <c r="D53" s="75" t="s">
        <v>102</v>
      </c>
      <c r="E53" s="75" t="s">
        <v>102</v>
      </c>
      <c r="F53" s="75" t="s">
        <v>102</v>
      </c>
      <c r="G53" s="75"/>
      <c r="H53" s="44">
        <f t="shared" ref="H53:H54" si="4">G53</f>
        <v>0</v>
      </c>
      <c r="J53" s="87"/>
      <c r="K53" s="87"/>
    </row>
    <row r="54" s="78" customFormat="1" ht="15.6">
      <c r="A54" s="45" t="s">
        <v>104</v>
      </c>
      <c r="B54" s="74">
        <v>3322</v>
      </c>
      <c r="C54" s="75" t="s">
        <v>102</v>
      </c>
      <c r="D54" s="75" t="s">
        <v>102</v>
      </c>
      <c r="E54" s="75">
        <v>0</v>
      </c>
      <c r="F54" s="75" t="s">
        <v>102</v>
      </c>
      <c r="G54" s="45"/>
      <c r="H54" s="44">
        <f t="shared" si="4"/>
        <v>0</v>
      </c>
    </row>
    <row r="55" s="78" customFormat="1" ht="28.550000000000001">
      <c r="A55" s="45" t="s">
        <v>112</v>
      </c>
      <c r="B55" s="74">
        <v>3323</v>
      </c>
      <c r="C55" s="75" t="s">
        <v>102</v>
      </c>
      <c r="D55" s="75" t="s">
        <v>102</v>
      </c>
      <c r="E55" s="75"/>
      <c r="F55" s="75" t="s">
        <v>102</v>
      </c>
      <c r="G55" s="75">
        <v>0</v>
      </c>
      <c r="H55" s="44">
        <f>SUM(C55:G55)</f>
        <v>0</v>
      </c>
    </row>
    <row r="56" s="78" customFormat="1" ht="15.6">
      <c r="A56" s="45" t="s">
        <v>113</v>
      </c>
      <c r="B56" s="74">
        <v>3324</v>
      </c>
      <c r="C56" s="75"/>
      <c r="D56" s="75"/>
      <c r="E56" s="75"/>
      <c r="F56" s="75"/>
      <c r="G56" s="75"/>
      <c r="H56" s="44"/>
    </row>
    <row r="57" s="78" customFormat="1" ht="15.6">
      <c r="A57" s="45" t="s">
        <v>114</v>
      </c>
      <c r="B57" s="74">
        <v>3325</v>
      </c>
      <c r="C57" s="44">
        <v>0</v>
      </c>
      <c r="D57" s="44">
        <v>-20847</v>
      </c>
      <c r="E57" s="44"/>
      <c r="F57" s="75" t="s">
        <v>102</v>
      </c>
      <c r="G57" s="75" t="s">
        <v>102</v>
      </c>
      <c r="H57" s="44">
        <f>C57+D57+E57</f>
        <v>-20847</v>
      </c>
    </row>
    <row r="58" s="78" customFormat="1" ht="15.6">
      <c r="A58" s="45" t="s">
        <v>109</v>
      </c>
      <c r="B58" s="74">
        <v>3326</v>
      </c>
      <c r="C58" s="75"/>
      <c r="D58" s="75"/>
      <c r="E58" s="75"/>
      <c r="F58" s="75"/>
      <c r="G58" s="75">
        <v>0</v>
      </c>
      <c r="H58" s="44">
        <f>C58+D58+E58+F58+G58</f>
        <v>0</v>
      </c>
    </row>
    <row r="59" s="78" customFormat="1" ht="15.6">
      <c r="A59" s="79" t="s">
        <v>115</v>
      </c>
      <c r="B59" s="74">
        <v>3327</v>
      </c>
      <c r="C59" s="80"/>
      <c r="D59" s="80"/>
      <c r="E59" s="80"/>
      <c r="F59" s="81"/>
      <c r="G59" s="81">
        <v>-280140</v>
      </c>
      <c r="H59" s="44">
        <f>G59</f>
        <v>-280140</v>
      </c>
    </row>
    <row r="60" s="78" customFormat="1" ht="15.6">
      <c r="A60" s="79" t="s">
        <v>116</v>
      </c>
      <c r="B60" s="82">
        <v>3330</v>
      </c>
      <c r="C60" s="80"/>
      <c r="D60" s="80"/>
      <c r="E60" s="80">
        <v>-13343</v>
      </c>
      <c r="F60" s="80"/>
      <c r="G60" s="80">
        <v>13343</v>
      </c>
      <c r="H60" s="83"/>
    </row>
    <row r="61" s="78" customFormat="1" ht="15.6">
      <c r="A61" s="79" t="s">
        <v>117</v>
      </c>
      <c r="B61" s="82">
        <v>3340</v>
      </c>
      <c r="C61" s="80"/>
      <c r="D61" s="80"/>
      <c r="E61" s="80"/>
      <c r="F61" s="80"/>
      <c r="G61" s="80"/>
      <c r="H61" s="83"/>
    </row>
    <row r="62" s="77" customFormat="1" ht="15.6">
      <c r="A62" s="84" t="s">
        <v>122</v>
      </c>
      <c r="B62" s="88">
        <v>3300</v>
      </c>
      <c r="C62" s="85">
        <f>C44+C46+C52</f>
        <v>218860</v>
      </c>
      <c r="D62" s="85">
        <f>D44+D46+D52</f>
        <v>-20847</v>
      </c>
      <c r="E62" s="85">
        <f>E44+E46+E52+E60</f>
        <v>602210</v>
      </c>
      <c r="F62" s="85">
        <f>F44+F61</f>
        <v>32829</v>
      </c>
      <c r="G62" s="85">
        <f>G44+G46+G52+G60+G61</f>
        <v>34077800</v>
      </c>
      <c r="H62" s="85">
        <f>H44+H46+H52</f>
        <v>34910852</v>
      </c>
      <c r="I62" s="77">
        <f>H62-'1'!C55</f>
        <v>34910852</v>
      </c>
    </row>
    <row r="63" s="78" customFormat="1" ht="15.6">
      <c r="A63" s="73" t="s">
        <v>123</v>
      </c>
      <c r="B63" s="74"/>
      <c r="C63" s="75"/>
      <c r="D63" s="75"/>
      <c r="E63" s="75"/>
      <c r="F63" s="75"/>
      <c r="G63" s="45"/>
      <c r="H63" s="44">
        <f>C63+D63+E63+F63+G63</f>
        <v>0</v>
      </c>
    </row>
    <row r="64" s="77" customFormat="1" ht="15.6">
      <c r="A64" s="76" t="s">
        <v>101</v>
      </c>
      <c r="B64" s="71">
        <v>3310</v>
      </c>
      <c r="C64" s="54"/>
      <c r="D64" s="54">
        <v>20847</v>
      </c>
      <c r="E64" s="54">
        <f>SUM(E65:E69)</f>
        <v>0</v>
      </c>
      <c r="F64" s="54" t="s">
        <v>102</v>
      </c>
      <c r="G64" s="54">
        <f>SUM(G65:G69)</f>
        <v>7460823</v>
      </c>
      <c r="H64" s="47">
        <f>C64+D64+E64+G64</f>
        <v>7481670</v>
      </c>
      <c r="K64" s="86"/>
    </row>
    <row r="65" s="78" customFormat="1" ht="15.6">
      <c r="A65" s="45" t="s">
        <v>103</v>
      </c>
      <c r="B65" s="74">
        <v>3311</v>
      </c>
      <c r="C65" s="75" t="s">
        <v>102</v>
      </c>
      <c r="D65" s="75" t="s">
        <v>102</v>
      </c>
      <c r="E65" s="75" t="s">
        <v>102</v>
      </c>
      <c r="F65" s="75" t="s">
        <v>102</v>
      </c>
      <c r="G65" s="75">
        <v>7458998</v>
      </c>
      <c r="H65" s="44">
        <f>G65</f>
        <v>7458998</v>
      </c>
    </row>
    <row r="66" s="78" customFormat="1" ht="15.6">
      <c r="A66" s="45" t="s">
        <v>104</v>
      </c>
      <c r="B66" s="74">
        <v>3312</v>
      </c>
      <c r="C66" s="75" t="s">
        <v>102</v>
      </c>
      <c r="D66" s="75" t="s">
        <v>102</v>
      </c>
      <c r="E66" s="75"/>
      <c r="F66" s="75" t="s">
        <v>102</v>
      </c>
      <c r="G66" s="45">
        <v>0</v>
      </c>
      <c r="H66" s="44">
        <f t="shared" ref="H66:H67" si="5">SUM(C66:G66)</f>
        <v>0</v>
      </c>
    </row>
    <row r="67" s="78" customFormat="1" ht="28.550000000000001">
      <c r="A67" s="45" t="s">
        <v>105</v>
      </c>
      <c r="B67" s="74">
        <v>3313</v>
      </c>
      <c r="C67" s="75" t="s">
        <v>102</v>
      </c>
      <c r="D67" s="75">
        <v>20847</v>
      </c>
      <c r="E67" s="75"/>
      <c r="F67" s="75" t="s">
        <v>102</v>
      </c>
      <c r="G67" s="75">
        <v>1825</v>
      </c>
      <c r="H67" s="44">
        <f t="shared" si="5"/>
        <v>22672</v>
      </c>
    </row>
    <row r="68" s="78" customFormat="1" ht="15.6">
      <c r="A68" s="45" t="s">
        <v>106</v>
      </c>
      <c r="B68" s="74">
        <v>3314</v>
      </c>
      <c r="C68" s="44"/>
      <c r="D68" s="44"/>
      <c r="E68" s="44"/>
      <c r="F68" s="75" t="s">
        <v>102</v>
      </c>
      <c r="G68" s="75" t="s">
        <v>102</v>
      </c>
      <c r="H68" s="44">
        <f>C68+D68+E68</f>
        <v>0</v>
      </c>
    </row>
    <row r="69" s="78" customFormat="1" ht="15.6">
      <c r="A69" s="45" t="s">
        <v>109</v>
      </c>
      <c r="B69" s="74">
        <v>3315</v>
      </c>
      <c r="C69" s="75"/>
      <c r="D69" s="75"/>
      <c r="E69" s="75"/>
      <c r="F69" s="75"/>
      <c r="G69" s="75"/>
      <c r="H69" s="44">
        <f>C69+D69+E69+F69+G69</f>
        <v>0</v>
      </c>
      <c r="K69" s="87"/>
    </row>
    <row r="70" s="77" customFormat="1" ht="15.6">
      <c r="A70" s="76" t="s">
        <v>110</v>
      </c>
      <c r="B70" s="71">
        <v>3320</v>
      </c>
      <c r="C70" s="54">
        <f>SUM(C71:C79)</f>
        <v>0</v>
      </c>
      <c r="D70" s="54">
        <f>SUM(D71:D79)</f>
        <v>0</v>
      </c>
      <c r="E70" s="54">
        <v>0</v>
      </c>
      <c r="F70" s="54">
        <v>0</v>
      </c>
      <c r="G70" s="54">
        <f>SUM(G71:G77)</f>
        <v>-1136768</v>
      </c>
      <c r="H70" s="47">
        <f>C70+D70+E70+G70</f>
        <v>-1136768</v>
      </c>
    </row>
    <row r="71" s="78" customFormat="1" ht="15.6">
      <c r="A71" s="45" t="s">
        <v>111</v>
      </c>
      <c r="B71" s="74">
        <v>3321</v>
      </c>
      <c r="C71" s="75" t="s">
        <v>102</v>
      </c>
      <c r="D71" s="75" t="s">
        <v>102</v>
      </c>
      <c r="E71" s="75" t="s">
        <v>102</v>
      </c>
      <c r="F71" s="75" t="s">
        <v>102</v>
      </c>
      <c r="G71" s="75"/>
      <c r="H71" s="44">
        <f t="shared" ref="H71:H72" si="6">G71</f>
        <v>0</v>
      </c>
      <c r="J71" s="87"/>
      <c r="K71" s="87"/>
    </row>
    <row r="72" s="78" customFormat="1" ht="15.6">
      <c r="A72" s="45" t="s">
        <v>104</v>
      </c>
      <c r="B72" s="74">
        <v>3322</v>
      </c>
      <c r="C72" s="75" t="s">
        <v>102</v>
      </c>
      <c r="D72" s="75" t="s">
        <v>102</v>
      </c>
      <c r="E72" s="75">
        <v>0</v>
      </c>
      <c r="F72" s="75" t="s">
        <v>102</v>
      </c>
      <c r="G72" s="45"/>
      <c r="H72" s="44">
        <f t="shared" si="6"/>
        <v>0</v>
      </c>
    </row>
    <row r="73" s="78" customFormat="1" ht="28.550000000000001">
      <c r="A73" s="45" t="s">
        <v>112</v>
      </c>
      <c r="B73" s="74">
        <v>3323</v>
      </c>
      <c r="C73" s="75" t="s">
        <v>102</v>
      </c>
      <c r="D73" s="75" t="s">
        <v>102</v>
      </c>
      <c r="E73" s="75"/>
      <c r="F73" s="75" t="s">
        <v>102</v>
      </c>
      <c r="G73" s="75">
        <v>0</v>
      </c>
      <c r="H73" s="44">
        <f>SUM(C73:G73)</f>
        <v>0</v>
      </c>
    </row>
    <row r="74" s="78" customFormat="1" ht="15.6">
      <c r="A74" s="45" t="s">
        <v>113</v>
      </c>
      <c r="B74" s="74">
        <v>3324</v>
      </c>
      <c r="C74" s="75"/>
      <c r="D74" s="75"/>
      <c r="E74" s="75"/>
      <c r="F74" s="75"/>
      <c r="G74" s="75"/>
      <c r="H74" s="44"/>
    </row>
    <row r="75" s="78" customFormat="1" ht="15.6">
      <c r="A75" s="45" t="s">
        <v>114</v>
      </c>
      <c r="B75" s="74">
        <v>3325</v>
      </c>
      <c r="C75" s="44">
        <v>0</v>
      </c>
      <c r="D75" s="44">
        <v>0</v>
      </c>
      <c r="E75" s="44"/>
      <c r="F75" s="75" t="s">
        <v>102</v>
      </c>
      <c r="G75" s="75" t="s">
        <v>102</v>
      </c>
      <c r="H75" s="44">
        <f>C75+D75+E75</f>
        <v>0</v>
      </c>
    </row>
    <row r="76" s="78" customFormat="1" ht="15.6">
      <c r="A76" s="45" t="s">
        <v>109</v>
      </c>
      <c r="B76" s="74">
        <v>3326</v>
      </c>
      <c r="C76" s="75"/>
      <c r="D76" s="75"/>
      <c r="E76" s="75"/>
      <c r="F76" s="75"/>
      <c r="G76" s="75">
        <v>0</v>
      </c>
      <c r="H76" s="44">
        <f>C76+D76+E76+F76+G76</f>
        <v>0</v>
      </c>
    </row>
    <row r="77" s="78" customFormat="1" ht="15.6">
      <c r="A77" s="79" t="s">
        <v>115</v>
      </c>
      <c r="B77" s="74">
        <v>3327</v>
      </c>
      <c r="C77" s="80"/>
      <c r="D77" s="80"/>
      <c r="E77" s="80"/>
      <c r="F77" s="81"/>
      <c r="G77" s="81">
        <v>-1136768</v>
      </c>
      <c r="H77" s="44">
        <f>G77</f>
        <v>-1136768</v>
      </c>
    </row>
    <row r="78" s="78" customFormat="1" ht="15.6">
      <c r="A78" s="79" t="s">
        <v>116</v>
      </c>
      <c r="B78" s="82">
        <v>3330</v>
      </c>
      <c r="C78" s="80"/>
      <c r="D78" s="80"/>
      <c r="E78" s="80">
        <v>-33419</v>
      </c>
      <c r="F78" s="80"/>
      <c r="G78" s="80">
        <v>33419</v>
      </c>
      <c r="H78" s="83"/>
    </row>
    <row r="79" s="78" customFormat="1" ht="15.6">
      <c r="A79" s="79" t="s">
        <v>117</v>
      </c>
      <c r="B79" s="82">
        <v>3340</v>
      </c>
      <c r="C79" s="80"/>
      <c r="D79" s="80"/>
      <c r="E79" s="80"/>
      <c r="F79" s="80"/>
      <c r="G79" s="80"/>
      <c r="H79" s="83"/>
    </row>
    <row r="80" s="77" customFormat="1" ht="15.6">
      <c r="A80" s="84" t="s">
        <v>124</v>
      </c>
      <c r="B80" s="88">
        <v>3300</v>
      </c>
      <c r="C80" s="85">
        <f>C62+C64+C70</f>
        <v>218860</v>
      </c>
      <c r="D80" s="85">
        <f>D62+D64+D70</f>
        <v>0</v>
      </c>
      <c r="E80" s="85">
        <f>E62+E64+E70+E78</f>
        <v>568791</v>
      </c>
      <c r="F80" s="85">
        <f>F62+F79</f>
        <v>32829</v>
      </c>
      <c r="G80" s="85">
        <f>G62+G64+G70+G78+G79</f>
        <v>40435274</v>
      </c>
      <c r="H80" s="85">
        <f>H62+H64+H70</f>
        <v>41255754</v>
      </c>
      <c r="I80" s="77">
        <f>H80-'1'!C73</f>
        <v>41255754</v>
      </c>
    </row>
    <row r="81" s="78" customFormat="1" ht="15.6">
      <c r="A81" s="73" t="s">
        <v>125</v>
      </c>
      <c r="B81" s="74"/>
      <c r="C81" s="75"/>
      <c r="D81" s="75"/>
      <c r="E81" s="75"/>
      <c r="F81" s="75"/>
      <c r="G81" s="45"/>
      <c r="H81" s="44">
        <f>C81+D81+E81+F81+G81</f>
        <v>0</v>
      </c>
    </row>
    <row r="82" s="77" customFormat="1" ht="15.6">
      <c r="A82" s="76" t="s">
        <v>101</v>
      </c>
      <c r="B82" s="71">
        <v>3310</v>
      </c>
      <c r="C82" s="54"/>
      <c r="D82" s="54"/>
      <c r="E82" s="54">
        <f>SUM(E83:E87)</f>
        <v>0</v>
      </c>
      <c r="F82" s="54" t="s">
        <v>102</v>
      </c>
      <c r="G82" s="54">
        <f>SUM(G83:G87)</f>
        <v>8058125</v>
      </c>
      <c r="H82" s="47">
        <f>C82+D82+E82+G82</f>
        <v>8058125</v>
      </c>
      <c r="K82" s="86"/>
    </row>
    <row r="83" s="78" customFormat="1" ht="15.6">
      <c r="A83" s="45" t="s">
        <v>103</v>
      </c>
      <c r="B83" s="74">
        <v>3311</v>
      </c>
      <c r="C83" s="75" t="s">
        <v>102</v>
      </c>
      <c r="D83" s="75" t="s">
        <v>102</v>
      </c>
      <c r="E83" s="75" t="s">
        <v>102</v>
      </c>
      <c r="F83" s="75" t="s">
        <v>102</v>
      </c>
      <c r="G83" s="75">
        <v>8056307</v>
      </c>
      <c r="H83" s="44">
        <f>G83</f>
        <v>8056307</v>
      </c>
    </row>
    <row r="84" s="78" customFormat="1" ht="15.6">
      <c r="A84" s="45" t="s">
        <v>104</v>
      </c>
      <c r="B84" s="74">
        <v>3312</v>
      </c>
      <c r="C84" s="75" t="s">
        <v>102</v>
      </c>
      <c r="D84" s="75" t="s">
        <v>102</v>
      </c>
      <c r="E84" s="75"/>
      <c r="F84" s="75" t="s">
        <v>102</v>
      </c>
      <c r="G84" s="45">
        <v>0</v>
      </c>
      <c r="H84" s="44">
        <f t="shared" ref="H84:H85" si="7">SUM(C84:G84)</f>
        <v>0</v>
      </c>
    </row>
    <row r="85" s="78" customFormat="1" ht="28.550000000000001">
      <c r="A85" s="45" t="s">
        <v>105</v>
      </c>
      <c r="B85" s="74">
        <v>3313</v>
      </c>
      <c r="C85" s="75" t="s">
        <v>102</v>
      </c>
      <c r="D85" s="75" t="s">
        <v>102</v>
      </c>
      <c r="E85" s="75"/>
      <c r="F85" s="75" t="s">
        <v>102</v>
      </c>
      <c r="G85" s="75">
        <v>1818</v>
      </c>
      <c r="H85" s="44">
        <f t="shared" si="7"/>
        <v>1818</v>
      </c>
    </row>
    <row r="86" s="78" customFormat="1" ht="15.6">
      <c r="A86" s="45" t="s">
        <v>106</v>
      </c>
      <c r="B86" s="74">
        <v>3314</v>
      </c>
      <c r="C86" s="44"/>
      <c r="D86" s="44"/>
      <c r="E86" s="44"/>
      <c r="F86" s="75" t="s">
        <v>102</v>
      </c>
      <c r="G86" s="75" t="s">
        <v>102</v>
      </c>
      <c r="H86" s="44">
        <f>C86+D86+E86</f>
        <v>0</v>
      </c>
    </row>
    <row r="87" s="78" customFormat="1" ht="15.6">
      <c r="A87" s="45" t="s">
        <v>109</v>
      </c>
      <c r="B87" s="74">
        <v>3315</v>
      </c>
      <c r="C87" s="75"/>
      <c r="D87" s="75"/>
      <c r="E87" s="75"/>
      <c r="F87" s="75"/>
      <c r="G87" s="75"/>
      <c r="H87" s="44">
        <f>C87+D87+E87+F87+G87</f>
        <v>0</v>
      </c>
      <c r="K87" s="87"/>
    </row>
    <row r="88" s="77" customFormat="1" ht="15.6">
      <c r="A88" s="76" t="s">
        <v>110</v>
      </c>
      <c r="B88" s="71">
        <v>3320</v>
      </c>
      <c r="C88" s="54">
        <f>SUM(C89:C97)</f>
        <v>0</v>
      </c>
      <c r="D88" s="54">
        <f>SUM(D89:D97)</f>
        <v>-96647</v>
      </c>
      <c r="E88" s="54">
        <v>0</v>
      </c>
      <c r="F88" s="54">
        <v>0</v>
      </c>
      <c r="G88" s="54">
        <f>SUM(G89:G95)</f>
        <v>-2188598</v>
      </c>
      <c r="H88" s="47">
        <f>C88+D88+E88+G88</f>
        <v>-2285245</v>
      </c>
    </row>
    <row r="89" s="78" customFormat="1" ht="15.6">
      <c r="A89" s="45" t="s">
        <v>111</v>
      </c>
      <c r="B89" s="74">
        <v>3321</v>
      </c>
      <c r="C89" s="75" t="s">
        <v>102</v>
      </c>
      <c r="D89" s="75" t="s">
        <v>102</v>
      </c>
      <c r="E89" s="75" t="s">
        <v>102</v>
      </c>
      <c r="F89" s="75" t="s">
        <v>102</v>
      </c>
      <c r="G89" s="75"/>
      <c r="H89" s="44">
        <f t="shared" ref="H89:H90" si="8">G89</f>
        <v>0</v>
      </c>
      <c r="J89" s="87"/>
      <c r="K89" s="87"/>
    </row>
    <row r="90" s="78" customFormat="1" ht="15.6">
      <c r="A90" s="45" t="s">
        <v>104</v>
      </c>
      <c r="B90" s="74">
        <v>3322</v>
      </c>
      <c r="C90" s="75" t="s">
        <v>102</v>
      </c>
      <c r="D90" s="75" t="s">
        <v>102</v>
      </c>
      <c r="E90" s="75">
        <v>0</v>
      </c>
      <c r="F90" s="75" t="s">
        <v>102</v>
      </c>
      <c r="G90" s="45"/>
      <c r="H90" s="44">
        <f t="shared" si="8"/>
        <v>0</v>
      </c>
    </row>
    <row r="91" s="78" customFormat="1" ht="28.550000000000001">
      <c r="A91" s="45" t="s">
        <v>112</v>
      </c>
      <c r="B91" s="74">
        <v>3323</v>
      </c>
      <c r="C91" s="75" t="s">
        <v>102</v>
      </c>
      <c r="D91" s="75">
        <v>-96647</v>
      </c>
      <c r="E91" s="75">
        <v>0</v>
      </c>
      <c r="F91" s="75" t="s">
        <v>102</v>
      </c>
      <c r="G91" s="75">
        <v>0</v>
      </c>
      <c r="H91" s="44">
        <f>SUM(C91:G91)</f>
        <v>-96647</v>
      </c>
    </row>
    <row r="92" s="78" customFormat="1" ht="15.6">
      <c r="A92" s="45" t="s">
        <v>113</v>
      </c>
      <c r="B92" s="74">
        <v>3324</v>
      </c>
      <c r="C92" s="75"/>
      <c r="D92" s="75"/>
      <c r="E92" s="75"/>
      <c r="F92" s="75"/>
      <c r="G92" s="75"/>
      <c r="H92" s="44"/>
    </row>
    <row r="93" s="78" customFormat="1" ht="15.6">
      <c r="A93" s="45" t="s">
        <v>114</v>
      </c>
      <c r="B93" s="74">
        <v>3325</v>
      </c>
      <c r="C93" s="44">
        <v>0</v>
      </c>
      <c r="D93" s="44">
        <v>0</v>
      </c>
      <c r="E93" s="44"/>
      <c r="F93" s="75" t="s">
        <v>102</v>
      </c>
      <c r="G93" s="75" t="s">
        <v>102</v>
      </c>
      <c r="H93" s="44">
        <f>C93+D93+E93</f>
        <v>0</v>
      </c>
    </row>
    <row r="94" s="78" customFormat="1" ht="15.6">
      <c r="A94" s="45" t="s">
        <v>109</v>
      </c>
      <c r="B94" s="74">
        <v>3326</v>
      </c>
      <c r="C94" s="75"/>
      <c r="D94" s="75"/>
      <c r="E94" s="75"/>
      <c r="F94" s="75"/>
      <c r="G94" s="75">
        <v>0</v>
      </c>
      <c r="H94" s="44">
        <f>C94+D94+E94+F94+G94</f>
        <v>0</v>
      </c>
    </row>
    <row r="95" s="78" customFormat="1" ht="15.6">
      <c r="A95" s="79" t="s">
        <v>115</v>
      </c>
      <c r="B95" s="74">
        <v>3327</v>
      </c>
      <c r="C95" s="80"/>
      <c r="D95" s="80"/>
      <c r="E95" s="80"/>
      <c r="F95" s="81"/>
      <c r="G95" s="81">
        <v>-2188598</v>
      </c>
      <c r="H95" s="44">
        <f>G95</f>
        <v>-2188598</v>
      </c>
    </row>
    <row r="96" s="78" customFormat="1" ht="15.6">
      <c r="A96" s="79" t="s">
        <v>116</v>
      </c>
      <c r="B96" s="82">
        <v>3330</v>
      </c>
      <c r="C96" s="80"/>
      <c r="D96" s="80"/>
      <c r="E96" s="80">
        <v>-64105</v>
      </c>
      <c r="F96" s="80"/>
      <c r="G96" s="80">
        <v>64105</v>
      </c>
      <c r="H96" s="83"/>
    </row>
    <row r="97" s="78" customFormat="1" ht="15.6">
      <c r="A97" s="79" t="s">
        <v>117</v>
      </c>
      <c r="B97" s="82">
        <v>3340</v>
      </c>
      <c r="C97" s="80"/>
      <c r="D97" s="80"/>
      <c r="E97" s="80"/>
      <c r="F97" s="80"/>
      <c r="G97" s="80"/>
      <c r="H97" s="83"/>
    </row>
    <row r="98" s="77" customFormat="1" ht="15.6">
      <c r="A98" s="84" t="s">
        <v>126</v>
      </c>
      <c r="B98" s="88">
        <v>3300</v>
      </c>
      <c r="C98" s="85">
        <f>C80+C82+C88</f>
        <v>218860</v>
      </c>
      <c r="D98" s="85">
        <f>D80+D82+D88</f>
        <v>-96647</v>
      </c>
      <c r="E98" s="85">
        <f>E80+E82+E88+E96</f>
        <v>504686</v>
      </c>
      <c r="F98" s="85">
        <f>F80+F97</f>
        <v>32829</v>
      </c>
      <c r="G98" s="85">
        <f>G80+G82+G88+G96+G97</f>
        <v>46368906</v>
      </c>
      <c r="H98" s="85">
        <f>H80+H82+H88</f>
        <v>47028634</v>
      </c>
      <c r="I98" s="77">
        <f>H98-'1'!C91</f>
        <v>47028634</v>
      </c>
    </row>
    <row r="99" s="78" customFormat="1" ht="15.6">
      <c r="A99" s="73" t="s">
        <v>127</v>
      </c>
      <c r="B99" s="74"/>
      <c r="C99" s="75"/>
      <c r="D99" s="75"/>
      <c r="E99" s="75"/>
      <c r="F99" s="75"/>
      <c r="G99" s="45"/>
      <c r="H99" s="44">
        <f>C99+D99+E99+F99+G99</f>
        <v>0</v>
      </c>
    </row>
    <row r="100" s="77" customFormat="1" ht="15.6">
      <c r="A100" s="76" t="s">
        <v>101</v>
      </c>
      <c r="B100" s="71">
        <v>3310</v>
      </c>
      <c r="C100" s="54"/>
      <c r="D100" s="54">
        <f>SUM(D101:D105)</f>
        <v>96647</v>
      </c>
      <c r="E100" s="54">
        <f>SUM(E101:E105)</f>
        <v>0</v>
      </c>
      <c r="F100" s="54" t="s">
        <v>102</v>
      </c>
      <c r="G100" s="54">
        <f>SUM(G101:G105)</f>
        <v>4746828</v>
      </c>
      <c r="H100" s="47">
        <f>C100+D100+E100+G100</f>
        <v>4843475</v>
      </c>
      <c r="K100" s="86"/>
    </row>
    <row r="101" s="78" customFormat="1" ht="15.6">
      <c r="A101" s="45" t="s">
        <v>103</v>
      </c>
      <c r="B101" s="74">
        <v>3311</v>
      </c>
      <c r="C101" s="75" t="s">
        <v>102</v>
      </c>
      <c r="D101" s="75" t="s">
        <v>102</v>
      </c>
      <c r="E101" s="75" t="s">
        <v>102</v>
      </c>
      <c r="F101" s="75" t="s">
        <v>102</v>
      </c>
      <c r="G101" s="75">
        <v>4745980</v>
      </c>
      <c r="H101" s="44">
        <f>G101</f>
        <v>4745980</v>
      </c>
    </row>
    <row r="102" s="78" customFormat="1" ht="15.6">
      <c r="A102" s="45" t="s">
        <v>104</v>
      </c>
      <c r="B102" s="74">
        <v>3312</v>
      </c>
      <c r="C102" s="75" t="s">
        <v>102</v>
      </c>
      <c r="D102" s="75" t="s">
        <v>102</v>
      </c>
      <c r="E102" s="75"/>
      <c r="F102" s="75" t="s">
        <v>102</v>
      </c>
      <c r="G102" s="45">
        <v>0</v>
      </c>
      <c r="H102" s="44">
        <f t="shared" ref="H102:H103" si="9">SUM(C102:G102)</f>
        <v>0</v>
      </c>
    </row>
    <row r="103" s="78" customFormat="1" ht="28.550000000000001">
      <c r="A103" s="45" t="s">
        <v>105</v>
      </c>
      <c r="B103" s="74">
        <v>3313</v>
      </c>
      <c r="C103" s="75" t="s">
        <v>102</v>
      </c>
      <c r="D103" s="75">
        <v>96647</v>
      </c>
      <c r="E103" s="75"/>
      <c r="F103" s="75" t="s">
        <v>102</v>
      </c>
      <c r="G103" s="75">
        <v>848</v>
      </c>
      <c r="H103" s="44">
        <f t="shared" si="9"/>
        <v>97495</v>
      </c>
    </row>
    <row r="104" s="78" customFormat="1" ht="15.6">
      <c r="A104" s="45" t="s">
        <v>106</v>
      </c>
      <c r="B104" s="74">
        <v>3314</v>
      </c>
      <c r="C104" s="44"/>
      <c r="D104" s="44"/>
      <c r="E104" s="44"/>
      <c r="F104" s="75" t="s">
        <v>102</v>
      </c>
      <c r="G104" s="75" t="s">
        <v>102</v>
      </c>
      <c r="H104" s="44">
        <f>C104+D104+E104</f>
        <v>0</v>
      </c>
    </row>
    <row r="105" s="78" customFormat="1" ht="15.6">
      <c r="A105" s="45" t="s">
        <v>109</v>
      </c>
      <c r="B105" s="74">
        <v>3315</v>
      </c>
      <c r="C105" s="75"/>
      <c r="D105" s="75"/>
      <c r="E105" s="75"/>
      <c r="F105" s="75"/>
      <c r="G105" s="75"/>
      <c r="H105" s="44">
        <f>C105+D105+E105+F105+G105</f>
        <v>0</v>
      </c>
      <c r="K105" s="87"/>
    </row>
    <row r="106" s="77" customFormat="1" ht="15.6">
      <c r="A106" s="76" t="s">
        <v>110</v>
      </c>
      <c r="B106" s="71">
        <v>3320</v>
      </c>
      <c r="C106" s="54">
        <f>SUM(C107:C115)</f>
        <v>0</v>
      </c>
      <c r="D106" s="54">
        <f>SUM(D107:D115)</f>
        <v>0</v>
      </c>
      <c r="E106" s="54">
        <v>0</v>
      </c>
      <c r="F106" s="54">
        <v>0</v>
      </c>
      <c r="G106" s="54">
        <f>SUM(G107:G113)</f>
        <v>-6128075</v>
      </c>
      <c r="H106" s="47">
        <f>C106+D106+E106+G106</f>
        <v>-6128075</v>
      </c>
    </row>
    <row r="107" s="78" customFormat="1" ht="15.6">
      <c r="A107" s="45" t="s">
        <v>111</v>
      </c>
      <c r="B107" s="74">
        <v>3321</v>
      </c>
      <c r="C107" s="75" t="s">
        <v>102</v>
      </c>
      <c r="D107" s="75" t="s">
        <v>102</v>
      </c>
      <c r="E107" s="75" t="s">
        <v>102</v>
      </c>
      <c r="F107" s="75" t="s">
        <v>102</v>
      </c>
      <c r="G107" s="75"/>
      <c r="H107" s="44">
        <f t="shared" ref="H107:H108" si="10">G107</f>
        <v>0</v>
      </c>
      <c r="J107" s="87"/>
      <c r="K107" s="87"/>
    </row>
    <row r="108" s="78" customFormat="1" ht="15.6">
      <c r="A108" s="45" t="s">
        <v>104</v>
      </c>
      <c r="B108" s="74">
        <v>3322</v>
      </c>
      <c r="C108" s="75" t="s">
        <v>102</v>
      </c>
      <c r="D108" s="75" t="s">
        <v>102</v>
      </c>
      <c r="E108" s="75">
        <v>0</v>
      </c>
      <c r="F108" s="75" t="s">
        <v>102</v>
      </c>
      <c r="G108" s="45"/>
      <c r="H108" s="44">
        <f t="shared" si="10"/>
        <v>0</v>
      </c>
    </row>
    <row r="109" s="78" customFormat="1" ht="28.550000000000001">
      <c r="A109" s="45" t="s">
        <v>112</v>
      </c>
      <c r="B109" s="74">
        <v>3323</v>
      </c>
      <c r="C109" s="75" t="s">
        <v>102</v>
      </c>
      <c r="D109" s="75" t="s">
        <v>102</v>
      </c>
      <c r="E109" s="75"/>
      <c r="F109" s="75" t="s">
        <v>102</v>
      </c>
      <c r="G109" s="75">
        <v>0</v>
      </c>
      <c r="H109" s="44">
        <f>SUM(C109:G109)</f>
        <v>0</v>
      </c>
    </row>
    <row r="110" s="78" customFormat="1" ht="15.6">
      <c r="A110" s="45" t="s">
        <v>113</v>
      </c>
      <c r="B110" s="74">
        <v>3324</v>
      </c>
      <c r="C110" s="75"/>
      <c r="D110" s="75"/>
      <c r="E110" s="75"/>
      <c r="F110" s="75"/>
      <c r="G110" s="75"/>
      <c r="H110" s="44"/>
    </row>
    <row r="111" s="78" customFormat="1" ht="15.6">
      <c r="A111" s="45" t="s">
        <v>114</v>
      </c>
      <c r="B111" s="74">
        <v>3325</v>
      </c>
      <c r="C111" s="44">
        <v>0</v>
      </c>
      <c r="D111" s="44">
        <v>0</v>
      </c>
      <c r="E111" s="44"/>
      <c r="F111" s="75" t="s">
        <v>102</v>
      </c>
      <c r="G111" s="75" t="s">
        <v>102</v>
      </c>
      <c r="H111" s="44">
        <f>C111+D111+E111</f>
        <v>0</v>
      </c>
    </row>
    <row r="112" s="78" customFormat="1" ht="15.6">
      <c r="A112" s="45" t="s">
        <v>109</v>
      </c>
      <c r="B112" s="74">
        <v>3326</v>
      </c>
      <c r="C112" s="75"/>
      <c r="D112" s="75"/>
      <c r="E112" s="75"/>
      <c r="F112" s="75"/>
      <c r="G112" s="75">
        <v>0</v>
      </c>
      <c r="H112" s="44">
        <f>C112+D112+E112+F112+G112</f>
        <v>0</v>
      </c>
    </row>
    <row r="113" s="78" customFormat="1" ht="15.6">
      <c r="A113" s="79" t="s">
        <v>115</v>
      </c>
      <c r="B113" s="74">
        <v>3327</v>
      </c>
      <c r="C113" s="80"/>
      <c r="D113" s="80"/>
      <c r="E113" s="80"/>
      <c r="F113" s="81"/>
      <c r="G113" s="81">
        <v>-6128075</v>
      </c>
      <c r="H113" s="44">
        <f>G113</f>
        <v>-6128075</v>
      </c>
    </row>
    <row r="114" s="78" customFormat="1" ht="15.6">
      <c r="A114" s="79" t="s">
        <v>116</v>
      </c>
      <c r="B114" s="82">
        <v>3330</v>
      </c>
      <c r="C114" s="80"/>
      <c r="D114" s="80"/>
      <c r="E114" s="80">
        <v>-1826</v>
      </c>
      <c r="F114" s="80"/>
      <c r="G114" s="80">
        <v>1826</v>
      </c>
      <c r="H114" s="83"/>
    </row>
    <row r="115" s="78" customFormat="1" ht="15.6">
      <c r="A115" s="79" t="s">
        <v>117</v>
      </c>
      <c r="B115" s="82">
        <v>3340</v>
      </c>
      <c r="C115" s="80"/>
      <c r="D115" s="80"/>
      <c r="E115" s="80"/>
      <c r="F115" s="80"/>
      <c r="G115" s="80"/>
      <c r="H115" s="83"/>
    </row>
    <row r="116" s="77" customFormat="1" ht="15.6">
      <c r="A116" s="84" t="s">
        <v>128</v>
      </c>
      <c r="B116" s="88">
        <v>3300</v>
      </c>
      <c r="C116" s="85">
        <f>C98+C100+C106</f>
        <v>218860</v>
      </c>
      <c r="D116" s="85">
        <f>D98+D100+D106</f>
        <v>0</v>
      </c>
      <c r="E116" s="85">
        <f>E98+E100+E106+E114</f>
        <v>502860</v>
      </c>
      <c r="F116" s="85">
        <f>F98+F115</f>
        <v>32829</v>
      </c>
      <c r="G116" s="85">
        <f>G98+G100+G106+G114+G115</f>
        <v>44989485</v>
      </c>
      <c r="H116" s="85">
        <f>H98+H100+H106</f>
        <v>45744034</v>
      </c>
      <c r="I116" s="77">
        <f>H116-'1'!C109</f>
        <v>45744034</v>
      </c>
    </row>
    <row r="117" s="78" customFormat="1" ht="15.6">
      <c r="A117" s="73" t="s">
        <v>129</v>
      </c>
      <c r="B117" s="74"/>
      <c r="C117" s="75"/>
      <c r="D117" s="75"/>
      <c r="E117" s="75"/>
      <c r="F117" s="75"/>
      <c r="G117" s="45"/>
      <c r="H117" s="44">
        <f>C117+D117+E117+F117+G117</f>
        <v>0</v>
      </c>
    </row>
    <row r="118" s="77" customFormat="1" ht="15.6">
      <c r="A118" s="76" t="s">
        <v>101</v>
      </c>
      <c r="B118" s="71">
        <v>3310</v>
      </c>
      <c r="C118" s="54"/>
      <c r="D118" s="54"/>
      <c r="E118" s="54">
        <f>SUM(E119:E123)</f>
        <v>0</v>
      </c>
      <c r="F118" s="54" t="s">
        <v>102</v>
      </c>
      <c r="G118" s="54">
        <f>SUM(G119:G123)</f>
        <v>3691682</v>
      </c>
      <c r="H118" s="47">
        <f>C118+D118+E118+G118</f>
        <v>3691682</v>
      </c>
      <c r="K118" s="86"/>
    </row>
    <row r="119" s="78" customFormat="1" ht="15.6">
      <c r="A119" s="45" t="s">
        <v>103</v>
      </c>
      <c r="B119" s="74">
        <v>3311</v>
      </c>
      <c r="C119" s="75" t="s">
        <v>102</v>
      </c>
      <c r="D119" s="75" t="s">
        <v>102</v>
      </c>
      <c r="E119" s="75" t="s">
        <v>102</v>
      </c>
      <c r="F119" s="75" t="s">
        <v>102</v>
      </c>
      <c r="G119" s="75">
        <v>3687983</v>
      </c>
      <c r="H119" s="44">
        <f>G119</f>
        <v>3687983</v>
      </c>
    </row>
    <row r="120" s="78" customFormat="1" ht="15.6">
      <c r="A120" s="45" t="s">
        <v>104</v>
      </c>
      <c r="B120" s="74">
        <v>3312</v>
      </c>
      <c r="C120" s="75" t="s">
        <v>102</v>
      </c>
      <c r="D120" s="75" t="s">
        <v>102</v>
      </c>
      <c r="E120" s="75"/>
      <c r="F120" s="75" t="s">
        <v>102</v>
      </c>
      <c r="G120" s="45">
        <v>0</v>
      </c>
      <c r="H120" s="44">
        <f t="shared" ref="H120:H121" si="11">SUM(C120:G120)</f>
        <v>0</v>
      </c>
    </row>
    <row r="121" s="78" customFormat="1" ht="28.550000000000001">
      <c r="A121" s="45" t="s">
        <v>105</v>
      </c>
      <c r="B121" s="74">
        <v>3313</v>
      </c>
      <c r="C121" s="75" t="s">
        <v>102</v>
      </c>
      <c r="D121" s="75" t="s">
        <v>102</v>
      </c>
      <c r="E121" s="75"/>
      <c r="F121" s="75" t="s">
        <v>102</v>
      </c>
      <c r="G121" s="75">
        <v>3699</v>
      </c>
      <c r="H121" s="44">
        <f t="shared" si="11"/>
        <v>3699</v>
      </c>
    </row>
    <row r="122" s="78" customFormat="1" ht="15.6">
      <c r="A122" s="45" t="s">
        <v>106</v>
      </c>
      <c r="B122" s="74">
        <v>3314</v>
      </c>
      <c r="C122" s="44"/>
      <c r="D122" s="44"/>
      <c r="E122" s="44"/>
      <c r="F122" s="75" t="s">
        <v>102</v>
      </c>
      <c r="G122" s="75" t="s">
        <v>102</v>
      </c>
      <c r="H122" s="44">
        <f>C122+D122+E122</f>
        <v>0</v>
      </c>
    </row>
    <row r="123" s="78" customFormat="1" ht="15.6">
      <c r="A123" s="45" t="s">
        <v>109</v>
      </c>
      <c r="B123" s="74">
        <v>3315</v>
      </c>
      <c r="C123" s="75"/>
      <c r="D123" s="75"/>
      <c r="E123" s="75"/>
      <c r="F123" s="75"/>
      <c r="G123" s="75"/>
      <c r="H123" s="44">
        <f>C123+D123+E123+F123+G123</f>
        <v>0</v>
      </c>
      <c r="K123" s="87"/>
    </row>
    <row r="124" s="77" customFormat="1" ht="15.6">
      <c r="A124" s="76" t="s">
        <v>110</v>
      </c>
      <c r="B124" s="71">
        <v>3320</v>
      </c>
      <c r="C124" s="54">
        <f>SUM(C125:C133)</f>
        <v>0</v>
      </c>
      <c r="D124" s="54">
        <f>SUM(D125:D133)</f>
        <v>0</v>
      </c>
      <c r="E124" s="54">
        <v>0</v>
      </c>
      <c r="F124" s="54">
        <v>0</v>
      </c>
      <c r="G124" s="54">
        <f>SUM(G125:G131)</f>
        <v>-9017024</v>
      </c>
      <c r="H124" s="47">
        <f>C124+D124+E124+G124</f>
        <v>-9017024</v>
      </c>
    </row>
    <row r="125" s="78" customFormat="1" ht="15.6">
      <c r="A125" s="45" t="s">
        <v>111</v>
      </c>
      <c r="B125" s="74">
        <v>3321</v>
      </c>
      <c r="C125" s="75" t="s">
        <v>102</v>
      </c>
      <c r="D125" s="75" t="s">
        <v>102</v>
      </c>
      <c r="E125" s="75" t="s">
        <v>102</v>
      </c>
      <c r="F125" s="75" t="s">
        <v>102</v>
      </c>
      <c r="G125" s="75"/>
      <c r="H125" s="44">
        <f t="shared" ref="H125:H126" si="12">G125</f>
        <v>0</v>
      </c>
      <c r="J125" s="87"/>
      <c r="K125" s="87"/>
    </row>
    <row r="126" s="78" customFormat="1" ht="15.6">
      <c r="A126" s="45" t="s">
        <v>104</v>
      </c>
      <c r="B126" s="74">
        <v>3322</v>
      </c>
      <c r="C126" s="75" t="s">
        <v>102</v>
      </c>
      <c r="D126" s="75" t="s">
        <v>102</v>
      </c>
      <c r="E126" s="75">
        <v>0</v>
      </c>
      <c r="F126" s="75" t="s">
        <v>102</v>
      </c>
      <c r="G126" s="45"/>
      <c r="H126" s="44">
        <f t="shared" si="12"/>
        <v>0</v>
      </c>
    </row>
    <row r="127" s="78" customFormat="1" ht="28.550000000000001">
      <c r="A127" s="45" t="s">
        <v>112</v>
      </c>
      <c r="B127" s="74">
        <v>3323</v>
      </c>
      <c r="C127" s="75" t="s">
        <v>102</v>
      </c>
      <c r="D127" s="75" t="s">
        <v>102</v>
      </c>
      <c r="E127" s="75"/>
      <c r="F127" s="75" t="s">
        <v>102</v>
      </c>
      <c r="G127" s="75">
        <v>0</v>
      </c>
      <c r="H127" s="44">
        <f>SUM(C127:G127)</f>
        <v>0</v>
      </c>
    </row>
    <row r="128" s="78" customFormat="1" ht="15.6">
      <c r="A128" s="45" t="s">
        <v>113</v>
      </c>
      <c r="B128" s="74">
        <v>3324</v>
      </c>
      <c r="C128" s="75"/>
      <c r="D128" s="75"/>
      <c r="E128" s="75"/>
      <c r="F128" s="75"/>
      <c r="G128" s="75"/>
      <c r="H128" s="44"/>
    </row>
    <row r="129" s="78" customFormat="1" ht="15.6">
      <c r="A129" s="45" t="s">
        <v>114</v>
      </c>
      <c r="B129" s="74">
        <v>3325</v>
      </c>
      <c r="C129" s="44">
        <v>0</v>
      </c>
      <c r="D129" s="44">
        <v>0</v>
      </c>
      <c r="E129" s="44"/>
      <c r="F129" s="75" t="s">
        <v>102</v>
      </c>
      <c r="G129" s="75" t="s">
        <v>102</v>
      </c>
      <c r="H129" s="44">
        <f>C129+D129+E129</f>
        <v>0</v>
      </c>
    </row>
    <row r="130" s="78" customFormat="1" ht="15.6">
      <c r="A130" s="45" t="s">
        <v>109</v>
      </c>
      <c r="B130" s="74">
        <v>3326</v>
      </c>
      <c r="C130" s="75"/>
      <c r="D130" s="75"/>
      <c r="E130" s="75"/>
      <c r="F130" s="75"/>
      <c r="G130" s="75">
        <v>0</v>
      </c>
      <c r="H130" s="44">
        <f>C130+D130+E130+F130+G130</f>
        <v>0</v>
      </c>
    </row>
    <row r="131" s="78" customFormat="1" ht="15.6">
      <c r="A131" s="79" t="s">
        <v>115</v>
      </c>
      <c r="B131" s="74">
        <v>3327</v>
      </c>
      <c r="C131" s="80"/>
      <c r="D131" s="80"/>
      <c r="E131" s="80"/>
      <c r="F131" s="81"/>
      <c r="G131" s="81">
        <v>-9017024</v>
      </c>
      <c r="H131" s="44">
        <f>G131</f>
        <v>-9017024</v>
      </c>
    </row>
    <row r="132" s="78" customFormat="1" ht="15.6">
      <c r="A132" s="79" t="s">
        <v>116</v>
      </c>
      <c r="B132" s="82">
        <v>3330</v>
      </c>
      <c r="C132" s="80"/>
      <c r="D132" s="80"/>
      <c r="E132" s="80">
        <v>-1591</v>
      </c>
      <c r="F132" s="80"/>
      <c r="G132" s="80">
        <v>1591</v>
      </c>
      <c r="H132" s="75" t="s">
        <v>102</v>
      </c>
    </row>
    <row r="133" s="78" customFormat="1" ht="15.6">
      <c r="A133" s="79" t="s">
        <v>117</v>
      </c>
      <c r="B133" s="82">
        <v>3340</v>
      </c>
      <c r="C133" s="80"/>
      <c r="D133" s="80"/>
      <c r="E133" s="80"/>
      <c r="F133" s="80"/>
      <c r="G133" s="80"/>
      <c r="H133" s="75" t="s">
        <v>102</v>
      </c>
    </row>
    <row r="134" s="77" customFormat="1" ht="15.6">
      <c r="A134" s="84" t="s">
        <v>130</v>
      </c>
      <c r="B134" s="88">
        <v>3300</v>
      </c>
      <c r="C134" s="85">
        <f>C116+C118+C124</f>
        <v>218860</v>
      </c>
      <c r="D134" s="85">
        <f>D116+D118+D124</f>
        <v>0</v>
      </c>
      <c r="E134" s="85">
        <f>E116+E118+E124+E132</f>
        <v>501269</v>
      </c>
      <c r="F134" s="85">
        <f>F116+F133</f>
        <v>32829</v>
      </c>
      <c r="G134" s="85">
        <f>G116+G118+G124+G132+G133</f>
        <v>39665734</v>
      </c>
      <c r="H134" s="85">
        <f>H116+H118+H124</f>
        <v>40418692</v>
      </c>
      <c r="I134" s="77">
        <f>H134-'1'!C127</f>
        <v>40418692</v>
      </c>
    </row>
    <row r="135" s="77" customFormat="1" ht="15.6">
      <c r="B135" s="89"/>
      <c r="C135" s="90"/>
      <c r="D135" s="90"/>
      <c r="E135" s="90"/>
      <c r="F135" s="90"/>
      <c r="G135" s="90"/>
      <c r="H135" s="90"/>
    </row>
    <row r="136" s="77" customFormat="1" ht="15.6">
      <c r="B136" s="89"/>
      <c r="C136" s="90"/>
      <c r="D136" s="90"/>
      <c r="E136" s="90"/>
      <c r="F136" s="90"/>
      <c r="G136" s="90"/>
      <c r="H136" s="90"/>
    </row>
    <row r="137" s="77" customFormat="1" ht="15.6">
      <c r="B137" s="89"/>
      <c r="C137" s="90"/>
      <c r="D137" s="90"/>
      <c r="E137" s="90"/>
      <c r="F137" s="90"/>
      <c r="G137" s="90"/>
      <c r="H137" s="90"/>
    </row>
    <row r="138" s="78" customFormat="1" ht="15.6">
      <c r="B138" s="91"/>
      <c r="C138" s="92"/>
      <c r="D138" s="92"/>
      <c r="E138" s="92"/>
      <c r="F138" s="92"/>
      <c r="G138" s="92"/>
      <c r="H138" s="93"/>
    </row>
    <row r="141" ht="28.550000000000001">
      <c r="A141" s="50" t="s">
        <v>57</v>
      </c>
      <c r="B141" s="94" t="s">
        <v>7</v>
      </c>
      <c r="C141" s="94" t="str">
        <f>'1'!C5</f>
        <v xml:space="preserve">на 31 декабря 2019 года</v>
      </c>
      <c r="D141" s="94" t="str">
        <f>'1'!D5</f>
        <v xml:space="preserve">на 31 декабря 2018 года</v>
      </c>
      <c r="E141" s="94" t="str">
        <f>'1'!E5</f>
        <v xml:space="preserve">на 31 декабря 2017 года</v>
      </c>
      <c r="F141" s="94" t="str">
        <f>'1'!F5</f>
        <v xml:space="preserve">на 31 декабря 2016 года</v>
      </c>
      <c r="G141" s="94" t="str">
        <f>'1'!G5</f>
        <v xml:space="preserve">на 31 декабря 2015 года</v>
      </c>
      <c r="H141" s="94" t="str">
        <f>'1'!H5</f>
        <v xml:space="preserve">на 31 декабря 2014 года</v>
      </c>
      <c r="I141" s="94" t="str">
        <f>'1'!I5</f>
        <v xml:space="preserve">на 31 декабря 2013 года</v>
      </c>
      <c r="J141" s="94" t="str">
        <f>'1'!J5</f>
        <v xml:space="preserve">на 31 декабря 2012 года</v>
      </c>
    </row>
    <row r="142" ht="15.6">
      <c r="A142" s="94" t="s">
        <v>131</v>
      </c>
      <c r="B142" s="94">
        <v>3600</v>
      </c>
      <c r="C142" s="95">
        <f>'1'!C37+'1'!C47</f>
        <v>40426353</v>
      </c>
      <c r="D142" s="95">
        <f>'1'!D37+'1'!D47</f>
        <v>45744960</v>
      </c>
      <c r="E142" s="95">
        <f>'1'!E37+'1'!E47</f>
        <v>47029719</v>
      </c>
      <c r="F142" s="95">
        <f>'1'!F37+'1'!F47</f>
        <v>41256998</v>
      </c>
      <c r="G142" s="95">
        <f>'1'!G37+'1'!G47</f>
        <v>34912255</v>
      </c>
      <c r="H142" s="95">
        <f>'1'!H37+'1'!H47</f>
        <v>26137042</v>
      </c>
      <c r="I142" s="95">
        <f>'1'!I37+'1'!I47</f>
        <v>25907804</v>
      </c>
      <c r="J142" s="95">
        <f>'1'!J37+'1'!J47</f>
        <v>22064499</v>
      </c>
    </row>
  </sheetData>
  <printOptions headings="0" gridLines="0" horizontalCentered="0" verticalCentered="0"/>
  <pageMargins left="0.75" right="0.75" top="0.52986111111111101" bottom="1"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indexed="45"/>
    <outlinePr applyStyles="0" summaryBelow="1" summaryRight="1" showOutlineSymbols="1"/>
    <pageSetUpPr autoPageBreaks="1" fitToPage="1"/>
  </sheetPr>
  <sheetViews>
    <sheetView showFormulas="0" showGridLines="1" showRowColHeaders="1" showZeros="1" rightToLeft="0" view="normal" topLeftCell="A1" zoomScale="75" workbookViewId="0">
      <pane xSplit="1" topLeftCell="B1" activePane="topRight" state="frozen"/>
      <selection activeCell="A1" activeCellId="0" sqref="A1"/>
    </sheetView>
  </sheetViews>
  <sheetFormatPr defaultColWidth="9.109375" defaultRowHeight="15.6"/>
  <cols>
    <col customWidth="1" min="1" max="1" style="64" width="44.659999999999997"/>
    <col customWidth="1" min="2" max="2" style="64" width="9.4399999999999995"/>
    <col customWidth="1" min="3" max="4" style="64" width="22.879999999999999"/>
    <col customWidth="1" min="5" max="5" style="32" width="22.879999999999999"/>
    <col customWidth="1" min="6" max="9" style="64" width="22.879999999999999"/>
    <col customWidth="0" min="10" max="16384" style="64" width="9.1099999999999994"/>
  </cols>
  <sheetData>
    <row r="1" ht="15.6">
      <c r="A1" s="64" t="s">
        <v>0</v>
      </c>
    </row>
    <row r="2" ht="15.6">
      <c r="A2" s="6" t="str">
        <f>'1'!A2</f>
        <v xml:space="preserve">ПАО "ДОРОГОБУЖ"</v>
      </c>
      <c r="B2" s="7"/>
      <c r="C2" s="31"/>
      <c r="D2" s="33"/>
    </row>
    <row r="3" ht="15.6">
      <c r="A3" s="66" t="s">
        <v>132</v>
      </c>
      <c r="B3" s="64" t="str">
        <f>'1'!B3</f>
        <v xml:space="preserve">2013-2019 годы</v>
      </c>
    </row>
    <row r="4" ht="15.6">
      <c r="A4" s="6" t="s">
        <v>4</v>
      </c>
      <c r="B4" s="8" t="s">
        <v>5</v>
      </c>
    </row>
    <row r="5" s="31" customFormat="1" ht="28.550000000000001">
      <c r="A5" s="46" t="s">
        <v>57</v>
      </c>
      <c r="B5" s="71" t="s">
        <v>58</v>
      </c>
      <c r="C5" s="54" t="str">
        <f>'2'!C5</f>
        <v xml:space="preserve">за январь-декабрь 2019 года</v>
      </c>
      <c r="D5" s="54" t="str">
        <f>'2'!D5</f>
        <v xml:space="preserve">за январь-декабрь 2018 года</v>
      </c>
      <c r="E5" s="54" t="str">
        <f>'2'!E5</f>
        <v xml:space="preserve">за январь-декабрь 2017 года</v>
      </c>
      <c r="F5" s="54" t="str">
        <f>'2'!F5</f>
        <v xml:space="preserve">за январь-декабрь 2016 года</v>
      </c>
      <c r="G5" s="54" t="str">
        <f>'2'!G5</f>
        <v xml:space="preserve">за январь-декабрь 2015 года</v>
      </c>
      <c r="H5" s="54" t="str">
        <f>'2'!H5</f>
        <v xml:space="preserve">за январь-декабрь 2014 года</v>
      </c>
      <c r="I5" s="54" t="str">
        <f>'2'!I5</f>
        <v xml:space="preserve">за январь-декабрь 2013 года</v>
      </c>
    </row>
    <row r="6" s="66" customFormat="1" ht="28.550000000000001">
      <c r="A6" s="96" t="s">
        <v>133</v>
      </c>
      <c r="B6" s="54"/>
      <c r="C6" s="54"/>
      <c r="D6" s="54"/>
      <c r="E6" s="54"/>
      <c r="F6" s="54"/>
      <c r="G6" s="54"/>
      <c r="H6" s="54"/>
      <c r="I6" s="54"/>
    </row>
    <row r="7" s="66" customFormat="1" ht="15.6">
      <c r="A7" s="96" t="s">
        <v>134</v>
      </c>
      <c r="B7" s="54">
        <v>4110</v>
      </c>
      <c r="C7" s="54">
        <f>SUM(C8:C12)</f>
        <v>29272727</v>
      </c>
      <c r="D7" s="54">
        <f>SUM(D8:D12)</f>
        <v>29669046</v>
      </c>
      <c r="E7" s="54">
        <f>SUM(E8:E12)</f>
        <v>26374758</v>
      </c>
      <c r="F7" s="54">
        <f>SUM(F8:F12)</f>
        <v>27814767</v>
      </c>
      <c r="G7" s="54">
        <f>SUM(G8:G12)</f>
        <v>31030098</v>
      </c>
      <c r="H7" s="54">
        <f>SUM(H8:H12)</f>
        <v>18540838</v>
      </c>
      <c r="I7" s="54">
        <f>SUM(I8:I12)</f>
        <v>21608846</v>
      </c>
    </row>
    <row r="8" ht="28.550000000000001">
      <c r="A8" s="83" t="s">
        <v>135</v>
      </c>
      <c r="B8" s="75">
        <v>4111</v>
      </c>
      <c r="C8" s="74">
        <v>27802945</v>
      </c>
      <c r="D8" s="74">
        <v>28638723</v>
      </c>
      <c r="E8" s="74">
        <v>24610781</v>
      </c>
      <c r="F8" s="74">
        <v>27005425</v>
      </c>
      <c r="G8" s="74">
        <v>28882651</v>
      </c>
      <c r="H8" s="74">
        <v>16153047</v>
      </c>
      <c r="I8" s="74">
        <v>19872625</v>
      </c>
      <c r="J8" s="97"/>
    </row>
    <row r="9" ht="42.100000000000001">
      <c r="A9" s="83" t="s">
        <v>136</v>
      </c>
      <c r="B9" s="75">
        <v>4112</v>
      </c>
      <c r="C9" s="74">
        <v>28051</v>
      </c>
      <c r="D9" s="74">
        <v>65112</v>
      </c>
      <c r="E9" s="74">
        <v>49396</v>
      </c>
      <c r="F9" s="74">
        <v>76165</v>
      </c>
      <c r="G9" s="74">
        <v>360</v>
      </c>
      <c r="H9" s="74">
        <v>44</v>
      </c>
      <c r="I9" s="74">
        <v>0</v>
      </c>
      <c r="J9" s="97"/>
    </row>
    <row r="10" ht="15.6">
      <c r="A10" s="83"/>
      <c r="B10" s="75">
        <v>4113</v>
      </c>
      <c r="C10" s="75"/>
      <c r="D10" s="75"/>
      <c r="E10" s="75"/>
      <c r="F10" s="75"/>
      <c r="G10" s="75"/>
      <c r="H10" s="75"/>
      <c r="I10" s="75"/>
      <c r="J10" s="97"/>
    </row>
    <row r="11" ht="15.6">
      <c r="A11" s="83"/>
      <c r="B11" s="75">
        <v>4114</v>
      </c>
      <c r="C11" s="75"/>
      <c r="D11" s="75"/>
      <c r="E11" s="75"/>
      <c r="F11" s="75"/>
      <c r="G11" s="75"/>
      <c r="H11" s="75"/>
      <c r="I11" s="75"/>
      <c r="J11" s="97"/>
    </row>
    <row r="12" ht="15.6">
      <c r="A12" s="83" t="s">
        <v>137</v>
      </c>
      <c r="B12" s="75">
        <v>4119</v>
      </c>
      <c r="C12" s="74">
        <v>1441731</v>
      </c>
      <c r="D12" s="74">
        <v>965211</v>
      </c>
      <c r="E12" s="74">
        <v>1714581</v>
      </c>
      <c r="F12" s="74">
        <v>733177</v>
      </c>
      <c r="G12" s="74">
        <v>2147087</v>
      </c>
      <c r="H12" s="74">
        <v>2387747</v>
      </c>
      <c r="I12" s="74">
        <v>1736221</v>
      </c>
      <c r="J12" s="97"/>
    </row>
    <row r="13" s="66" customFormat="1" ht="15.6">
      <c r="A13" s="96" t="s">
        <v>138</v>
      </c>
      <c r="B13" s="54">
        <v>4120</v>
      </c>
      <c r="C13" s="54">
        <f>SUM(C14:C19)</f>
        <v>-23967215</v>
      </c>
      <c r="D13" s="54">
        <f>SUM(D14:D19)</f>
        <v>-24956845</v>
      </c>
      <c r="E13" s="54">
        <f>SUM(E14:E19)</f>
        <v>-22681861</v>
      </c>
      <c r="F13" s="54">
        <f>SUM(F14:F19)</f>
        <v>-23308172</v>
      </c>
      <c r="G13" s="54">
        <f>SUM(G14:G19)</f>
        <v>-21032022</v>
      </c>
      <c r="H13" s="54">
        <f>SUM(H14:H19)</f>
        <v>-16629115</v>
      </c>
      <c r="I13" s="54">
        <f>SUM(I14:I19)</f>
        <v>-16622008</v>
      </c>
    </row>
    <row r="14" ht="15.6">
      <c r="A14" s="83" t="s">
        <v>139</v>
      </c>
      <c r="B14" s="75">
        <v>4121</v>
      </c>
      <c r="C14" s="74">
        <v>-19200628</v>
      </c>
      <c r="D14" s="74">
        <v>-19307188</v>
      </c>
      <c r="E14" s="74">
        <v>-17471589</v>
      </c>
      <c r="F14" s="74">
        <v>-16815290</v>
      </c>
      <c r="G14" s="74">
        <v>-15157150</v>
      </c>
      <c r="H14" s="74">
        <v>-12191219</v>
      </c>
      <c r="I14" s="74">
        <v>-12742470</v>
      </c>
    </row>
    <row r="15" ht="15.6">
      <c r="A15" s="83" t="s">
        <v>140</v>
      </c>
      <c r="B15" s="75">
        <v>4122</v>
      </c>
      <c r="C15" s="74">
        <v>-3038380</v>
      </c>
      <c r="D15" s="74">
        <v>-2780007</v>
      </c>
      <c r="E15" s="74">
        <v>-2605539</v>
      </c>
      <c r="F15" s="74">
        <v>-2836303</v>
      </c>
      <c r="G15" s="74">
        <v>-1708937</v>
      </c>
      <c r="H15" s="74">
        <v>-1315387</v>
      </c>
      <c r="I15" s="74">
        <v>-1164412</v>
      </c>
    </row>
    <row r="16" ht="28.550000000000001">
      <c r="A16" s="83" t="s">
        <v>141</v>
      </c>
      <c r="B16" s="75">
        <v>4123</v>
      </c>
      <c r="C16" s="74">
        <v>0</v>
      </c>
      <c r="D16" s="74">
        <v>-47324</v>
      </c>
      <c r="E16" s="74">
        <v>-347984</v>
      </c>
      <c r="F16" s="74">
        <v>-757824</v>
      </c>
      <c r="G16" s="74">
        <v>-887570</v>
      </c>
      <c r="H16" s="74">
        <v>-443832</v>
      </c>
      <c r="I16" s="74">
        <v>-420212</v>
      </c>
    </row>
    <row r="17" ht="15.6">
      <c r="A17" s="83" t="s">
        <v>142</v>
      </c>
      <c r="B17" s="75">
        <v>4124</v>
      </c>
      <c r="C17" s="74">
        <v>-1204253</v>
      </c>
      <c r="D17" s="74">
        <v>-2152383</v>
      </c>
      <c r="E17" s="74">
        <v>-1945566</v>
      </c>
      <c r="F17" s="74">
        <v>-1933528</v>
      </c>
      <c r="G17" s="74">
        <v>-1576844</v>
      </c>
      <c r="H17" s="74">
        <v>-753463</v>
      </c>
      <c r="I17" s="74">
        <v>-1127412</v>
      </c>
    </row>
    <row r="18" ht="15.6">
      <c r="A18" s="83"/>
      <c r="B18" s="75">
        <v>4125</v>
      </c>
      <c r="C18" s="98"/>
      <c r="D18" s="98"/>
      <c r="E18" s="98"/>
      <c r="F18" s="98"/>
      <c r="G18" s="98"/>
      <c r="H18" s="98"/>
      <c r="I18" s="98"/>
    </row>
    <row r="19" ht="15.6">
      <c r="A19" s="83" t="s">
        <v>143</v>
      </c>
      <c r="B19" s="75">
        <v>4129</v>
      </c>
      <c r="C19" s="74">
        <v>-523954</v>
      </c>
      <c r="D19" s="74">
        <v>-669943</v>
      </c>
      <c r="E19" s="74">
        <v>-311183</v>
      </c>
      <c r="F19" s="74">
        <v>-965227</v>
      </c>
      <c r="G19" s="74">
        <v>-1701521</v>
      </c>
      <c r="H19" s="74">
        <v>-1925214</v>
      </c>
      <c r="I19" s="74">
        <v>-1167502</v>
      </c>
    </row>
    <row r="20" ht="28.550000000000001">
      <c r="A20" s="96" t="s">
        <v>144</v>
      </c>
      <c r="B20" s="54">
        <v>4100</v>
      </c>
      <c r="C20" s="54">
        <f>C7+C13</f>
        <v>5305512</v>
      </c>
      <c r="D20" s="54">
        <f>D7+D13</f>
        <v>4712201</v>
      </c>
      <c r="E20" s="54">
        <f>E7+E13</f>
        <v>3692897</v>
      </c>
      <c r="F20" s="54">
        <f>F7+F13</f>
        <v>4506595</v>
      </c>
      <c r="G20" s="54">
        <f>G7+G13</f>
        <v>9998076</v>
      </c>
      <c r="H20" s="54">
        <f>H7+H13</f>
        <v>1911723</v>
      </c>
      <c r="I20" s="54">
        <f>I7+I13</f>
        <v>4986838</v>
      </c>
    </row>
    <row r="21" s="66" customFormat="1" ht="28.550000000000001">
      <c r="A21" s="96" t="s">
        <v>145</v>
      </c>
      <c r="B21" s="54"/>
      <c r="C21" s="54"/>
      <c r="D21" s="54"/>
      <c r="E21" s="54"/>
      <c r="F21" s="54"/>
      <c r="G21" s="54"/>
      <c r="H21" s="54"/>
      <c r="I21" s="54"/>
    </row>
    <row r="22" ht="15.6">
      <c r="A22" s="83" t="s">
        <v>146</v>
      </c>
      <c r="B22" s="75">
        <v>4210</v>
      </c>
      <c r="C22" s="99">
        <f>SUM(C23:C28)</f>
        <v>21317015</v>
      </c>
      <c r="D22" s="99">
        <f>SUM(D23:D28)</f>
        <v>29838119</v>
      </c>
      <c r="E22" s="99">
        <f>SUM(E23:E28)</f>
        <v>22000613</v>
      </c>
      <c r="F22" s="99">
        <f>SUM(F23:F28)</f>
        <v>7623125</v>
      </c>
      <c r="G22" s="99">
        <f>SUM(G23:G28)</f>
        <v>26729089</v>
      </c>
      <c r="H22" s="99">
        <f>SUM(H23:H28)</f>
        <v>5001488</v>
      </c>
      <c r="I22" s="99">
        <f>SUM(I23:I28)</f>
        <v>5714295</v>
      </c>
    </row>
    <row r="23" ht="28.550000000000001">
      <c r="A23" s="83" t="s">
        <v>147</v>
      </c>
      <c r="B23" s="75">
        <v>4211</v>
      </c>
      <c r="C23" s="74">
        <v>21169</v>
      </c>
      <c r="D23" s="74">
        <v>572776</v>
      </c>
      <c r="E23" s="74">
        <v>7617</v>
      </c>
      <c r="F23" s="74">
        <v>2797</v>
      </c>
      <c r="G23" s="74">
        <v>47115</v>
      </c>
      <c r="H23" s="74">
        <v>3625</v>
      </c>
      <c r="I23" s="74">
        <v>2843</v>
      </c>
    </row>
    <row r="24" ht="28.550000000000001">
      <c r="A24" s="83" t="s">
        <v>148</v>
      </c>
      <c r="B24" s="75">
        <v>4212</v>
      </c>
      <c r="C24" s="98">
        <v>0</v>
      </c>
      <c r="D24" s="98">
        <v>10621790</v>
      </c>
      <c r="E24" s="98">
        <v>62773</v>
      </c>
      <c r="F24" s="98">
        <v>0</v>
      </c>
      <c r="G24" s="98">
        <v>0</v>
      </c>
      <c r="H24" s="98">
        <v>149</v>
      </c>
      <c r="I24" s="98">
        <v>17202</v>
      </c>
    </row>
    <row r="25" ht="42.100000000000001">
      <c r="A25" s="83" t="s">
        <v>149</v>
      </c>
      <c r="B25" s="75">
        <v>4213</v>
      </c>
      <c r="C25" s="75">
        <v>18674491</v>
      </c>
      <c r="D25" s="75">
        <v>15720581</v>
      </c>
      <c r="E25" s="75">
        <v>17746249</v>
      </c>
      <c r="F25" s="75">
        <v>4389200</v>
      </c>
      <c r="G25" s="75">
        <v>21965169</v>
      </c>
      <c r="H25" s="75">
        <v>2886563</v>
      </c>
      <c r="I25" s="75">
        <v>5383330</v>
      </c>
    </row>
    <row r="26" ht="55.600000000000001">
      <c r="A26" s="83" t="s">
        <v>150</v>
      </c>
      <c r="B26" s="75">
        <v>4214</v>
      </c>
      <c r="C26" s="74">
        <v>2621355</v>
      </c>
      <c r="D26" s="74">
        <v>2826204</v>
      </c>
      <c r="E26" s="74">
        <v>4183974</v>
      </c>
      <c r="F26" s="74">
        <v>3195510</v>
      </c>
      <c r="G26" s="74">
        <v>4703725</v>
      </c>
      <c r="H26" s="74">
        <v>2064216</v>
      </c>
      <c r="I26" s="74">
        <v>310920</v>
      </c>
    </row>
    <row r="27" ht="15.6">
      <c r="A27" s="83" t="s">
        <v>151</v>
      </c>
      <c r="B27" s="75">
        <v>4215</v>
      </c>
      <c r="C27" s="74"/>
      <c r="D27" s="74"/>
      <c r="E27" s="74"/>
      <c r="F27" s="74"/>
      <c r="G27" s="74"/>
      <c r="H27" s="74"/>
      <c r="I27" s="74"/>
    </row>
    <row r="28" ht="15.6">
      <c r="A28" s="83" t="s">
        <v>137</v>
      </c>
      <c r="B28" s="75">
        <v>4219</v>
      </c>
      <c r="C28" s="75"/>
      <c r="D28" s="75">
        <v>96768</v>
      </c>
      <c r="E28" s="75"/>
      <c r="F28" s="75">
        <v>35618</v>
      </c>
      <c r="G28" s="75">
        <v>13080</v>
      </c>
      <c r="H28" s="75">
        <v>46935</v>
      </c>
      <c r="I28" s="75">
        <v>0</v>
      </c>
    </row>
    <row r="29" ht="15.6">
      <c r="A29" s="83" t="s">
        <v>152</v>
      </c>
      <c r="B29" s="75">
        <v>4220</v>
      </c>
      <c r="C29" s="54">
        <f>SUM(C31:C36)</f>
        <v>-15056354</v>
      </c>
      <c r="D29" s="54">
        <f>SUM(D31:D36)</f>
        <v>-30367510</v>
      </c>
      <c r="E29" s="54">
        <f>SUM(E31:E36)</f>
        <v>-11983614</v>
      </c>
      <c r="F29" s="54">
        <f>SUM(F31:F36)</f>
        <v>-17138721</v>
      </c>
      <c r="G29" s="54">
        <f>SUM(G31:G36)</f>
        <v>-22475341</v>
      </c>
      <c r="H29" s="54">
        <f>SUM(H31:H36)</f>
        <v>-10547953</v>
      </c>
      <c r="I29" s="54">
        <f>SUM(I31:I36)</f>
        <v>-9837421</v>
      </c>
    </row>
    <row r="30" ht="15.6">
      <c r="A30" s="83" t="s">
        <v>153</v>
      </c>
      <c r="B30" s="75"/>
      <c r="C30" s="75"/>
      <c r="D30" s="75"/>
      <c r="E30" s="75"/>
      <c r="F30" s="75"/>
      <c r="G30" s="75"/>
      <c r="H30" s="75"/>
      <c r="I30" s="75"/>
    </row>
    <row r="31" ht="42.100000000000001">
      <c r="A31" s="83" t="s">
        <v>154</v>
      </c>
      <c r="B31" s="75">
        <v>4221</v>
      </c>
      <c r="C31" s="74">
        <v>-2777354</v>
      </c>
      <c r="D31" s="74">
        <v>-1756490</v>
      </c>
      <c r="E31" s="74">
        <v>-747120</v>
      </c>
      <c r="F31" s="74">
        <v>-753359</v>
      </c>
      <c r="G31" s="74">
        <v>-468168</v>
      </c>
      <c r="H31" s="74">
        <v>-489031</v>
      </c>
      <c r="I31" s="74">
        <v>-461416</v>
      </c>
    </row>
    <row r="32" ht="28.550000000000001">
      <c r="A32" s="83" t="s">
        <v>155</v>
      </c>
      <c r="B32" s="75">
        <v>4222</v>
      </c>
      <c r="C32" s="74">
        <v>-1660000</v>
      </c>
      <c r="D32" s="74">
        <v>-17187536</v>
      </c>
      <c r="E32" s="74">
        <v>-1665000</v>
      </c>
      <c r="F32" s="74">
        <v>-470000</v>
      </c>
      <c r="G32" s="74">
        <v>-1011173</v>
      </c>
      <c r="H32" s="74"/>
      <c r="I32" s="74">
        <v>-2841</v>
      </c>
    </row>
    <row r="33" ht="55.600000000000001">
      <c r="A33" s="83" t="s">
        <v>156</v>
      </c>
      <c r="B33" s="75">
        <v>4223</v>
      </c>
      <c r="C33" s="98">
        <v>-10619000</v>
      </c>
      <c r="D33" s="98">
        <v>-11423484</v>
      </c>
      <c r="E33" s="98">
        <v>-9571494</v>
      </c>
      <c r="F33" s="98">
        <v>-15915362</v>
      </c>
      <c r="G33" s="98">
        <v>-20996000</v>
      </c>
      <c r="H33" s="98">
        <v>-10058922</v>
      </c>
      <c r="I33" s="98">
        <v>-9373164</v>
      </c>
    </row>
    <row r="34" ht="42.100000000000001">
      <c r="A34" s="83" t="s">
        <v>157</v>
      </c>
      <c r="B34" s="75">
        <v>4224</v>
      </c>
      <c r="C34" s="74"/>
      <c r="D34" s="74"/>
      <c r="E34" s="74"/>
      <c r="F34" s="74">
        <v>0</v>
      </c>
      <c r="G34" s="74">
        <v>0</v>
      </c>
      <c r="H34" s="74"/>
      <c r="I34" s="74"/>
    </row>
    <row r="35" ht="15.6">
      <c r="A35" s="83"/>
      <c r="B35" s="75">
        <v>4225</v>
      </c>
      <c r="C35" s="75"/>
      <c r="D35" s="75"/>
      <c r="E35" s="75"/>
      <c r="F35" s="75"/>
      <c r="G35" s="75"/>
      <c r="H35" s="75"/>
      <c r="I35" s="75"/>
    </row>
    <row r="36" ht="15.6">
      <c r="A36" s="83" t="s">
        <v>158</v>
      </c>
      <c r="B36" s="75">
        <v>4229</v>
      </c>
      <c r="C36" s="75"/>
      <c r="D36" s="75"/>
      <c r="E36" s="75"/>
      <c r="F36" s="75">
        <v>0</v>
      </c>
      <c r="G36" s="75">
        <v>0</v>
      </c>
      <c r="H36" s="75"/>
      <c r="I36" s="75"/>
    </row>
    <row r="37" ht="28.550000000000001">
      <c r="A37" s="96" t="s">
        <v>159</v>
      </c>
      <c r="B37" s="54">
        <v>4200</v>
      </c>
      <c r="C37" s="54">
        <f>C22+C29</f>
        <v>6260661</v>
      </c>
      <c r="D37" s="54">
        <f>D22+D29</f>
        <v>-529391</v>
      </c>
      <c r="E37" s="54">
        <f>E22+E29</f>
        <v>10016999</v>
      </c>
      <c r="F37" s="54">
        <f>F22+F29</f>
        <v>-9515596</v>
      </c>
      <c r="G37" s="54">
        <f>G22+G29</f>
        <v>4253748</v>
      </c>
      <c r="H37" s="54">
        <f>H22+H29</f>
        <v>-5546465</v>
      </c>
      <c r="I37" s="54">
        <f>I22+I29</f>
        <v>-4123126</v>
      </c>
    </row>
    <row r="38" s="66" customFormat="1" ht="28.550000000000001">
      <c r="A38" s="96" t="s">
        <v>160</v>
      </c>
      <c r="B38" s="54"/>
      <c r="C38" s="54"/>
      <c r="D38" s="54"/>
      <c r="E38" s="54"/>
      <c r="F38" s="54"/>
      <c r="G38" s="54"/>
      <c r="H38" s="54"/>
      <c r="I38" s="54"/>
    </row>
    <row r="39" ht="15.6">
      <c r="A39" s="83" t="s">
        <v>146</v>
      </c>
      <c r="B39" s="75">
        <v>4310</v>
      </c>
      <c r="C39" s="54">
        <f>SUM(C40:C46)</f>
        <v>0</v>
      </c>
      <c r="D39" s="54">
        <f>SUM(D40:D46)</f>
        <v>12442473</v>
      </c>
      <c r="E39" s="54">
        <f>SUM(E40:E46)</f>
        <v>849700</v>
      </c>
      <c r="F39" s="54">
        <f>SUM(F40:F46)</f>
        <v>7763435</v>
      </c>
      <c r="G39" s="54">
        <f>SUM(G40:G46)</f>
        <v>3107655</v>
      </c>
      <c r="H39" s="54">
        <f>SUM(H40:H46)</f>
        <v>6155034</v>
      </c>
      <c r="I39" s="54">
        <f>SUM(I40:I46)</f>
        <v>4563225</v>
      </c>
    </row>
    <row r="40" ht="15.6">
      <c r="A40" s="83" t="s">
        <v>161</v>
      </c>
      <c r="B40" s="75">
        <v>4311</v>
      </c>
      <c r="C40" s="75"/>
      <c r="D40" s="75">
        <v>12442473</v>
      </c>
      <c r="E40" s="75">
        <v>849700</v>
      </c>
      <c r="F40" s="75">
        <v>7763435</v>
      </c>
      <c r="G40" s="75">
        <v>3107655</v>
      </c>
      <c r="H40" s="75">
        <v>6155034</v>
      </c>
      <c r="I40" s="75">
        <v>4563225</v>
      </c>
    </row>
    <row r="41" ht="15.6">
      <c r="A41" s="83" t="s">
        <v>162</v>
      </c>
      <c r="B41" s="75">
        <v>4312</v>
      </c>
      <c r="C41" s="74"/>
      <c r="D41" s="74"/>
      <c r="E41" s="74"/>
      <c r="F41" s="74"/>
      <c r="G41" s="74"/>
      <c r="H41" s="74"/>
      <c r="I41" s="74"/>
    </row>
    <row r="42" ht="15.6">
      <c r="A42" s="83" t="s">
        <v>163</v>
      </c>
      <c r="B42" s="75">
        <v>4313</v>
      </c>
      <c r="C42" s="75"/>
      <c r="D42" s="75"/>
      <c r="E42" s="75"/>
      <c r="F42" s="75"/>
      <c r="G42" s="75"/>
      <c r="H42" s="75"/>
      <c r="I42" s="75"/>
    </row>
    <row r="43" ht="28.550000000000001">
      <c r="A43" s="83" t="s">
        <v>164</v>
      </c>
      <c r="B43" s="75">
        <v>4314</v>
      </c>
      <c r="C43" s="98"/>
      <c r="D43" s="98"/>
      <c r="E43" s="98"/>
      <c r="F43" s="98"/>
      <c r="G43" s="98"/>
      <c r="H43" s="98"/>
      <c r="I43" s="98"/>
    </row>
    <row r="44" ht="28.550000000000001">
      <c r="A44" s="83" t="s">
        <v>165</v>
      </c>
      <c r="B44" s="75">
        <v>4315</v>
      </c>
      <c r="C44" s="98"/>
      <c r="D44" s="98"/>
      <c r="E44" s="98"/>
      <c r="F44" s="98"/>
      <c r="G44" s="98"/>
      <c r="H44" s="98"/>
      <c r="I44" s="98"/>
    </row>
    <row r="45" ht="15.6">
      <c r="A45" s="83"/>
      <c r="B45" s="75">
        <v>4316</v>
      </c>
      <c r="C45" s="75"/>
      <c r="D45" s="75"/>
      <c r="E45" s="75"/>
      <c r="F45" s="75"/>
      <c r="G45" s="75"/>
      <c r="H45" s="75"/>
      <c r="I45" s="75"/>
    </row>
    <row r="46" ht="15.6">
      <c r="A46" s="83" t="s">
        <v>137</v>
      </c>
      <c r="B46" s="75">
        <v>4319</v>
      </c>
      <c r="C46" s="75"/>
      <c r="D46" s="75"/>
      <c r="E46" s="75"/>
      <c r="F46" s="75"/>
      <c r="G46" s="75"/>
      <c r="H46" s="75"/>
      <c r="I46" s="75"/>
    </row>
    <row r="47" ht="15.6">
      <c r="A47" s="83" t="s">
        <v>152</v>
      </c>
      <c r="B47" s="75">
        <v>4320</v>
      </c>
      <c r="C47" s="54">
        <f>SUM(C48:C52)</f>
        <v>-8997736</v>
      </c>
      <c r="D47" s="54">
        <f>SUM(D48:D52)</f>
        <v>-19342923</v>
      </c>
      <c r="E47" s="54">
        <f>SUM(E48:E52)</f>
        <v>-15533771</v>
      </c>
      <c r="F47" s="54">
        <f>SUM(F48:F52)</f>
        <v>-3703667</v>
      </c>
      <c r="G47" s="54">
        <f>SUM(G48:G52)</f>
        <v>-16271531</v>
      </c>
      <c r="H47" s="54">
        <f>SUM(H48:H52)</f>
        <v>-876212</v>
      </c>
      <c r="I47" s="54">
        <f>SUM(I48:I52)</f>
        <v>-5905290</v>
      </c>
    </row>
    <row r="48" ht="55.600000000000001">
      <c r="A48" s="83" t="s">
        <v>166</v>
      </c>
      <c r="B48" s="75">
        <v>4321</v>
      </c>
      <c r="C48" s="75"/>
      <c r="D48" s="75">
        <v>0</v>
      </c>
      <c r="E48" s="75">
        <v>-96647</v>
      </c>
      <c r="F48" s="75"/>
      <c r="G48" s="75"/>
      <c r="H48" s="75"/>
      <c r="I48" s="75"/>
    </row>
    <row r="49" ht="42.100000000000001">
      <c r="A49" s="83" t="s">
        <v>167</v>
      </c>
      <c r="B49" s="75">
        <v>4322</v>
      </c>
      <c r="C49" s="75">
        <v>-8997736</v>
      </c>
      <c r="D49" s="75">
        <v>-6102715</v>
      </c>
      <c r="E49" s="75">
        <v>-2177868</v>
      </c>
      <c r="F49" s="75">
        <v>-1135363</v>
      </c>
      <c r="G49" s="75">
        <v>-280773</v>
      </c>
      <c r="H49" s="75">
        <v>-182026</v>
      </c>
      <c r="I49" s="75">
        <v>-183345</v>
      </c>
    </row>
    <row r="50" ht="42.100000000000001">
      <c r="A50" s="83" t="s">
        <v>168</v>
      </c>
      <c r="B50" s="75">
        <v>4323</v>
      </c>
      <c r="C50" s="74"/>
      <c r="D50" s="74">
        <v>-13240208</v>
      </c>
      <c r="E50" s="74">
        <v>-13259256</v>
      </c>
      <c r="F50" s="74">
        <v>-2568304</v>
      </c>
      <c r="G50" s="74">
        <v>-15990758</v>
      </c>
      <c r="H50" s="74">
        <v>-694186</v>
      </c>
      <c r="I50" s="74">
        <v>-5721945</v>
      </c>
    </row>
    <row r="51" ht="15.6">
      <c r="A51" s="83"/>
      <c r="B51" s="75">
        <v>4324</v>
      </c>
      <c r="C51" s="74"/>
      <c r="D51" s="74"/>
      <c r="E51" s="74"/>
      <c r="F51" s="74"/>
      <c r="G51" s="74"/>
      <c r="H51" s="74"/>
      <c r="I51" s="74"/>
    </row>
    <row r="52" ht="15.6">
      <c r="A52" s="83" t="s">
        <v>158</v>
      </c>
      <c r="B52" s="75">
        <v>4329</v>
      </c>
      <c r="C52" s="75"/>
      <c r="D52" s="75"/>
      <c r="E52" s="75"/>
      <c r="F52" s="75">
        <v>0</v>
      </c>
      <c r="G52" s="75">
        <v>0</v>
      </c>
      <c r="H52" s="75"/>
      <c r="I52" s="75"/>
    </row>
    <row r="53" ht="28.550000000000001">
      <c r="A53" s="83" t="s">
        <v>169</v>
      </c>
      <c r="B53" s="75">
        <v>4300</v>
      </c>
      <c r="C53" s="75">
        <f>C39+C47</f>
        <v>-8997736</v>
      </c>
      <c r="D53" s="75">
        <f>D39+D47</f>
        <v>-6900450</v>
      </c>
      <c r="E53" s="75">
        <f>E39+E47</f>
        <v>-14684071</v>
      </c>
      <c r="F53" s="75">
        <f>F39+F47</f>
        <v>4059768</v>
      </c>
      <c r="G53" s="75">
        <f>G39+G47</f>
        <v>-13163876</v>
      </c>
      <c r="H53" s="75">
        <f>H39+H47</f>
        <v>5278822</v>
      </c>
      <c r="I53" s="75">
        <f>I39+I47</f>
        <v>-1342065</v>
      </c>
    </row>
    <row r="54" ht="28.550000000000001">
      <c r="A54" s="96" t="s">
        <v>170</v>
      </c>
      <c r="B54" s="75">
        <v>4400</v>
      </c>
      <c r="C54" s="75">
        <f>C20+C37+C53</f>
        <v>2568437</v>
      </c>
      <c r="D54" s="75">
        <f>D20+D37+D53</f>
        <v>-2717640</v>
      </c>
      <c r="E54" s="75">
        <f>E20+E37+E53</f>
        <v>-974175</v>
      </c>
      <c r="F54" s="75">
        <f>F20+F37+F53</f>
        <v>-949233</v>
      </c>
      <c r="G54" s="75">
        <f>G20+G37+G53</f>
        <v>1087948</v>
      </c>
      <c r="H54" s="75">
        <f>H20+H37+H53</f>
        <v>1644080</v>
      </c>
      <c r="I54" s="75">
        <f>I20+I37+I53</f>
        <v>-478353</v>
      </c>
    </row>
    <row r="55" ht="28.550000000000001">
      <c r="A55" s="96" t="s">
        <v>171</v>
      </c>
      <c r="B55" s="75">
        <v>4450</v>
      </c>
      <c r="C55" s="75">
        <f>D56</f>
        <v>1007423</v>
      </c>
      <c r="D55" s="75">
        <f>E56</f>
        <v>3121334</v>
      </c>
      <c r="E55" s="75">
        <f>F56</f>
        <v>4548134</v>
      </c>
      <c r="F55" s="75">
        <f>G56</f>
        <v>6655180</v>
      </c>
      <c r="G55" s="75">
        <f>H56</f>
        <v>3728021</v>
      </c>
      <c r="H55" s="75">
        <v>509947</v>
      </c>
      <c r="I55" s="75">
        <v>831112</v>
      </c>
    </row>
    <row r="56" s="66" customFormat="1" ht="28.550000000000001">
      <c r="A56" s="96" t="s">
        <v>172</v>
      </c>
      <c r="B56" s="54">
        <v>4500</v>
      </c>
      <c r="C56" s="54">
        <f>C55+C54+C57</f>
        <v>3397539</v>
      </c>
      <c r="D56" s="54">
        <f>D55+D54+D57</f>
        <v>1007423</v>
      </c>
      <c r="E56" s="54">
        <f>E55+E54+E57</f>
        <v>3121334</v>
      </c>
      <c r="F56" s="54">
        <f>F55+F54+F57</f>
        <v>4548134</v>
      </c>
      <c r="G56" s="54">
        <f>G55+G54+G57</f>
        <v>6655180</v>
      </c>
      <c r="H56" s="54">
        <f>H55+H54+H57</f>
        <v>3728021</v>
      </c>
      <c r="I56" s="54">
        <f>I55+I54+I57</f>
        <v>509947</v>
      </c>
    </row>
    <row r="57" ht="28.550000000000001">
      <c r="A57" s="83" t="s">
        <v>173</v>
      </c>
      <c r="B57" s="75">
        <v>4490</v>
      </c>
      <c r="C57" s="74">
        <v>-178321</v>
      </c>
      <c r="D57" s="74">
        <v>603729</v>
      </c>
      <c r="E57" s="74">
        <v>-452625</v>
      </c>
      <c r="F57" s="74">
        <v>-1157813</v>
      </c>
      <c r="G57" s="74">
        <v>1839211</v>
      </c>
      <c r="H57" s="74">
        <v>1573994</v>
      </c>
      <c r="I57" s="74">
        <v>157188</v>
      </c>
    </row>
    <row r="58" ht="15.6">
      <c r="C58" s="33"/>
      <c r="D58" s="33"/>
    </row>
    <row r="59" ht="15.6">
      <c r="A59" s="100"/>
      <c r="C59" s="33"/>
      <c r="D59" s="33"/>
    </row>
    <row r="60" s="64" customFormat="1" ht="15.6"/>
  </sheetData>
  <printOptions headings="0" gridLines="0" horizontalCentered="0" verticalCentered="0"/>
  <pageMargins left="0.75" right="0.75" top="0.52013888888888904" bottom="0.50972222222222197"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indexed="45"/>
    <outlinePr applyStyles="0" summaryBelow="1" summaryRight="1" showOutlineSymbols="1"/>
    <pageSetUpPr autoPageBreaks="1" fitToPage="1"/>
  </sheetPr>
  <sheetViews>
    <sheetView showFormulas="0" showGridLines="1" showRowColHeaders="1" showZeros="1" rightToLeft="0" view="normal" topLeftCell="A1" zoomScale="75" workbookViewId="0">
      <selection activeCell="L20" activeCellId="0" sqref="L20"/>
    </sheetView>
  </sheetViews>
  <sheetFormatPr defaultColWidth="9.109375" defaultRowHeight="15.6"/>
  <cols>
    <col customWidth="1" min="1" max="1" style="102" width="31.670000000000002"/>
    <col customWidth="1" min="2" max="16" style="101" width="16.559999999999999"/>
    <col customWidth="1" min="17" max="17" style="101" width="7.4400000000000004"/>
    <col customWidth="1" min="18" max="18" style="101" width="10.33"/>
    <col customWidth="1" min="19" max="21" style="101" width="10"/>
    <col customWidth="0" min="22" max="35" style="101" width="9.1099999999999994"/>
    <col customWidth="1" min="36" max="36" style="101" width="29.559999999999999"/>
    <col customWidth="0" min="37" max="42" style="101" width="9.1099999999999994"/>
    <col customWidth="1" min="43" max="43" style="101" width="22.879999999999999"/>
    <col customWidth="0" min="44" max="52" style="101" width="9.1099999999999994"/>
    <col customWidth="1" min="53" max="53" style="101" width="24.670000000000002"/>
    <col customWidth="0" min="54" max="54" style="101" width="9.1099999999999994"/>
    <col customWidth="1" min="55" max="55" style="101" width="11"/>
    <col customWidth="1" min="56" max="56" style="101" width="11.67"/>
    <col customWidth="0" min="57" max="59" style="101" width="9.1099999999999994"/>
    <col customWidth="1" min="60" max="60" style="101" width="32.340000000000003"/>
    <col customWidth="0" min="61" max="61" style="101" width="9.1099999999999994"/>
    <col customWidth="1" min="62" max="63" style="101" width="9.6699999999999999"/>
    <col customWidth="1" min="64" max="64" style="101" width="6.8799999999999999"/>
    <col customWidth="1" min="65" max="65" style="101" width="29.66"/>
    <col customWidth="0" min="66" max="16384" style="101" width="9.1099999999999994"/>
  </cols>
  <sheetData>
    <row r="1" ht="15.6">
      <c r="A1" s="103" t="s">
        <v>174</v>
      </c>
    </row>
    <row r="2" ht="15.6">
      <c r="A2" s="102" t="s">
        <v>0</v>
      </c>
    </row>
    <row r="3" ht="15.6">
      <c r="A3" s="6" t="str">
        <f>'1'!A2</f>
        <v xml:space="preserve">ПАО "ДОРОГОБУЖ"</v>
      </c>
      <c r="B3" s="7"/>
    </row>
    <row r="4" ht="15.6">
      <c r="A4" s="104" t="s">
        <v>175</v>
      </c>
      <c r="C4" s="105"/>
    </row>
    <row r="5" ht="15.6">
      <c r="A5" s="106" t="s">
        <v>4</v>
      </c>
      <c r="B5" s="107" t="s">
        <v>5</v>
      </c>
      <c r="C5" s="105"/>
    </row>
    <row r="6" ht="20.25" customHeight="1">
      <c r="C6" s="108" t="s">
        <v>176</v>
      </c>
      <c r="D6" s="109"/>
      <c r="E6" s="109"/>
      <c r="F6" s="109"/>
      <c r="G6" s="109"/>
    </row>
    <row r="7" ht="37.5" customHeight="1">
      <c r="A7" s="110" t="s">
        <v>177</v>
      </c>
      <c r="B7" s="111" t="s">
        <v>178</v>
      </c>
      <c r="C7" s="111"/>
      <c r="D7" s="75" t="s">
        <v>179</v>
      </c>
      <c r="E7" s="75" t="s">
        <v>180</v>
      </c>
      <c r="F7" s="75"/>
      <c r="G7" s="75" t="s">
        <v>181</v>
      </c>
      <c r="H7" s="75" t="s">
        <v>182</v>
      </c>
      <c r="I7" s="111" t="s">
        <v>183</v>
      </c>
      <c r="J7" s="111"/>
    </row>
    <row r="8" ht="65.25" customHeight="1">
      <c r="A8" s="112" t="s">
        <v>184</v>
      </c>
      <c r="B8" s="75" t="s">
        <v>185</v>
      </c>
      <c r="C8" s="113" t="s">
        <v>186</v>
      </c>
      <c r="D8" s="75"/>
      <c r="E8" s="75" t="s">
        <v>185</v>
      </c>
      <c r="F8" s="113" t="s">
        <v>186</v>
      </c>
      <c r="G8" s="75"/>
      <c r="H8" s="75"/>
      <c r="I8" s="75" t="s">
        <v>185</v>
      </c>
      <c r="J8" s="113" t="s">
        <v>186</v>
      </c>
    </row>
    <row r="9" ht="13.5" customHeight="1">
      <c r="A9" s="112">
        <v>1</v>
      </c>
      <c r="B9" s="75">
        <v>2</v>
      </c>
      <c r="C9" s="75">
        <v>3</v>
      </c>
      <c r="D9" s="75"/>
      <c r="E9" s="75"/>
      <c r="F9" s="75"/>
      <c r="G9" s="75"/>
      <c r="H9" s="75"/>
      <c r="I9" s="75"/>
      <c r="J9" s="75"/>
    </row>
    <row r="10" ht="15.6">
      <c r="A10" s="112" t="s">
        <v>187</v>
      </c>
      <c r="B10" s="75">
        <f>SUM(B11:B17)</f>
        <v>0</v>
      </c>
      <c r="C10" s="75">
        <f>SUM(C11:C17)</f>
        <v>0</v>
      </c>
      <c r="D10" s="75">
        <f>SUM(D11:D17)</f>
        <v>0</v>
      </c>
      <c r="E10" s="75">
        <f>SUM(E11:E17)</f>
        <v>0</v>
      </c>
      <c r="F10" s="75">
        <f>SUM(F11:F17)</f>
        <v>0</v>
      </c>
      <c r="G10" s="75">
        <f>SUM(G11:G17)</f>
        <v>0</v>
      </c>
      <c r="H10" s="75">
        <f>SUM(H11:H17)</f>
        <v>0</v>
      </c>
      <c r="I10" s="75">
        <f>B10+E10+D10</f>
        <v>0</v>
      </c>
      <c r="J10" s="75">
        <f>C10+F10+G10+H10</f>
        <v>0</v>
      </c>
      <c r="K10" s="101">
        <f>B10+C10-'1'!E8</f>
        <v>0</v>
      </c>
      <c r="L10" s="101">
        <f>I10+J10-'1'!D8</f>
        <v>0</v>
      </c>
    </row>
    <row r="11" ht="28.550000000000001">
      <c r="A11" s="112" t="s">
        <v>188</v>
      </c>
      <c r="B11" s="75"/>
      <c r="C11" s="75"/>
      <c r="D11" s="75"/>
      <c r="E11" s="75"/>
      <c r="F11" s="75"/>
      <c r="G11" s="75"/>
      <c r="H11" s="75"/>
      <c r="I11" s="75"/>
      <c r="J11" s="75"/>
    </row>
    <row r="12" ht="15.6">
      <c r="A12" s="112" t="s">
        <v>189</v>
      </c>
      <c r="B12" s="75"/>
      <c r="C12" s="75"/>
      <c r="D12" s="75"/>
      <c r="E12" s="75"/>
      <c r="F12" s="75"/>
      <c r="G12" s="75"/>
      <c r="H12" s="75"/>
      <c r="I12" s="75"/>
      <c r="J12" s="75"/>
    </row>
    <row r="13" ht="15.6">
      <c r="A13" s="112" t="s">
        <v>190</v>
      </c>
      <c r="B13" s="75"/>
      <c r="C13" s="75"/>
      <c r="D13" s="75"/>
      <c r="E13" s="75"/>
      <c r="F13" s="75"/>
      <c r="G13" s="75"/>
      <c r="H13" s="75"/>
      <c r="I13" s="75"/>
      <c r="J13" s="75"/>
    </row>
    <row r="14" ht="15.6">
      <c r="A14" s="112" t="s">
        <v>191</v>
      </c>
      <c r="B14" s="75"/>
      <c r="C14" s="75"/>
      <c r="D14" s="75"/>
      <c r="E14" s="75"/>
      <c r="F14" s="75"/>
      <c r="G14" s="75"/>
      <c r="H14" s="75"/>
      <c r="I14" s="75"/>
      <c r="J14" s="75"/>
    </row>
    <row r="15" ht="69.150000000000006">
      <c r="A15" s="114" t="s">
        <v>192</v>
      </c>
      <c r="B15" s="75"/>
      <c r="C15" s="75"/>
      <c r="D15" s="75"/>
      <c r="E15" s="75"/>
      <c r="F15" s="75"/>
      <c r="G15" s="75"/>
      <c r="H15" s="75"/>
      <c r="I15" s="75"/>
      <c r="J15" s="75"/>
    </row>
    <row r="16" ht="15.6">
      <c r="A16" s="112"/>
      <c r="B16" s="75"/>
      <c r="C16" s="75"/>
      <c r="D16" s="75"/>
      <c r="E16" s="75"/>
      <c r="F16" s="75"/>
      <c r="G16" s="75"/>
      <c r="H16" s="75"/>
      <c r="I16" s="75"/>
      <c r="J16" s="75"/>
    </row>
    <row r="17" ht="15.6">
      <c r="A17" s="112"/>
      <c r="B17" s="75"/>
      <c r="C17" s="75"/>
      <c r="D17" s="75"/>
      <c r="E17" s="75"/>
      <c r="F17" s="75"/>
      <c r="G17" s="75"/>
      <c r="H17" s="75"/>
      <c r="I17" s="75"/>
      <c r="J17" s="75"/>
    </row>
    <row r="18" ht="15.6">
      <c r="C18" s="115"/>
      <c r="D18" s="109"/>
      <c r="E18" s="109"/>
      <c r="F18" s="109"/>
      <c r="G18" s="109"/>
    </row>
    <row r="19" ht="12.75" customHeight="1">
      <c r="C19" s="108" t="s">
        <v>193</v>
      </c>
      <c r="D19" s="109"/>
      <c r="E19" s="109"/>
      <c r="F19" s="109"/>
      <c r="G19" s="109"/>
    </row>
    <row r="20" ht="45" customHeight="1">
      <c r="A20" s="110" t="s">
        <v>177</v>
      </c>
      <c r="B20" s="111" t="s">
        <v>178</v>
      </c>
      <c r="C20" s="111"/>
      <c r="D20" s="75" t="s">
        <v>179</v>
      </c>
      <c r="E20" s="75" t="s">
        <v>180</v>
      </c>
      <c r="F20" s="75"/>
      <c r="G20" s="75" t="s">
        <v>181</v>
      </c>
      <c r="H20" s="75" t="s">
        <v>182</v>
      </c>
      <c r="I20" s="111" t="s">
        <v>183</v>
      </c>
      <c r="J20" s="111"/>
    </row>
    <row r="21" ht="55.600000000000001">
      <c r="A21" s="112" t="s">
        <v>184</v>
      </c>
      <c r="B21" s="75" t="s">
        <v>185</v>
      </c>
      <c r="C21" s="113" t="s">
        <v>186</v>
      </c>
      <c r="D21" s="75"/>
      <c r="E21" s="75" t="s">
        <v>185</v>
      </c>
      <c r="F21" s="113" t="s">
        <v>186</v>
      </c>
      <c r="G21" s="75"/>
      <c r="H21" s="75"/>
      <c r="I21" s="75" t="s">
        <v>185</v>
      </c>
      <c r="J21" s="113" t="s">
        <v>186</v>
      </c>
    </row>
    <row r="22" ht="15.6">
      <c r="A22" s="112">
        <v>1</v>
      </c>
      <c r="B22" s="75">
        <v>2</v>
      </c>
      <c r="C22" s="75">
        <v>3</v>
      </c>
      <c r="D22" s="75"/>
      <c r="E22" s="75"/>
      <c r="F22" s="75"/>
      <c r="G22" s="75"/>
      <c r="H22" s="75"/>
      <c r="I22" s="75"/>
      <c r="J22" s="75"/>
    </row>
    <row r="23" ht="15.6">
      <c r="A23" s="112" t="s">
        <v>187</v>
      </c>
      <c r="B23" s="75">
        <f t="shared" ref="B23:B28" si="13">I10</f>
        <v>0</v>
      </c>
      <c r="C23" s="75">
        <f t="shared" ref="C23:C27" si="14">J10</f>
        <v>0</v>
      </c>
      <c r="D23" s="75">
        <f>SUM(D24:D30)</f>
        <v>0</v>
      </c>
      <c r="E23" s="75">
        <f>SUM(E24:E30)</f>
        <v>0</v>
      </c>
      <c r="F23" s="75">
        <f>SUM(F24:F30)</f>
        <v>0</v>
      </c>
      <c r="G23" s="75">
        <f>SUM(G24:G30)</f>
        <v>0</v>
      </c>
      <c r="H23" s="75">
        <f>SUM(H24:H30)</f>
        <v>0</v>
      </c>
      <c r="I23" s="75">
        <f>B23+E23+D23</f>
        <v>0</v>
      </c>
      <c r="J23" s="75">
        <f>C23+F23+G23+H23</f>
        <v>0</v>
      </c>
      <c r="K23" s="101">
        <f>I23+J23-'1'!C8</f>
        <v>0</v>
      </c>
    </row>
    <row r="24" ht="28.550000000000001">
      <c r="A24" s="112" t="s">
        <v>188</v>
      </c>
      <c r="B24" s="75">
        <f t="shared" si="13"/>
        <v>0</v>
      </c>
      <c r="C24" s="75">
        <f t="shared" si="14"/>
        <v>0</v>
      </c>
      <c r="D24" s="75"/>
      <c r="E24" s="75"/>
      <c r="F24" s="75"/>
      <c r="G24" s="75"/>
      <c r="H24" s="75"/>
      <c r="I24" s="75"/>
      <c r="J24" s="75"/>
    </row>
    <row r="25" ht="15.6">
      <c r="A25" s="112" t="s">
        <v>189</v>
      </c>
      <c r="B25" s="75">
        <f t="shared" si="13"/>
        <v>0</v>
      </c>
      <c r="C25" s="75">
        <f t="shared" si="14"/>
        <v>0</v>
      </c>
      <c r="D25" s="75"/>
      <c r="E25" s="75"/>
      <c r="F25" s="75"/>
      <c r="G25" s="75"/>
      <c r="H25" s="75"/>
      <c r="I25" s="75"/>
      <c r="J25" s="75"/>
    </row>
    <row r="26" ht="15.6">
      <c r="A26" s="112" t="s">
        <v>190</v>
      </c>
      <c r="B26" s="75">
        <f t="shared" si="13"/>
        <v>0</v>
      </c>
      <c r="C26" s="75">
        <f t="shared" si="14"/>
        <v>0</v>
      </c>
      <c r="D26" s="75"/>
      <c r="E26" s="75"/>
      <c r="F26" s="75"/>
      <c r="G26" s="75"/>
      <c r="H26" s="75"/>
      <c r="I26" s="75"/>
      <c r="J26" s="75"/>
    </row>
    <row r="27" ht="15.6">
      <c r="A27" s="112" t="s">
        <v>191</v>
      </c>
      <c r="B27" s="75">
        <f t="shared" si="13"/>
        <v>0</v>
      </c>
      <c r="C27" s="75">
        <f t="shared" si="14"/>
        <v>0</v>
      </c>
      <c r="D27" s="75"/>
      <c r="E27" s="75"/>
      <c r="F27" s="75"/>
      <c r="G27" s="75"/>
      <c r="H27" s="75"/>
      <c r="I27" s="75"/>
      <c r="J27" s="75"/>
    </row>
    <row r="28" ht="69.150000000000006">
      <c r="A28" s="114" t="s">
        <v>192</v>
      </c>
      <c r="B28" s="75">
        <f t="shared" si="13"/>
        <v>0</v>
      </c>
      <c r="C28" s="75"/>
      <c r="D28" s="75"/>
      <c r="E28" s="75"/>
      <c r="F28" s="75"/>
      <c r="G28" s="75"/>
      <c r="H28" s="75"/>
      <c r="I28" s="75"/>
      <c r="J28" s="75"/>
    </row>
    <row r="29" ht="15.6">
      <c r="A29" s="112"/>
      <c r="B29" s="75"/>
      <c r="C29" s="75"/>
      <c r="D29" s="75"/>
      <c r="E29" s="75"/>
      <c r="F29" s="75"/>
      <c r="G29" s="75"/>
      <c r="H29" s="75"/>
      <c r="I29" s="75"/>
      <c r="J29" s="75"/>
    </row>
    <row r="30" ht="15.6">
      <c r="A30" s="112"/>
      <c r="B30" s="75"/>
      <c r="C30" s="75"/>
      <c r="D30" s="75"/>
      <c r="E30" s="75"/>
      <c r="F30" s="75"/>
      <c r="G30" s="75"/>
      <c r="H30" s="75"/>
      <c r="I30" s="75"/>
      <c r="J30" s="75"/>
      <c r="L30" s="116"/>
    </row>
    <row r="31" ht="15.6">
      <c r="A31" s="114"/>
      <c r="B31" s="117"/>
      <c r="C31" s="118"/>
      <c r="D31" s="119"/>
      <c r="E31" s="109"/>
      <c r="F31" s="109"/>
      <c r="G31" s="109"/>
    </row>
    <row r="32" ht="15.6">
      <c r="A32" s="114"/>
      <c r="B32" s="117"/>
      <c r="C32" s="118"/>
      <c r="D32" s="119"/>
      <c r="E32" s="109"/>
      <c r="F32" s="109"/>
      <c r="G32" s="109"/>
    </row>
    <row r="33" ht="15.6">
      <c r="A33" s="114"/>
      <c r="B33" s="117"/>
      <c r="C33" s="118"/>
      <c r="D33" s="119"/>
      <c r="E33" s="109"/>
      <c r="F33" s="109"/>
      <c r="G33" s="109"/>
    </row>
    <row r="34" ht="15.6">
      <c r="C34" s="120" t="s">
        <v>194</v>
      </c>
      <c r="D34" s="109"/>
      <c r="E34" s="109"/>
      <c r="F34" s="109"/>
      <c r="G34" s="109"/>
    </row>
    <row r="35" ht="15.75" customHeight="1">
      <c r="A35" s="110" t="s">
        <v>177</v>
      </c>
      <c r="B35" s="111" t="s">
        <v>178</v>
      </c>
      <c r="C35" s="111"/>
      <c r="D35" s="75" t="s">
        <v>179</v>
      </c>
      <c r="E35" s="75" t="s">
        <v>180</v>
      </c>
      <c r="F35" s="75"/>
      <c r="G35" s="75" t="s">
        <v>181</v>
      </c>
      <c r="H35" s="121" t="s">
        <v>195</v>
      </c>
      <c r="I35" s="121"/>
      <c r="J35" s="111" t="s">
        <v>183</v>
      </c>
      <c r="K35" s="111"/>
    </row>
    <row r="36" ht="55.600000000000001">
      <c r="A36" s="112" t="s">
        <v>184</v>
      </c>
      <c r="B36" s="75" t="s">
        <v>185</v>
      </c>
      <c r="C36" s="113" t="s">
        <v>186</v>
      </c>
      <c r="D36" s="75"/>
      <c r="E36" s="75" t="s">
        <v>185</v>
      </c>
      <c r="F36" s="113" t="s">
        <v>186</v>
      </c>
      <c r="G36" s="75"/>
      <c r="H36" s="75" t="s">
        <v>185</v>
      </c>
      <c r="I36" s="113" t="s">
        <v>186</v>
      </c>
      <c r="J36" s="75" t="s">
        <v>185</v>
      </c>
      <c r="K36" s="113" t="s">
        <v>186</v>
      </c>
    </row>
    <row r="37" ht="15.6">
      <c r="A37" s="112">
        <v>1</v>
      </c>
      <c r="B37" s="75">
        <v>2</v>
      </c>
      <c r="C37" s="75">
        <v>3</v>
      </c>
      <c r="D37" s="75"/>
      <c r="E37" s="75"/>
      <c r="F37" s="75"/>
      <c r="G37" s="75"/>
      <c r="H37" s="75"/>
      <c r="I37" s="75"/>
      <c r="J37" s="75"/>
      <c r="K37" s="75"/>
    </row>
    <row r="38" ht="15.6">
      <c r="A38" s="112" t="s">
        <v>196</v>
      </c>
      <c r="B38" s="75">
        <f>SUM(B40:B51)</f>
        <v>0</v>
      </c>
      <c r="C38" s="75">
        <f>SUM(C40:C51)</f>
        <v>0</v>
      </c>
      <c r="D38" s="75">
        <f>SUM(D40:D51)</f>
        <v>0</v>
      </c>
      <c r="E38" s="75">
        <f>SUM(E40:E51)</f>
        <v>0</v>
      </c>
      <c r="F38" s="75">
        <f>SUM(F40:F51)</f>
        <v>0</v>
      </c>
      <c r="G38" s="75">
        <f>SUM(G40:G51)</f>
        <v>0</v>
      </c>
      <c r="H38" s="75">
        <f>SUM(H40:H51)</f>
        <v>0</v>
      </c>
      <c r="I38" s="75">
        <f>SUM(I40:I51)</f>
        <v>0</v>
      </c>
      <c r="J38" s="75">
        <f>SUM(J39:J51)</f>
        <v>0</v>
      </c>
      <c r="K38" s="75">
        <f>SUM(K39:K51)</f>
        <v>0</v>
      </c>
      <c r="L38" s="101">
        <f>B38+C38-'1'!E10</f>
        <v>-3893835</v>
      </c>
      <c r="M38" s="101">
        <f>J38+K38-'1'!D10</f>
        <v>-3835076</v>
      </c>
    </row>
    <row r="39" ht="15.6">
      <c r="A39" s="112" t="s">
        <v>153</v>
      </c>
      <c r="B39" s="75">
        <v>0</v>
      </c>
      <c r="C39" s="75">
        <v>0</v>
      </c>
      <c r="D39" s="75"/>
      <c r="E39" s="75"/>
      <c r="F39" s="75"/>
      <c r="G39" s="75"/>
      <c r="H39" s="75"/>
      <c r="I39" s="75"/>
      <c r="J39" s="75">
        <f t="shared" ref="J39:J49" si="15">B39+D39+E39</f>
        <v>0</v>
      </c>
      <c r="K39" s="75">
        <f t="shared" ref="K39:K49" si="16">C39+F39+G39</f>
        <v>0</v>
      </c>
    </row>
    <row r="40" ht="15.6">
      <c r="A40" s="112" t="s">
        <v>197</v>
      </c>
      <c r="B40" s="75"/>
      <c r="C40" s="75"/>
      <c r="D40" s="75"/>
      <c r="E40" s="75"/>
      <c r="F40" s="75"/>
      <c r="G40" s="75"/>
      <c r="H40" s="75"/>
      <c r="I40" s="75"/>
      <c r="J40" s="75">
        <f t="shared" si="15"/>
        <v>0</v>
      </c>
      <c r="K40" s="75">
        <f t="shared" si="16"/>
        <v>0</v>
      </c>
    </row>
    <row r="41" ht="28.550000000000001">
      <c r="A41" s="112" t="s">
        <v>198</v>
      </c>
      <c r="B41" s="75"/>
      <c r="C41" s="75"/>
      <c r="D41" s="75"/>
      <c r="E41" s="75"/>
      <c r="F41" s="75"/>
      <c r="G41" s="75"/>
      <c r="H41" s="75"/>
      <c r="I41" s="75"/>
      <c r="J41" s="75">
        <f t="shared" si="15"/>
        <v>0</v>
      </c>
      <c r="K41" s="75">
        <f t="shared" si="16"/>
        <v>0</v>
      </c>
    </row>
    <row r="42" ht="15.6">
      <c r="A42" s="112" t="s">
        <v>199</v>
      </c>
      <c r="B42" s="75"/>
      <c r="C42" s="75"/>
      <c r="D42" s="75"/>
      <c r="E42" s="75"/>
      <c r="F42" s="75"/>
      <c r="G42" s="75"/>
      <c r="H42" s="75"/>
      <c r="I42" s="75"/>
      <c r="J42" s="75">
        <f t="shared" si="15"/>
        <v>0</v>
      </c>
      <c r="K42" s="75">
        <f t="shared" si="16"/>
        <v>0</v>
      </c>
    </row>
    <row r="43" ht="15.6">
      <c r="A43" s="112" t="s">
        <v>200</v>
      </c>
      <c r="B43" s="75"/>
      <c r="C43" s="75"/>
      <c r="D43" s="75"/>
      <c r="E43" s="75"/>
      <c r="F43" s="75"/>
      <c r="G43" s="75"/>
      <c r="H43" s="75"/>
      <c r="I43" s="75"/>
      <c r="J43" s="75">
        <f t="shared" si="15"/>
        <v>0</v>
      </c>
      <c r="K43" s="75">
        <f t="shared" si="16"/>
        <v>0</v>
      </c>
    </row>
    <row r="44" ht="28.550000000000001">
      <c r="A44" s="112" t="s">
        <v>201</v>
      </c>
      <c r="B44" s="75">
        <v>0</v>
      </c>
      <c r="C44" s="75">
        <v>0</v>
      </c>
      <c r="D44" s="75"/>
      <c r="E44" s="75"/>
      <c r="F44" s="75"/>
      <c r="G44" s="75"/>
      <c r="H44" s="75"/>
      <c r="I44" s="75"/>
      <c r="J44" s="75">
        <f t="shared" si="15"/>
        <v>0</v>
      </c>
      <c r="K44" s="75">
        <f t="shared" si="16"/>
        <v>0</v>
      </c>
    </row>
    <row r="45" ht="15.6">
      <c r="A45" s="112" t="s">
        <v>202</v>
      </c>
      <c r="B45" s="75">
        <v>0</v>
      </c>
      <c r="C45" s="75">
        <v>0</v>
      </c>
      <c r="D45" s="75"/>
      <c r="E45" s="75"/>
      <c r="F45" s="75"/>
      <c r="G45" s="75"/>
      <c r="H45" s="75"/>
      <c r="I45" s="75"/>
      <c r="J45" s="75">
        <f t="shared" si="15"/>
        <v>0</v>
      </c>
      <c r="K45" s="75">
        <f t="shared" si="16"/>
        <v>0</v>
      </c>
    </row>
    <row r="46" ht="15.6">
      <c r="A46" s="112" t="s">
        <v>203</v>
      </c>
      <c r="B46" s="75">
        <v>0</v>
      </c>
      <c r="C46" s="75">
        <v>0</v>
      </c>
      <c r="D46" s="75"/>
      <c r="E46" s="75"/>
      <c r="F46" s="75"/>
      <c r="G46" s="75"/>
      <c r="H46" s="75"/>
      <c r="I46" s="75"/>
      <c r="J46" s="75">
        <f t="shared" si="15"/>
        <v>0</v>
      </c>
      <c r="K46" s="75">
        <f t="shared" si="16"/>
        <v>0</v>
      </c>
    </row>
    <row r="47" ht="15.6">
      <c r="A47" s="112" t="s">
        <v>204</v>
      </c>
      <c r="B47" s="75">
        <v>0</v>
      </c>
      <c r="C47" s="75">
        <v>0</v>
      </c>
      <c r="D47" s="75"/>
      <c r="E47" s="75"/>
      <c r="F47" s="75"/>
      <c r="G47" s="75"/>
      <c r="H47" s="75"/>
      <c r="I47" s="75"/>
      <c r="J47" s="75">
        <f t="shared" si="15"/>
        <v>0</v>
      </c>
      <c r="K47" s="75">
        <f t="shared" si="16"/>
        <v>0</v>
      </c>
    </row>
    <row r="48" ht="15.6">
      <c r="A48" s="112" t="s">
        <v>205</v>
      </c>
      <c r="B48" s="75"/>
      <c r="C48" s="75"/>
      <c r="D48" s="75"/>
      <c r="E48" s="75"/>
      <c r="F48" s="75"/>
      <c r="G48" s="75"/>
      <c r="H48" s="75"/>
      <c r="I48" s="75"/>
      <c r="J48" s="75">
        <f t="shared" si="15"/>
        <v>0</v>
      </c>
      <c r="K48" s="75">
        <f t="shared" si="16"/>
        <v>0</v>
      </c>
    </row>
    <row r="49" ht="28.550000000000001">
      <c r="A49" s="112" t="s">
        <v>206</v>
      </c>
      <c r="B49" s="75"/>
      <c r="C49" s="75"/>
      <c r="D49" s="75"/>
      <c r="E49" s="75"/>
      <c r="F49" s="75"/>
      <c r="G49" s="75"/>
      <c r="H49" s="75"/>
      <c r="I49" s="75"/>
      <c r="J49" s="75">
        <f t="shared" si="15"/>
        <v>0</v>
      </c>
      <c r="K49" s="75">
        <f t="shared" si="16"/>
        <v>0</v>
      </c>
    </row>
    <row r="50" ht="28.550000000000001">
      <c r="A50" s="112" t="s">
        <v>207</v>
      </c>
      <c r="B50" s="75"/>
      <c r="C50" s="75"/>
      <c r="D50" s="75"/>
      <c r="E50" s="75"/>
      <c r="F50" s="75"/>
      <c r="G50" s="75"/>
      <c r="H50" s="75"/>
      <c r="I50" s="75"/>
      <c r="J50" s="75"/>
      <c r="K50" s="75"/>
    </row>
    <row r="51" ht="55.600000000000001">
      <c r="A51" s="112" t="s">
        <v>208</v>
      </c>
      <c r="B51" s="75"/>
      <c r="C51" s="75"/>
      <c r="D51" s="75"/>
      <c r="E51" s="75"/>
      <c r="F51" s="75"/>
      <c r="G51" s="75"/>
      <c r="H51" s="75"/>
      <c r="I51" s="75"/>
      <c r="J51" s="75">
        <f>B51+D51+E51+H51</f>
        <v>0</v>
      </c>
      <c r="K51" s="75">
        <f>C51+F51+G51-I51</f>
        <v>0</v>
      </c>
    </row>
    <row r="52" ht="15.6">
      <c r="A52" s="114"/>
      <c r="B52" s="117"/>
      <c r="C52" s="118"/>
      <c r="D52" s="119"/>
      <c r="E52" s="109"/>
      <c r="F52" s="109"/>
      <c r="G52" s="109"/>
    </row>
    <row r="53" ht="15.6">
      <c r="C53" s="108" t="s">
        <v>209</v>
      </c>
      <c r="D53" s="109"/>
      <c r="E53" s="109"/>
      <c r="F53" s="109"/>
      <c r="G53" s="109"/>
    </row>
    <row r="54" ht="15.6" customHeight="1">
      <c r="A54" s="110" t="s">
        <v>177</v>
      </c>
      <c r="B54" s="111" t="s">
        <v>178</v>
      </c>
      <c r="C54" s="111"/>
      <c r="D54" s="75" t="s">
        <v>179</v>
      </c>
      <c r="E54" s="75" t="s">
        <v>180</v>
      </c>
      <c r="F54" s="75"/>
      <c r="G54" s="75" t="s">
        <v>181</v>
      </c>
      <c r="H54" s="121" t="s">
        <v>195</v>
      </c>
      <c r="I54" s="121"/>
      <c r="J54" s="111" t="s">
        <v>183</v>
      </c>
      <c r="K54" s="111"/>
    </row>
    <row r="55" ht="55.5" customHeight="1">
      <c r="A55" s="112" t="s">
        <v>184</v>
      </c>
      <c r="B55" s="75" t="s">
        <v>185</v>
      </c>
      <c r="C55" s="113" t="s">
        <v>186</v>
      </c>
      <c r="D55" s="75"/>
      <c r="E55" s="75" t="s">
        <v>185</v>
      </c>
      <c r="F55" s="113" t="s">
        <v>186</v>
      </c>
      <c r="G55" s="75"/>
      <c r="H55" s="75" t="s">
        <v>185</v>
      </c>
      <c r="I55" s="113" t="s">
        <v>186</v>
      </c>
      <c r="J55" s="75" t="s">
        <v>185</v>
      </c>
      <c r="K55" s="113" t="s">
        <v>186</v>
      </c>
    </row>
    <row r="56" ht="12.75" customHeight="1">
      <c r="A56" s="112">
        <v>1</v>
      </c>
      <c r="B56" s="75">
        <v>2</v>
      </c>
      <c r="C56" s="75">
        <v>3</v>
      </c>
      <c r="D56" s="75"/>
      <c r="E56" s="75"/>
      <c r="F56" s="75"/>
      <c r="G56" s="75"/>
      <c r="H56" s="75"/>
      <c r="I56" s="75"/>
      <c r="J56" s="75"/>
      <c r="K56" s="75"/>
    </row>
    <row r="57" ht="45" customHeight="1">
      <c r="A57" s="112" t="s">
        <v>196</v>
      </c>
      <c r="B57" s="75">
        <f t="shared" ref="B57:B70" si="17">J38</f>
        <v>0</v>
      </c>
      <c r="C57" s="75">
        <f t="shared" ref="C57:C70" si="18">K38</f>
        <v>0</v>
      </c>
      <c r="D57" s="75">
        <f>SUM(D58:D70)</f>
        <v>0</v>
      </c>
      <c r="E57" s="75">
        <f>SUM(E58:E70)</f>
        <v>0</v>
      </c>
      <c r="F57" s="75">
        <f>SUM(F58:F70)</f>
        <v>0</v>
      </c>
      <c r="G57" s="75">
        <f>SUM(G58:G70)</f>
        <v>0</v>
      </c>
      <c r="H57" s="75">
        <f>SUM(H58:H70)</f>
        <v>0</v>
      </c>
      <c r="I57" s="75">
        <f>SUM(I58:I70)</f>
        <v>0</v>
      </c>
      <c r="J57" s="75">
        <f>SUM(J58:J70)</f>
        <v>0</v>
      </c>
      <c r="K57" s="75">
        <f>SUM(K58:K70)</f>
        <v>0</v>
      </c>
      <c r="L57" s="101">
        <f>B57+C57-'1'!D10</f>
        <v>-3835076</v>
      </c>
      <c r="M57" s="101">
        <f>J57+K57-'1'!C10</f>
        <v>-8002783</v>
      </c>
    </row>
    <row r="58" ht="15.6">
      <c r="A58" s="112" t="s">
        <v>153</v>
      </c>
      <c r="B58" s="75">
        <f t="shared" si="17"/>
        <v>0</v>
      </c>
      <c r="C58" s="75">
        <f t="shared" si="18"/>
        <v>0</v>
      </c>
      <c r="D58" s="75"/>
      <c r="E58" s="75"/>
      <c r="F58" s="75"/>
      <c r="G58" s="75"/>
      <c r="H58" s="75"/>
      <c r="I58" s="75"/>
      <c r="J58" s="75">
        <f>B58+D58+E58</f>
        <v>0</v>
      </c>
      <c r="K58" s="75">
        <f t="shared" ref="K58:K68" si="19">C58+F58+G58</f>
        <v>0</v>
      </c>
    </row>
    <row r="59" ht="15.6">
      <c r="A59" s="112" t="s">
        <v>197</v>
      </c>
      <c r="B59" s="75">
        <f t="shared" si="17"/>
        <v>0</v>
      </c>
      <c r="C59" s="75">
        <f t="shared" si="18"/>
        <v>0</v>
      </c>
      <c r="D59" s="75"/>
      <c r="E59" s="75"/>
      <c r="F59" s="75"/>
      <c r="G59" s="75"/>
      <c r="H59" s="75"/>
      <c r="I59" s="75"/>
      <c r="J59" s="75">
        <f t="shared" ref="J59:J68" si="20">B59+D59+E59+H59</f>
        <v>0</v>
      </c>
      <c r="K59" s="75">
        <f t="shared" si="19"/>
        <v>0</v>
      </c>
    </row>
    <row r="60" ht="28.550000000000001">
      <c r="A60" s="112" t="s">
        <v>198</v>
      </c>
      <c r="B60" s="75">
        <f t="shared" si="17"/>
        <v>0</v>
      </c>
      <c r="C60" s="75">
        <f t="shared" si="18"/>
        <v>0</v>
      </c>
      <c r="D60" s="75"/>
      <c r="E60" s="75"/>
      <c r="F60" s="75"/>
      <c r="G60" s="75"/>
      <c r="H60" s="75"/>
      <c r="I60" s="75"/>
      <c r="J60" s="75">
        <f t="shared" si="20"/>
        <v>0</v>
      </c>
      <c r="K60" s="75">
        <f t="shared" si="19"/>
        <v>0</v>
      </c>
    </row>
    <row r="61" ht="15.6">
      <c r="A61" s="112" t="s">
        <v>199</v>
      </c>
      <c r="B61" s="75">
        <f t="shared" si="17"/>
        <v>0</v>
      </c>
      <c r="C61" s="75">
        <f t="shared" si="18"/>
        <v>0</v>
      </c>
      <c r="D61" s="75"/>
      <c r="E61" s="75"/>
      <c r="F61" s="75"/>
      <c r="G61" s="75"/>
      <c r="H61" s="75"/>
      <c r="I61" s="75"/>
      <c r="J61" s="75">
        <f t="shared" si="20"/>
        <v>0</v>
      </c>
      <c r="K61" s="75">
        <f t="shared" si="19"/>
        <v>0</v>
      </c>
    </row>
    <row r="62" ht="15.6">
      <c r="A62" s="112" t="s">
        <v>200</v>
      </c>
      <c r="B62" s="75">
        <f t="shared" si="17"/>
        <v>0</v>
      </c>
      <c r="C62" s="75">
        <f t="shared" si="18"/>
        <v>0</v>
      </c>
      <c r="D62" s="75"/>
      <c r="E62" s="75"/>
      <c r="F62" s="75"/>
      <c r="G62" s="75"/>
      <c r="H62" s="75"/>
      <c r="I62" s="75"/>
      <c r="J62" s="75">
        <f t="shared" si="20"/>
        <v>0</v>
      </c>
      <c r="K62" s="75">
        <f t="shared" si="19"/>
        <v>0</v>
      </c>
    </row>
    <row r="63" ht="28.550000000000001">
      <c r="A63" s="112" t="s">
        <v>201</v>
      </c>
      <c r="B63" s="75">
        <f t="shared" si="17"/>
        <v>0</v>
      </c>
      <c r="C63" s="75">
        <f t="shared" si="18"/>
        <v>0</v>
      </c>
      <c r="D63" s="75"/>
      <c r="E63" s="75"/>
      <c r="F63" s="75"/>
      <c r="G63" s="75"/>
      <c r="H63" s="75"/>
      <c r="I63" s="75"/>
      <c r="J63" s="75">
        <f t="shared" si="20"/>
        <v>0</v>
      </c>
      <c r="K63" s="75">
        <f t="shared" si="19"/>
        <v>0</v>
      </c>
    </row>
    <row r="64" ht="12.75" customHeight="1">
      <c r="A64" s="112" t="s">
        <v>202</v>
      </c>
      <c r="B64" s="75">
        <f t="shared" si="17"/>
        <v>0</v>
      </c>
      <c r="C64" s="75">
        <f t="shared" si="18"/>
        <v>0</v>
      </c>
      <c r="D64" s="75"/>
      <c r="E64" s="75"/>
      <c r="F64" s="75"/>
      <c r="G64" s="75"/>
      <c r="H64" s="75"/>
      <c r="I64" s="75"/>
      <c r="J64" s="75">
        <f t="shared" si="20"/>
        <v>0</v>
      </c>
      <c r="K64" s="75">
        <f t="shared" si="19"/>
        <v>0</v>
      </c>
    </row>
    <row r="65" ht="15.6">
      <c r="A65" s="112" t="s">
        <v>203</v>
      </c>
      <c r="B65" s="75">
        <f t="shared" si="17"/>
        <v>0</v>
      </c>
      <c r="C65" s="75">
        <f t="shared" si="18"/>
        <v>0</v>
      </c>
      <c r="D65" s="75"/>
      <c r="E65" s="75"/>
      <c r="F65" s="75"/>
      <c r="G65" s="75"/>
      <c r="H65" s="75"/>
      <c r="I65" s="75"/>
      <c r="J65" s="75">
        <f t="shared" si="20"/>
        <v>0</v>
      </c>
      <c r="K65" s="75">
        <f t="shared" si="19"/>
        <v>0</v>
      </c>
    </row>
    <row r="66" ht="15.6">
      <c r="A66" s="112" t="s">
        <v>204</v>
      </c>
      <c r="B66" s="75">
        <f t="shared" si="17"/>
        <v>0</v>
      </c>
      <c r="C66" s="75">
        <f t="shared" si="18"/>
        <v>0</v>
      </c>
      <c r="D66" s="75"/>
      <c r="E66" s="75"/>
      <c r="F66" s="75"/>
      <c r="G66" s="75"/>
      <c r="H66" s="75"/>
      <c r="I66" s="75"/>
      <c r="J66" s="75">
        <f t="shared" si="20"/>
        <v>0</v>
      </c>
      <c r="K66" s="75">
        <f t="shared" si="19"/>
        <v>0</v>
      </c>
    </row>
    <row r="67" ht="15.6">
      <c r="A67" s="112" t="s">
        <v>205</v>
      </c>
      <c r="B67" s="75">
        <f t="shared" si="17"/>
        <v>0</v>
      </c>
      <c r="C67" s="75">
        <f t="shared" si="18"/>
        <v>0</v>
      </c>
      <c r="D67" s="75"/>
      <c r="E67" s="75"/>
      <c r="F67" s="75"/>
      <c r="G67" s="75"/>
      <c r="H67" s="75"/>
      <c r="I67" s="75"/>
      <c r="J67" s="75">
        <f t="shared" si="20"/>
        <v>0</v>
      </c>
      <c r="K67" s="75">
        <f t="shared" si="19"/>
        <v>0</v>
      </c>
    </row>
    <row r="68" ht="28.550000000000001">
      <c r="A68" s="112" t="s">
        <v>206</v>
      </c>
      <c r="B68" s="75">
        <f t="shared" si="17"/>
        <v>0</v>
      </c>
      <c r="C68" s="75">
        <f t="shared" si="18"/>
        <v>0</v>
      </c>
      <c r="D68" s="75"/>
      <c r="E68" s="75"/>
      <c r="F68" s="75"/>
      <c r="G68" s="75"/>
      <c r="H68" s="75"/>
      <c r="I68" s="75"/>
      <c r="J68" s="75">
        <f t="shared" si="20"/>
        <v>0</v>
      </c>
      <c r="K68" s="75">
        <f t="shared" si="19"/>
        <v>0</v>
      </c>
    </row>
    <row r="69" ht="28.550000000000001">
      <c r="A69" s="112" t="s">
        <v>207</v>
      </c>
      <c r="B69" s="75">
        <f t="shared" si="17"/>
        <v>0</v>
      </c>
      <c r="C69" s="75">
        <f t="shared" si="18"/>
        <v>0</v>
      </c>
      <c r="D69" s="75"/>
      <c r="E69" s="75"/>
      <c r="F69" s="75"/>
      <c r="G69" s="75"/>
      <c r="H69" s="75"/>
      <c r="I69" s="75"/>
      <c r="J69" s="75"/>
      <c r="K69" s="75"/>
    </row>
    <row r="70" ht="55.600000000000001">
      <c r="A70" s="112" t="s">
        <v>208</v>
      </c>
      <c r="B70" s="75">
        <f t="shared" si="17"/>
        <v>0</v>
      </c>
      <c r="C70" s="75">
        <f t="shared" si="18"/>
        <v>0</v>
      </c>
      <c r="D70" s="75"/>
      <c r="E70" s="75"/>
      <c r="F70" s="75"/>
      <c r="G70" s="75"/>
      <c r="H70" s="75"/>
      <c r="I70" s="75"/>
      <c r="J70" s="75"/>
      <c r="K70" s="75">
        <f>C70+F70+G70-I70</f>
        <v>0</v>
      </c>
    </row>
    <row r="71" ht="15.6">
      <c r="A71" s="114"/>
      <c r="C71" s="115"/>
      <c r="D71" s="109"/>
      <c r="E71" s="109"/>
      <c r="F71" s="109"/>
      <c r="G71" s="109"/>
    </row>
    <row r="72" ht="15.6">
      <c r="A72" s="104" t="s">
        <v>210</v>
      </c>
      <c r="D72" s="109"/>
      <c r="E72" s="109"/>
      <c r="F72" s="109"/>
      <c r="G72" s="109"/>
    </row>
    <row r="73" ht="28.550000000000001">
      <c r="A73" s="112" t="s">
        <v>57</v>
      </c>
      <c r="B73" s="75" t="s">
        <v>15</v>
      </c>
      <c r="C73" s="75" t="s">
        <v>211</v>
      </c>
      <c r="D73" s="75" t="s">
        <v>212</v>
      </c>
      <c r="E73" s="109"/>
      <c r="F73" s="109"/>
      <c r="G73" s="109"/>
    </row>
    <row r="74" ht="28.550000000000001">
      <c r="A74" s="112" t="s">
        <v>213</v>
      </c>
      <c r="B74" s="75"/>
      <c r="C74" s="75"/>
      <c r="D74" s="75"/>
      <c r="E74" s="109"/>
      <c r="G74" s="109"/>
    </row>
    <row r="75" ht="28.550000000000001">
      <c r="A75" s="112" t="s">
        <v>214</v>
      </c>
      <c r="B75" s="75"/>
      <c r="C75" s="75"/>
      <c r="D75" s="75"/>
      <c r="E75" s="109"/>
      <c r="G75" s="109"/>
    </row>
    <row r="76" ht="28.550000000000001">
      <c r="A76" s="112" t="s">
        <v>215</v>
      </c>
      <c r="B76" s="75"/>
      <c r="C76" s="75"/>
      <c r="D76" s="75"/>
      <c r="G76" s="109"/>
    </row>
    <row r="77" ht="33" customHeight="1">
      <c r="A77" s="112" t="s">
        <v>216</v>
      </c>
      <c r="B77" s="75"/>
      <c r="C77" s="75"/>
      <c r="D77" s="75"/>
      <c r="F77" s="109"/>
    </row>
    <row r="78" ht="15.6">
      <c r="A78" s="114"/>
      <c r="B78" s="117"/>
      <c r="G78" s="109"/>
    </row>
    <row r="79" ht="15.6">
      <c r="C79" s="108" t="s">
        <v>217</v>
      </c>
      <c r="D79" s="109"/>
      <c r="E79" s="109"/>
      <c r="F79" s="109"/>
      <c r="G79" s="109"/>
    </row>
    <row r="80" ht="40.5" customHeight="1">
      <c r="A80" s="54" t="s">
        <v>177</v>
      </c>
      <c r="B80" s="111" t="s">
        <v>178</v>
      </c>
      <c r="C80" s="111"/>
      <c r="D80" s="75" t="s">
        <v>179</v>
      </c>
      <c r="E80" s="75" t="s">
        <v>218</v>
      </c>
      <c r="F80" s="75" t="s">
        <v>180</v>
      </c>
      <c r="G80" s="75"/>
      <c r="H80" s="75"/>
      <c r="I80" s="122" t="s">
        <v>219</v>
      </c>
      <c r="J80" s="122"/>
      <c r="K80" s="111" t="s">
        <v>183</v>
      </c>
      <c r="L80" s="111"/>
    </row>
    <row r="81" ht="96.200000000000003">
      <c r="A81" s="54"/>
      <c r="B81" s="75" t="s">
        <v>185</v>
      </c>
      <c r="C81" s="113" t="s">
        <v>220</v>
      </c>
      <c r="D81" s="75"/>
      <c r="E81" s="75"/>
      <c r="F81" s="123" t="s">
        <v>185</v>
      </c>
      <c r="G81" s="124" t="s">
        <v>221</v>
      </c>
      <c r="H81" s="125" t="s">
        <v>220</v>
      </c>
      <c r="I81" s="126" t="s">
        <v>222</v>
      </c>
      <c r="J81" s="126" t="s">
        <v>223</v>
      </c>
      <c r="K81" s="75" t="s">
        <v>185</v>
      </c>
      <c r="L81" s="113" t="s">
        <v>220</v>
      </c>
    </row>
    <row r="82" ht="15.6">
      <c r="A82" s="112" t="s">
        <v>224</v>
      </c>
      <c r="B82" s="75"/>
      <c r="C82" s="75"/>
      <c r="D82" s="75">
        <f>D85+D86+D87+D88+D89+D90</f>
        <v>0</v>
      </c>
      <c r="E82" s="75">
        <f>E85+E86+E87+E88+E89+E90</f>
        <v>0</v>
      </c>
      <c r="F82" s="75">
        <f>F85+F86+F87+F88+F89+F90</f>
        <v>0</v>
      </c>
      <c r="G82" s="75">
        <f>G85+G86+G87+G88+G89+G90</f>
        <v>0</v>
      </c>
      <c r="H82" s="75">
        <f>H85+H86+H87+H88+H89+H90</f>
        <v>0</v>
      </c>
      <c r="I82" s="75">
        <f>I85+I86+I87+I88+I89+I90</f>
        <v>0</v>
      </c>
      <c r="J82" s="75">
        <f>J85+J86+J87+J88+J89+J90</f>
        <v>0</v>
      </c>
      <c r="K82" s="75">
        <f>K85+K86+K87+K88+K89+K90</f>
        <v>0</v>
      </c>
      <c r="L82" s="75">
        <f t="shared" ref="L82:L83" si="21">C82+H82+J82</f>
        <v>0</v>
      </c>
      <c r="M82" s="101">
        <f>B82+C82-'1'!E12</f>
        <v>-14629278</v>
      </c>
      <c r="N82" s="101">
        <f>K82+L82-'1'!D12</f>
        <v>-8392766</v>
      </c>
    </row>
    <row r="83" ht="15.6">
      <c r="A83" s="112" t="s">
        <v>153</v>
      </c>
      <c r="B83" s="75">
        <v>0</v>
      </c>
      <c r="C83" s="75">
        <v>0</v>
      </c>
      <c r="D83" s="75"/>
      <c r="E83" s="75"/>
      <c r="F83" s="75"/>
      <c r="G83" s="75"/>
      <c r="H83" s="75"/>
      <c r="I83" s="75"/>
      <c r="J83" s="75"/>
      <c r="K83" s="75">
        <f>B83+D83+E83+F83+G83+I83</f>
        <v>0</v>
      </c>
      <c r="L83" s="75">
        <f t="shared" si="21"/>
        <v>0</v>
      </c>
    </row>
    <row r="84" ht="28.550000000000001">
      <c r="A84" s="127" t="s">
        <v>225</v>
      </c>
      <c r="B84" s="75"/>
      <c r="C84" s="75"/>
      <c r="D84" s="75">
        <f>D85+D86+D87</f>
        <v>0</v>
      </c>
      <c r="E84" s="75">
        <f>E85+E86+E87</f>
        <v>0</v>
      </c>
      <c r="F84" s="75">
        <f>F85+F86+F87</f>
        <v>0</v>
      </c>
      <c r="G84" s="75">
        <f>G85+G86+G87</f>
        <v>0</v>
      </c>
      <c r="H84" s="75">
        <f>H85+H86+H87</f>
        <v>0</v>
      </c>
      <c r="I84" s="75">
        <f>I85+I86+I87</f>
        <v>0</v>
      </c>
      <c r="J84" s="75">
        <f>J85+J86+J87</f>
        <v>0</v>
      </c>
      <c r="K84" s="75">
        <f>K85+K86+K87</f>
        <v>0</v>
      </c>
      <c r="L84" s="75">
        <f>L85+L86+L87</f>
        <v>0</v>
      </c>
    </row>
    <row r="85" ht="15.6">
      <c r="A85" s="127" t="s">
        <v>226</v>
      </c>
      <c r="B85" s="75"/>
      <c r="C85" s="75"/>
      <c r="D85" s="75"/>
      <c r="E85" s="75"/>
      <c r="F85" s="75"/>
      <c r="G85" s="75"/>
      <c r="H85" s="75"/>
      <c r="I85" s="75"/>
      <c r="J85" s="75"/>
      <c r="K85" s="75">
        <f t="shared" ref="K85:K96" si="22">B85+D85+E85+F85+G85+I85</f>
        <v>0</v>
      </c>
      <c r="L85" s="75">
        <f t="shared" ref="L85:L96" si="23">C85+H85+J85</f>
        <v>0</v>
      </c>
    </row>
    <row r="86" ht="15.6">
      <c r="A86" s="127" t="s">
        <v>227</v>
      </c>
      <c r="B86" s="75"/>
      <c r="C86" s="75"/>
      <c r="D86" s="75"/>
      <c r="E86" s="75"/>
      <c r="F86" s="75"/>
      <c r="G86" s="75"/>
      <c r="H86" s="75"/>
      <c r="I86" s="75"/>
      <c r="J86" s="75"/>
      <c r="K86" s="75">
        <f t="shared" si="22"/>
        <v>0</v>
      </c>
      <c r="L86" s="75">
        <f t="shared" si="23"/>
        <v>0</v>
      </c>
    </row>
    <row r="87" ht="15.6">
      <c r="A87" s="127" t="s">
        <v>228</v>
      </c>
      <c r="B87" s="75"/>
      <c r="C87" s="75"/>
      <c r="D87" s="75"/>
      <c r="E87" s="75"/>
      <c r="F87" s="75"/>
      <c r="G87" s="75"/>
      <c r="H87" s="75"/>
      <c r="I87" s="75"/>
      <c r="J87" s="75"/>
      <c r="K87" s="75">
        <f t="shared" si="22"/>
        <v>0</v>
      </c>
      <c r="L87" s="75">
        <f t="shared" si="23"/>
        <v>0</v>
      </c>
    </row>
    <row r="88" ht="15.6">
      <c r="A88" s="112" t="s">
        <v>229</v>
      </c>
      <c r="B88" s="75"/>
      <c r="C88" s="75"/>
      <c r="D88" s="75"/>
      <c r="E88" s="75"/>
      <c r="F88" s="75"/>
      <c r="G88" s="75"/>
      <c r="H88" s="75"/>
      <c r="I88" s="75"/>
      <c r="J88" s="75"/>
      <c r="K88" s="75">
        <f t="shared" si="22"/>
        <v>0</v>
      </c>
      <c r="L88" s="75">
        <f t="shared" si="23"/>
        <v>0</v>
      </c>
    </row>
    <row r="89" ht="15.6">
      <c r="A89" s="112" t="s">
        <v>230</v>
      </c>
      <c r="B89" s="75"/>
      <c r="C89" s="75"/>
      <c r="D89" s="75"/>
      <c r="E89" s="75"/>
      <c r="F89" s="75"/>
      <c r="G89" s="75"/>
      <c r="H89" s="75"/>
      <c r="I89" s="75"/>
      <c r="J89" s="75"/>
      <c r="K89" s="75">
        <f t="shared" si="22"/>
        <v>0</v>
      </c>
      <c r="L89" s="75">
        <f t="shared" si="23"/>
        <v>0</v>
      </c>
    </row>
    <row r="90" ht="15.6">
      <c r="A90" s="112" t="s">
        <v>231</v>
      </c>
      <c r="B90" s="75"/>
      <c r="C90" s="75"/>
      <c r="D90" s="75"/>
      <c r="E90" s="75"/>
      <c r="F90" s="75"/>
      <c r="G90" s="75"/>
      <c r="H90" s="75"/>
      <c r="I90" s="75"/>
      <c r="J90" s="75"/>
      <c r="K90" s="75">
        <f t="shared" si="22"/>
        <v>0</v>
      </c>
      <c r="L90" s="75">
        <f t="shared" si="23"/>
        <v>0</v>
      </c>
    </row>
    <row r="91" ht="39" customHeight="1">
      <c r="A91" s="112" t="s">
        <v>232</v>
      </c>
      <c r="B91" s="75"/>
      <c r="C91" s="75">
        <v>0</v>
      </c>
      <c r="D91" s="75">
        <f>D93+D94+D95+D96</f>
        <v>0</v>
      </c>
      <c r="E91" s="75">
        <f>E93+E94+E95+E96</f>
        <v>0</v>
      </c>
      <c r="F91" s="75">
        <f>F93+F94+F95+F96</f>
        <v>0</v>
      </c>
      <c r="G91" s="75">
        <f>G93+G94+G95+G96</f>
        <v>0</v>
      </c>
      <c r="H91" s="75">
        <f>H93+H94+H95+H96</f>
        <v>0</v>
      </c>
      <c r="I91" s="75">
        <f>I93+I94+I95+I96</f>
        <v>0</v>
      </c>
      <c r="J91" s="75">
        <f>J93+J94+J95+J96</f>
        <v>0</v>
      </c>
      <c r="K91" s="75">
        <f t="shared" si="22"/>
        <v>0</v>
      </c>
      <c r="L91" s="75">
        <f t="shared" si="23"/>
        <v>0</v>
      </c>
      <c r="M91" s="101">
        <f>B91-'1'!E22</f>
        <v>-22234137</v>
      </c>
    </row>
    <row r="92" ht="15.75" customHeight="1">
      <c r="A92" s="112" t="s">
        <v>153</v>
      </c>
      <c r="B92" s="75"/>
      <c r="C92" s="75">
        <v>0</v>
      </c>
      <c r="D92" s="75"/>
      <c r="E92" s="75"/>
      <c r="F92" s="75"/>
      <c r="G92" s="75"/>
      <c r="H92" s="75"/>
      <c r="I92" s="75"/>
      <c r="J92" s="75"/>
      <c r="K92" s="75">
        <f t="shared" si="22"/>
        <v>0</v>
      </c>
      <c r="L92" s="75">
        <f t="shared" si="23"/>
        <v>0</v>
      </c>
      <c r="M92" s="101">
        <f>K91+L91-'1'!D22</f>
        <v>-27313352</v>
      </c>
    </row>
    <row r="93" ht="15.75" customHeight="1">
      <c r="A93" s="112" t="s">
        <v>233</v>
      </c>
      <c r="B93" s="75"/>
      <c r="C93" s="75">
        <v>0</v>
      </c>
      <c r="D93" s="75"/>
      <c r="E93" s="75"/>
      <c r="F93" s="75"/>
      <c r="G93" s="75"/>
      <c r="H93" s="75"/>
      <c r="I93" s="75"/>
      <c r="J93" s="75"/>
      <c r="K93" s="75">
        <f t="shared" si="22"/>
        <v>0</v>
      </c>
      <c r="L93" s="75">
        <f t="shared" si="23"/>
        <v>0</v>
      </c>
    </row>
    <row r="94" ht="51" customHeight="1">
      <c r="A94" s="112" t="s">
        <v>229</v>
      </c>
      <c r="B94" s="75"/>
      <c r="C94" s="75">
        <v>0</v>
      </c>
      <c r="D94" s="75"/>
      <c r="E94" s="75"/>
      <c r="F94" s="75"/>
      <c r="G94" s="75"/>
      <c r="H94" s="75"/>
      <c r="I94" s="75"/>
      <c r="J94" s="75"/>
      <c r="K94" s="75">
        <f t="shared" si="22"/>
        <v>0</v>
      </c>
      <c r="L94" s="75">
        <f t="shared" si="23"/>
        <v>0</v>
      </c>
    </row>
    <row r="95" ht="18.75" customHeight="1">
      <c r="A95" s="112" t="s">
        <v>230</v>
      </c>
      <c r="B95" s="75"/>
      <c r="C95" s="75">
        <v>0</v>
      </c>
      <c r="D95" s="75"/>
      <c r="E95" s="75"/>
      <c r="F95" s="75"/>
      <c r="G95" s="75"/>
      <c r="H95" s="75"/>
      <c r="I95" s="75"/>
      <c r="J95" s="75"/>
      <c r="K95" s="75">
        <f t="shared" si="22"/>
        <v>0</v>
      </c>
      <c r="L95" s="75">
        <f t="shared" si="23"/>
        <v>0</v>
      </c>
    </row>
    <row r="96" ht="18.75" customHeight="1">
      <c r="A96" s="112" t="s">
        <v>231</v>
      </c>
      <c r="B96" s="75">
        <v>0</v>
      </c>
      <c r="C96" s="75">
        <v>0</v>
      </c>
      <c r="D96" s="75"/>
      <c r="E96" s="75"/>
      <c r="F96" s="75"/>
      <c r="G96" s="75"/>
      <c r="H96" s="75"/>
      <c r="I96" s="75"/>
      <c r="J96" s="75"/>
      <c r="K96" s="75">
        <f t="shared" si="22"/>
        <v>0</v>
      </c>
      <c r="L96" s="75">
        <f t="shared" si="23"/>
        <v>0</v>
      </c>
    </row>
    <row r="97" ht="38.25" customHeight="1">
      <c r="A97" s="112" t="s">
        <v>234</v>
      </c>
      <c r="B97" s="75"/>
      <c r="C97" s="75"/>
      <c r="D97" s="75">
        <f>D82+D91</f>
        <v>0</v>
      </c>
      <c r="E97" s="75">
        <f>E91+E82</f>
        <v>0</v>
      </c>
      <c r="F97" s="75">
        <f>F91+F82</f>
        <v>0</v>
      </c>
      <c r="G97" s="75">
        <f>G91+G82</f>
        <v>0</v>
      </c>
      <c r="H97" s="75">
        <f>H91+H82</f>
        <v>0</v>
      </c>
      <c r="I97" s="75">
        <f>I91+I82</f>
        <v>0</v>
      </c>
      <c r="J97" s="75">
        <f>J91+J82</f>
        <v>0</v>
      </c>
      <c r="K97" s="75">
        <f>K91+K82</f>
        <v>0</v>
      </c>
      <c r="L97" s="75">
        <f>L91+L82</f>
        <v>0</v>
      </c>
    </row>
    <row r="98" ht="15.6">
      <c r="C98" s="109"/>
      <c r="D98" s="109"/>
      <c r="E98" s="109"/>
      <c r="F98" s="109"/>
      <c r="G98" s="119"/>
    </row>
    <row r="99" ht="15.6">
      <c r="C99" s="108" t="s">
        <v>235</v>
      </c>
      <c r="D99" s="109"/>
      <c r="E99" s="109"/>
      <c r="F99" s="109"/>
      <c r="G99" s="109"/>
    </row>
    <row r="100" ht="40.5" customHeight="1">
      <c r="A100" s="54" t="s">
        <v>177</v>
      </c>
      <c r="B100" s="111" t="s">
        <v>178</v>
      </c>
      <c r="C100" s="111"/>
      <c r="D100" s="75" t="s">
        <v>179</v>
      </c>
      <c r="E100" s="75" t="s">
        <v>218</v>
      </c>
      <c r="F100" s="75" t="s">
        <v>180</v>
      </c>
      <c r="G100" s="75"/>
      <c r="H100" s="75"/>
      <c r="I100" s="122" t="s">
        <v>219</v>
      </c>
      <c r="J100" s="122"/>
      <c r="K100" s="111" t="s">
        <v>183</v>
      </c>
      <c r="L100" s="111"/>
    </row>
    <row r="101" ht="96.200000000000003">
      <c r="A101" s="54"/>
      <c r="B101" s="75" t="s">
        <v>185</v>
      </c>
      <c r="C101" s="113" t="s">
        <v>220</v>
      </c>
      <c r="D101" s="75"/>
      <c r="E101" s="75"/>
      <c r="F101" s="123" t="s">
        <v>185</v>
      </c>
      <c r="G101" s="124" t="s">
        <v>221</v>
      </c>
      <c r="H101" s="125" t="s">
        <v>220</v>
      </c>
      <c r="I101" s="126" t="s">
        <v>222</v>
      </c>
      <c r="J101" s="126" t="s">
        <v>223</v>
      </c>
      <c r="K101" s="75" t="s">
        <v>185</v>
      </c>
      <c r="L101" s="113" t="s">
        <v>220</v>
      </c>
    </row>
    <row r="102" ht="15.6">
      <c r="A102" s="112" t="s">
        <v>224</v>
      </c>
      <c r="B102" s="75">
        <f t="shared" ref="B102:B103" si="24">K82</f>
        <v>0</v>
      </c>
      <c r="C102" s="75">
        <f t="shared" ref="C102:C103" si="25">L82</f>
        <v>0</v>
      </c>
      <c r="D102" s="75">
        <f>D105+D106+D107+D108+D109+D110</f>
        <v>0</v>
      </c>
      <c r="E102" s="75">
        <f>E105+E106+E107+E108+E109+E110</f>
        <v>0</v>
      </c>
      <c r="F102" s="75">
        <f>F105+F106+F107+F108+F109+F110</f>
        <v>0</v>
      </c>
      <c r="G102" s="75">
        <f>G105+G106+G107+G108+G109+G110</f>
        <v>0</v>
      </c>
      <c r="H102" s="75">
        <f>H105+H106+H107+H108+H109+H110</f>
        <v>0</v>
      </c>
      <c r="I102" s="75">
        <f>I105+I106+I107+I108+I109+I110</f>
        <v>0</v>
      </c>
      <c r="J102" s="75">
        <f>J105+J106+J107+J108+J109+J110</f>
        <v>0</v>
      </c>
      <c r="K102" s="75">
        <f>K105+K106+K107+K108+K109+K110</f>
        <v>0</v>
      </c>
      <c r="L102" s="75">
        <f t="shared" ref="L102:L103" si="26">C102+H102+J102</f>
        <v>0</v>
      </c>
      <c r="M102" s="101">
        <f>K102+L102-'1'!C12</f>
        <v>-10139182</v>
      </c>
      <c r="N102" s="101">
        <f>K102+L102-'1'!C12</f>
        <v>-10139182</v>
      </c>
    </row>
    <row r="103" ht="15.6">
      <c r="A103" s="112" t="s">
        <v>153</v>
      </c>
      <c r="B103" s="75">
        <f t="shared" si="24"/>
        <v>0</v>
      </c>
      <c r="C103" s="75">
        <f t="shared" si="25"/>
        <v>0</v>
      </c>
      <c r="D103" s="75"/>
      <c r="E103" s="75"/>
      <c r="F103" s="75"/>
      <c r="G103" s="75"/>
      <c r="H103" s="75"/>
      <c r="I103" s="75"/>
      <c r="J103" s="75"/>
      <c r="K103" s="75">
        <f>B103+D103+E103+F103+G103+I103</f>
        <v>0</v>
      </c>
      <c r="L103" s="75">
        <f t="shared" si="26"/>
        <v>0</v>
      </c>
    </row>
    <row r="104" ht="28.550000000000001">
      <c r="A104" s="127" t="s">
        <v>225</v>
      </c>
      <c r="B104" s="75">
        <f>B105+B106+B107</f>
        <v>0</v>
      </c>
      <c r="C104" s="75">
        <f>C105+C106+C107</f>
        <v>0</v>
      </c>
      <c r="D104" s="75">
        <f>D105+D106+D107</f>
        <v>0</v>
      </c>
      <c r="E104" s="75">
        <f>E105+E106+E107</f>
        <v>0</v>
      </c>
      <c r="F104" s="75">
        <f>F105+F106+F107</f>
        <v>0</v>
      </c>
      <c r="G104" s="75">
        <f>G105+G106+G107</f>
        <v>0</v>
      </c>
      <c r="H104" s="75">
        <f>H105+H106+H107</f>
        <v>0</v>
      </c>
      <c r="I104" s="75">
        <f>I105+I106+I107</f>
        <v>0</v>
      </c>
      <c r="J104" s="75">
        <f>J105+J106+J107</f>
        <v>0</v>
      </c>
      <c r="K104" s="75">
        <f>K105+K106+K107</f>
        <v>0</v>
      </c>
      <c r="L104" s="75">
        <f>L105+L106+L107</f>
        <v>0</v>
      </c>
    </row>
    <row r="105" ht="15.6">
      <c r="A105" s="127" t="s">
        <v>226</v>
      </c>
      <c r="B105" s="75">
        <f t="shared" ref="B105:B117" si="27">K85</f>
        <v>0</v>
      </c>
      <c r="C105" s="75">
        <f t="shared" ref="C105:C117" si="28">L85</f>
        <v>0</v>
      </c>
      <c r="D105" s="75"/>
      <c r="E105" s="75"/>
      <c r="F105" s="75"/>
      <c r="G105" s="75"/>
      <c r="H105" s="75"/>
      <c r="I105" s="75"/>
      <c r="J105" s="75"/>
      <c r="K105" s="75">
        <f t="shared" ref="K105:K116" si="29">B105+D105+E105+F105+G105+I105</f>
        <v>0</v>
      </c>
      <c r="L105" s="75">
        <f t="shared" ref="L105:L116" si="30">C105+H105+J105</f>
        <v>0</v>
      </c>
    </row>
    <row r="106" ht="15.6">
      <c r="A106" s="127" t="s">
        <v>227</v>
      </c>
      <c r="B106" s="75">
        <f t="shared" si="27"/>
        <v>0</v>
      </c>
      <c r="C106" s="75">
        <f t="shared" si="28"/>
        <v>0</v>
      </c>
      <c r="D106" s="75"/>
      <c r="E106" s="75"/>
      <c r="F106" s="75"/>
      <c r="G106" s="75"/>
      <c r="H106" s="75"/>
      <c r="I106" s="75"/>
      <c r="J106" s="75"/>
      <c r="K106" s="75">
        <f t="shared" si="29"/>
        <v>0</v>
      </c>
      <c r="L106" s="75">
        <f t="shared" si="30"/>
        <v>0</v>
      </c>
    </row>
    <row r="107" ht="15.6">
      <c r="A107" s="127" t="s">
        <v>228</v>
      </c>
      <c r="B107" s="75">
        <f t="shared" si="27"/>
        <v>0</v>
      </c>
      <c r="C107" s="75">
        <f t="shared" si="28"/>
        <v>0</v>
      </c>
      <c r="D107" s="75"/>
      <c r="E107" s="75"/>
      <c r="F107" s="75"/>
      <c r="G107" s="75"/>
      <c r="H107" s="75"/>
      <c r="I107" s="75"/>
      <c r="J107" s="75"/>
      <c r="K107" s="75">
        <f t="shared" si="29"/>
        <v>0</v>
      </c>
      <c r="L107" s="75">
        <f t="shared" si="30"/>
        <v>0</v>
      </c>
    </row>
    <row r="108" ht="15.6">
      <c r="A108" s="112" t="s">
        <v>229</v>
      </c>
      <c r="B108" s="75">
        <f t="shared" si="27"/>
        <v>0</v>
      </c>
      <c r="C108" s="75">
        <f t="shared" si="28"/>
        <v>0</v>
      </c>
      <c r="D108" s="75"/>
      <c r="E108" s="75"/>
      <c r="F108" s="75"/>
      <c r="G108" s="75"/>
      <c r="H108" s="75"/>
      <c r="I108" s="75"/>
      <c r="J108" s="75"/>
      <c r="K108" s="75"/>
      <c r="L108" s="75">
        <f t="shared" si="30"/>
        <v>0</v>
      </c>
    </row>
    <row r="109" ht="15.6">
      <c r="A109" s="112" t="s">
        <v>230</v>
      </c>
      <c r="B109" s="75">
        <f t="shared" si="27"/>
        <v>0</v>
      </c>
      <c r="C109" s="75">
        <f t="shared" si="28"/>
        <v>0</v>
      </c>
      <c r="D109" s="75"/>
      <c r="E109" s="75"/>
      <c r="F109" s="75"/>
      <c r="G109" s="75"/>
      <c r="H109" s="75"/>
      <c r="I109" s="75"/>
      <c r="J109" s="75"/>
      <c r="K109" s="75">
        <f t="shared" si="29"/>
        <v>0</v>
      </c>
      <c r="L109" s="75">
        <f t="shared" si="30"/>
        <v>0</v>
      </c>
    </row>
    <row r="110" ht="15.6">
      <c r="A110" s="112" t="s">
        <v>231</v>
      </c>
      <c r="B110" s="75">
        <f t="shared" si="27"/>
        <v>0</v>
      </c>
      <c r="C110" s="75">
        <f t="shared" si="28"/>
        <v>0</v>
      </c>
      <c r="D110" s="75"/>
      <c r="E110" s="75"/>
      <c r="F110" s="75"/>
      <c r="G110" s="75"/>
      <c r="H110" s="75"/>
      <c r="I110" s="75"/>
      <c r="J110" s="75"/>
      <c r="K110" s="75">
        <f t="shared" si="29"/>
        <v>0</v>
      </c>
      <c r="L110" s="75">
        <f t="shared" si="30"/>
        <v>0</v>
      </c>
    </row>
    <row r="111" ht="39" customHeight="1">
      <c r="A111" s="112" t="s">
        <v>232</v>
      </c>
      <c r="B111" s="75">
        <f t="shared" si="27"/>
        <v>0</v>
      </c>
      <c r="C111" s="75">
        <f t="shared" si="28"/>
        <v>0</v>
      </c>
      <c r="D111" s="75">
        <f>D113+D114+D115+D116</f>
        <v>0</v>
      </c>
      <c r="E111" s="75">
        <f>E113+E114+E115+E116</f>
        <v>0</v>
      </c>
      <c r="F111" s="75">
        <f>F113+F114+F115+F116</f>
        <v>0</v>
      </c>
      <c r="G111" s="75">
        <f>G113+G114+G115+G116</f>
        <v>0</v>
      </c>
      <c r="H111" s="75">
        <f>H113+H114+H115+H116</f>
        <v>0</v>
      </c>
      <c r="I111" s="75">
        <f>I113+I114+I115+I116</f>
        <v>0</v>
      </c>
      <c r="J111" s="75">
        <f>J113+J114+J115+J116</f>
        <v>0</v>
      </c>
      <c r="K111" s="75">
        <f t="shared" si="29"/>
        <v>0</v>
      </c>
      <c r="L111" s="75">
        <f t="shared" si="30"/>
        <v>0</v>
      </c>
      <c r="M111" s="101">
        <f>K111-'1'!C22</f>
        <v>-18308260</v>
      </c>
    </row>
    <row r="112" ht="15.75" customHeight="1">
      <c r="A112" s="112" t="s">
        <v>153</v>
      </c>
      <c r="B112" s="75">
        <f t="shared" si="27"/>
        <v>0</v>
      </c>
      <c r="C112" s="75">
        <f t="shared" si="28"/>
        <v>0</v>
      </c>
      <c r="D112" s="75"/>
      <c r="E112" s="75"/>
      <c r="F112" s="75"/>
      <c r="G112" s="75"/>
      <c r="H112" s="75"/>
      <c r="I112" s="75"/>
      <c r="J112" s="75"/>
      <c r="K112" s="75">
        <f t="shared" si="29"/>
        <v>0</v>
      </c>
      <c r="L112" s="75">
        <f t="shared" si="30"/>
        <v>0</v>
      </c>
    </row>
    <row r="113" ht="15.75" customHeight="1">
      <c r="A113" s="112" t="s">
        <v>233</v>
      </c>
      <c r="B113" s="75">
        <f t="shared" si="27"/>
        <v>0</v>
      </c>
      <c r="C113" s="75">
        <f t="shared" si="28"/>
        <v>0</v>
      </c>
      <c r="D113" s="75"/>
      <c r="E113" s="75"/>
      <c r="F113" s="75"/>
      <c r="G113" s="75"/>
      <c r="H113" s="75"/>
      <c r="I113" s="75"/>
      <c r="J113" s="75"/>
      <c r="K113" s="75"/>
      <c r="L113" s="75">
        <f t="shared" si="30"/>
        <v>0</v>
      </c>
    </row>
    <row r="114" ht="51" customHeight="1">
      <c r="A114" s="112" t="s">
        <v>229</v>
      </c>
      <c r="B114" s="75">
        <f t="shared" si="27"/>
        <v>0</v>
      </c>
      <c r="C114" s="75">
        <f t="shared" si="28"/>
        <v>0</v>
      </c>
      <c r="D114" s="75"/>
      <c r="E114" s="75"/>
      <c r="F114" s="75"/>
      <c r="G114" s="75"/>
      <c r="H114" s="75"/>
      <c r="I114" s="75"/>
      <c r="J114" s="75"/>
      <c r="K114" s="75"/>
      <c r="L114" s="75">
        <f t="shared" si="30"/>
        <v>0</v>
      </c>
    </row>
    <row r="115" ht="18.75" customHeight="1">
      <c r="A115" s="112" t="s">
        <v>230</v>
      </c>
      <c r="B115" s="75">
        <f t="shared" si="27"/>
        <v>0</v>
      </c>
      <c r="C115" s="75">
        <f t="shared" si="28"/>
        <v>0</v>
      </c>
      <c r="D115" s="75"/>
      <c r="E115" s="75"/>
      <c r="F115" s="75"/>
      <c r="G115" s="75"/>
      <c r="H115" s="75"/>
      <c r="I115" s="75"/>
      <c r="J115" s="75"/>
      <c r="K115" s="75"/>
      <c r="L115" s="75">
        <f t="shared" si="30"/>
        <v>0</v>
      </c>
    </row>
    <row r="116" ht="18.75" customHeight="1">
      <c r="A116" s="112" t="s">
        <v>231</v>
      </c>
      <c r="B116" s="75">
        <f t="shared" si="27"/>
        <v>0</v>
      </c>
      <c r="C116" s="75">
        <f t="shared" si="28"/>
        <v>0</v>
      </c>
      <c r="D116" s="75"/>
      <c r="E116" s="75"/>
      <c r="F116" s="75"/>
      <c r="G116" s="75"/>
      <c r="H116" s="75"/>
      <c r="I116" s="75"/>
      <c r="J116" s="75"/>
      <c r="K116" s="75">
        <f t="shared" si="29"/>
        <v>0</v>
      </c>
      <c r="L116" s="75">
        <f t="shared" si="30"/>
        <v>0</v>
      </c>
    </row>
    <row r="117" ht="38.25" customHeight="1">
      <c r="A117" s="112" t="s">
        <v>234</v>
      </c>
      <c r="B117" s="75">
        <f t="shared" si="27"/>
        <v>0</v>
      </c>
      <c r="C117" s="75">
        <f t="shared" si="28"/>
        <v>0</v>
      </c>
      <c r="D117" s="75">
        <f>D102+D111</f>
        <v>0</v>
      </c>
      <c r="E117" s="75">
        <f>E111+E102</f>
        <v>0</v>
      </c>
      <c r="F117" s="75">
        <f>F111+F102</f>
        <v>0</v>
      </c>
      <c r="G117" s="75">
        <f>G111+G102</f>
        <v>0</v>
      </c>
      <c r="H117" s="75">
        <f>H111+H102</f>
        <v>0</v>
      </c>
      <c r="I117" s="75">
        <f>I111+I102</f>
        <v>0</v>
      </c>
      <c r="J117" s="75">
        <f>J111+J102</f>
        <v>0</v>
      </c>
      <c r="K117" s="75">
        <f>K111+K102</f>
        <v>0</v>
      </c>
      <c r="L117" s="75">
        <f>L111+L102</f>
        <v>0</v>
      </c>
    </row>
    <row r="118" ht="15.6">
      <c r="A118" s="114"/>
      <c r="B118" s="117"/>
      <c r="G118" s="109"/>
      <c r="K118" s="101">
        <f>K117+L117-'1'!C12-'1'!C22</f>
        <v>-28447442</v>
      </c>
    </row>
    <row r="119" ht="15.6">
      <c r="A119" s="114"/>
      <c r="C119" s="115"/>
      <c r="D119" s="109"/>
      <c r="E119" s="109"/>
      <c r="F119" s="109"/>
      <c r="G119" s="109"/>
    </row>
    <row r="120" ht="15.6">
      <c r="C120" s="120" t="s">
        <v>236</v>
      </c>
      <c r="D120" s="109"/>
      <c r="E120" s="109"/>
      <c r="F120" s="109"/>
      <c r="G120" s="109"/>
    </row>
    <row r="121" ht="15.6" customHeight="1">
      <c r="A121" s="54" t="s">
        <v>57</v>
      </c>
      <c r="B121" s="54" t="s">
        <v>95</v>
      </c>
      <c r="C121" s="111" t="s">
        <v>178</v>
      </c>
      <c r="D121" s="111"/>
      <c r="E121" s="75" t="s">
        <v>237</v>
      </c>
      <c r="F121" s="75" t="s">
        <v>180</v>
      </c>
      <c r="G121" s="75"/>
      <c r="H121" s="75" t="s">
        <v>238</v>
      </c>
      <c r="I121" s="75" t="s">
        <v>239</v>
      </c>
      <c r="J121" s="111" t="s">
        <v>183</v>
      </c>
      <c r="K121" s="111"/>
    </row>
    <row r="122" ht="55.600000000000001">
      <c r="A122" s="54"/>
      <c r="B122" s="54"/>
      <c r="C122" s="75" t="s">
        <v>240</v>
      </c>
      <c r="D122" s="113" t="s">
        <v>241</v>
      </c>
      <c r="E122" s="75"/>
      <c r="F122" s="75" t="s">
        <v>240</v>
      </c>
      <c r="G122" s="113" t="s">
        <v>242</v>
      </c>
      <c r="H122" s="75"/>
      <c r="I122" s="75"/>
      <c r="J122" s="75" t="s">
        <v>240</v>
      </c>
      <c r="K122" s="113" t="s">
        <v>241</v>
      </c>
    </row>
    <row r="123" ht="15.6">
      <c r="A123" s="112" t="s">
        <v>243</v>
      </c>
      <c r="B123" s="112">
        <v>1210</v>
      </c>
      <c r="C123" s="75"/>
      <c r="D123" s="75">
        <f>SUM(D124:D130)</f>
        <v>0</v>
      </c>
      <c r="E123" s="75">
        <f>SUM(E124:E130)</f>
        <v>0</v>
      </c>
      <c r="F123" s="75">
        <f>SUM(F124:F130)</f>
        <v>0</v>
      </c>
      <c r="G123" s="75">
        <f>SUM(G124:G130)</f>
        <v>0</v>
      </c>
      <c r="H123" s="75">
        <f>SUM(H124:H130)</f>
        <v>0</v>
      </c>
      <c r="I123" s="75">
        <f>SUM(I124:I130)</f>
        <v>0</v>
      </c>
      <c r="J123" s="75">
        <f>SUM(J124:J130)</f>
        <v>0</v>
      </c>
      <c r="K123" s="75"/>
      <c r="L123" s="101">
        <f>C123-'1'!E17</f>
        <v>-2594147</v>
      </c>
      <c r="M123" s="101">
        <f>J123-'1'!D17</f>
        <v>-2454097</v>
      </c>
    </row>
    <row r="124" ht="15.6">
      <c r="A124" s="112" t="s">
        <v>153</v>
      </c>
      <c r="C124" s="75"/>
      <c r="D124" s="75"/>
      <c r="E124" s="75"/>
      <c r="F124" s="75"/>
      <c r="G124" s="75"/>
      <c r="H124" s="75"/>
      <c r="I124" s="75"/>
      <c r="J124" s="75">
        <f>C124+E124-F124+I124</f>
        <v>0</v>
      </c>
      <c r="K124" s="75"/>
    </row>
    <row r="125" ht="28.550000000000001">
      <c r="A125" s="112" t="s">
        <v>244</v>
      </c>
      <c r="B125" s="112">
        <v>1211</v>
      </c>
      <c r="C125" s="75"/>
      <c r="D125" s="75"/>
      <c r="E125" s="75"/>
      <c r="F125" s="75"/>
      <c r="G125" s="75"/>
      <c r="H125" s="75"/>
      <c r="I125" s="75"/>
      <c r="J125" s="75">
        <f t="shared" ref="J125:J130" si="31">C125+E125+F125+I125</f>
        <v>0</v>
      </c>
      <c r="K125" s="75"/>
    </row>
    <row r="126" ht="28.550000000000001">
      <c r="A126" s="112" t="s">
        <v>245</v>
      </c>
      <c r="B126" s="112">
        <v>1212</v>
      </c>
      <c r="C126" s="75"/>
      <c r="D126" s="75"/>
      <c r="E126" s="75"/>
      <c r="F126" s="75"/>
      <c r="G126" s="75"/>
      <c r="H126" s="75"/>
      <c r="I126" s="75"/>
      <c r="J126" s="75">
        <f t="shared" si="31"/>
        <v>0</v>
      </c>
      <c r="K126" s="75"/>
    </row>
    <row r="127" ht="15.6">
      <c r="A127" s="112" t="s">
        <v>246</v>
      </c>
      <c r="B127" s="112">
        <v>1213</v>
      </c>
      <c r="C127" s="75"/>
      <c r="D127" s="75"/>
      <c r="E127" s="75"/>
      <c r="F127" s="75"/>
      <c r="G127" s="75"/>
      <c r="H127" s="75"/>
      <c r="I127" s="75"/>
      <c r="J127" s="75"/>
      <c r="K127" s="75"/>
    </row>
    <row r="128" ht="15.6">
      <c r="A128" s="112" t="s">
        <v>247</v>
      </c>
      <c r="B128" s="112">
        <v>1214</v>
      </c>
      <c r="C128" s="75"/>
      <c r="D128" s="75"/>
      <c r="E128" s="75"/>
      <c r="F128" s="75"/>
      <c r="G128" s="75"/>
      <c r="H128" s="75"/>
      <c r="I128" s="75">
        <f>-I127</f>
        <v>0</v>
      </c>
      <c r="J128" s="75">
        <f t="shared" si="31"/>
        <v>0</v>
      </c>
      <c r="K128" s="75"/>
    </row>
    <row r="129" ht="15.6">
      <c r="A129" s="112" t="s">
        <v>248</v>
      </c>
      <c r="B129" s="112"/>
      <c r="C129" s="75"/>
      <c r="D129" s="75"/>
      <c r="E129" s="75"/>
      <c r="F129" s="75"/>
      <c r="G129" s="75"/>
      <c r="H129" s="75"/>
      <c r="I129" s="75"/>
      <c r="J129" s="75">
        <f t="shared" si="31"/>
        <v>0</v>
      </c>
      <c r="K129" s="75"/>
    </row>
    <row r="130" ht="15.6">
      <c r="A130" s="112" t="s">
        <v>249</v>
      </c>
      <c r="B130" s="112"/>
      <c r="C130" s="75"/>
      <c r="D130" s="75"/>
      <c r="E130" s="75"/>
      <c r="F130" s="75"/>
      <c r="G130" s="75"/>
      <c r="H130" s="75"/>
      <c r="I130" s="75"/>
      <c r="J130" s="75">
        <f t="shared" si="31"/>
        <v>0</v>
      </c>
      <c r="K130" s="75"/>
    </row>
    <row r="131" ht="15.6">
      <c r="A131" s="114"/>
      <c r="B131" s="117"/>
      <c r="C131" s="109"/>
      <c r="D131" s="117"/>
      <c r="E131" s="117"/>
      <c r="F131" s="117"/>
      <c r="G131" s="119"/>
    </row>
    <row r="132" ht="15.6">
      <c r="C132" s="108" t="s">
        <v>250</v>
      </c>
      <c r="D132" s="109"/>
      <c r="E132" s="109"/>
      <c r="F132" s="109"/>
      <c r="G132" s="109"/>
    </row>
    <row r="133" ht="15.6" customHeight="1">
      <c r="A133" s="54" t="s">
        <v>57</v>
      </c>
      <c r="B133" s="54" t="s">
        <v>95</v>
      </c>
      <c r="C133" s="111" t="s">
        <v>178</v>
      </c>
      <c r="D133" s="111"/>
      <c r="E133" s="75" t="s">
        <v>237</v>
      </c>
      <c r="F133" s="75" t="s">
        <v>180</v>
      </c>
      <c r="G133" s="75"/>
      <c r="H133" s="75" t="s">
        <v>238</v>
      </c>
      <c r="I133" s="75" t="s">
        <v>239</v>
      </c>
      <c r="J133" s="111" t="s">
        <v>183</v>
      </c>
      <c r="K133" s="111"/>
    </row>
    <row r="134" ht="46.950000000000003" customHeight="1">
      <c r="A134" s="54"/>
      <c r="B134" s="54"/>
      <c r="C134" s="75" t="s">
        <v>240</v>
      </c>
      <c r="D134" s="113" t="s">
        <v>241</v>
      </c>
      <c r="E134" s="75"/>
      <c r="F134" s="75" t="s">
        <v>240</v>
      </c>
      <c r="G134" s="113" t="s">
        <v>242</v>
      </c>
      <c r="H134" s="75"/>
      <c r="I134" s="75"/>
      <c r="J134" s="75" t="s">
        <v>240</v>
      </c>
      <c r="K134" s="113" t="s">
        <v>241</v>
      </c>
    </row>
    <row r="135" ht="15.6">
      <c r="A135" s="112" t="s">
        <v>243</v>
      </c>
      <c r="B135" s="112">
        <v>1210</v>
      </c>
      <c r="C135" s="75">
        <f t="shared" ref="C135:C142" si="32">J123</f>
        <v>0</v>
      </c>
      <c r="D135" s="75">
        <f t="shared" ref="D135:D142" si="33">K123</f>
        <v>0</v>
      </c>
      <c r="E135" s="75">
        <f>SUM(E136:E142)</f>
        <v>0</v>
      </c>
      <c r="F135" s="75">
        <f>SUM(F136:F142)</f>
        <v>0</v>
      </c>
      <c r="G135" s="75">
        <f>SUM(G136:G142)</f>
        <v>0</v>
      </c>
      <c r="H135" s="75">
        <f>SUM(H136:H142)</f>
        <v>0</v>
      </c>
      <c r="I135" s="75">
        <f>SUM(I136:I142)</f>
        <v>0</v>
      </c>
      <c r="J135" s="75">
        <f>SUM(J136:J142)</f>
        <v>0</v>
      </c>
      <c r="K135" s="75"/>
      <c r="L135" s="101">
        <f>J135-'1'!C17</f>
        <v>-3359236</v>
      </c>
    </row>
    <row r="136" ht="15.6">
      <c r="A136" s="112" t="s">
        <v>153</v>
      </c>
      <c r="C136" s="75">
        <f t="shared" si="32"/>
        <v>0</v>
      </c>
      <c r="D136" s="75">
        <f t="shared" si="33"/>
        <v>0</v>
      </c>
      <c r="E136" s="75"/>
      <c r="F136" s="75"/>
      <c r="G136" s="75"/>
      <c r="H136" s="75"/>
      <c r="I136" s="75"/>
      <c r="J136" s="75">
        <f>C136+E136-F136+I136</f>
        <v>0</v>
      </c>
      <c r="K136" s="75"/>
    </row>
    <row r="137" ht="28.550000000000001">
      <c r="A137" s="112" t="s">
        <v>244</v>
      </c>
      <c r="B137" s="112">
        <v>1211</v>
      </c>
      <c r="C137" s="75">
        <f t="shared" si="32"/>
        <v>0</v>
      </c>
      <c r="D137" s="75">
        <f t="shared" si="33"/>
        <v>0</v>
      </c>
      <c r="E137" s="75"/>
      <c r="F137" s="75"/>
      <c r="G137" s="75"/>
      <c r="H137" s="75"/>
      <c r="I137" s="75"/>
      <c r="J137" s="75">
        <f t="shared" ref="J137:J142" si="34">C137+E137+F137+I137</f>
        <v>0</v>
      </c>
      <c r="K137" s="75"/>
    </row>
    <row r="138" ht="28.550000000000001">
      <c r="A138" s="112" t="s">
        <v>245</v>
      </c>
      <c r="B138" s="112">
        <v>1212</v>
      </c>
      <c r="C138" s="75">
        <f t="shared" si="32"/>
        <v>0</v>
      </c>
      <c r="D138" s="75">
        <f t="shared" si="33"/>
        <v>0</v>
      </c>
      <c r="E138" s="75"/>
      <c r="F138" s="75"/>
      <c r="G138" s="75"/>
      <c r="H138" s="75"/>
      <c r="I138" s="75"/>
      <c r="J138" s="75">
        <f t="shared" si="34"/>
        <v>0</v>
      </c>
      <c r="K138" s="75"/>
    </row>
    <row r="139" ht="15.6">
      <c r="A139" s="112" t="s">
        <v>246</v>
      </c>
      <c r="B139" s="112">
        <v>1213</v>
      </c>
      <c r="C139" s="75">
        <f t="shared" si="32"/>
        <v>0</v>
      </c>
      <c r="D139" s="75">
        <f t="shared" si="33"/>
        <v>0</v>
      </c>
      <c r="E139" s="75"/>
      <c r="F139" s="75"/>
      <c r="G139" s="75"/>
      <c r="H139" s="75"/>
      <c r="I139" s="75"/>
      <c r="J139" s="75">
        <f t="shared" si="34"/>
        <v>0</v>
      </c>
      <c r="K139" s="75"/>
    </row>
    <row r="140" ht="15.6">
      <c r="A140" s="112" t="s">
        <v>247</v>
      </c>
      <c r="B140" s="112">
        <v>1214</v>
      </c>
      <c r="C140" s="75">
        <f t="shared" si="32"/>
        <v>0</v>
      </c>
      <c r="D140" s="75">
        <f t="shared" si="33"/>
        <v>0</v>
      </c>
      <c r="E140" s="75"/>
      <c r="F140" s="75"/>
      <c r="G140" s="75"/>
      <c r="H140" s="75"/>
      <c r="I140" s="75"/>
      <c r="J140" s="75">
        <f t="shared" si="34"/>
        <v>0</v>
      </c>
      <c r="K140" s="75"/>
    </row>
    <row r="141" ht="15.6">
      <c r="A141" s="112" t="s">
        <v>248</v>
      </c>
      <c r="B141" s="112"/>
      <c r="C141" s="75">
        <f t="shared" si="32"/>
        <v>0</v>
      </c>
      <c r="D141" s="75">
        <f t="shared" si="33"/>
        <v>0</v>
      </c>
      <c r="E141" s="75"/>
      <c r="F141" s="75"/>
      <c r="G141" s="75"/>
      <c r="H141" s="75"/>
      <c r="I141" s="75"/>
      <c r="J141" s="75"/>
      <c r="K141" s="75"/>
    </row>
    <row r="142" ht="15.6">
      <c r="A142" s="112" t="s">
        <v>249</v>
      </c>
      <c r="B142" s="112"/>
      <c r="C142" s="75">
        <f t="shared" si="32"/>
        <v>0</v>
      </c>
      <c r="D142" s="75">
        <f t="shared" si="33"/>
        <v>0</v>
      </c>
      <c r="E142" s="75"/>
      <c r="F142" s="75"/>
      <c r="G142" s="75"/>
      <c r="H142" s="75"/>
      <c r="I142" s="75"/>
      <c r="J142" s="75">
        <f t="shared" si="34"/>
        <v>0</v>
      </c>
      <c r="K142" s="75"/>
    </row>
    <row r="143" ht="15.6">
      <c r="G143" s="119"/>
    </row>
    <row r="144" ht="15.6">
      <c r="C144" s="108" t="s">
        <v>251</v>
      </c>
      <c r="D144" s="109"/>
      <c r="E144" s="109"/>
      <c r="F144" s="109"/>
      <c r="G144" s="109"/>
    </row>
    <row r="145" s="109" customFormat="1" ht="25.5" customHeight="1">
      <c r="A145" s="110" t="s">
        <v>177</v>
      </c>
      <c r="B145" s="111" t="s">
        <v>178</v>
      </c>
      <c r="C145" s="111"/>
      <c r="D145" s="75" t="s">
        <v>252</v>
      </c>
      <c r="E145" s="75"/>
      <c r="F145" s="75" t="s">
        <v>253</v>
      </c>
      <c r="G145" s="75"/>
      <c r="H145" s="75"/>
      <c r="I145" s="111" t="s">
        <v>254</v>
      </c>
      <c r="J145" s="111" t="s">
        <v>183</v>
      </c>
      <c r="K145" s="111"/>
    </row>
    <row r="146" ht="55.600000000000001">
      <c r="A146" s="112" t="s">
        <v>184</v>
      </c>
      <c r="B146" s="75" t="s">
        <v>255</v>
      </c>
      <c r="C146" s="113" t="s">
        <v>256</v>
      </c>
      <c r="D146" s="125" t="s">
        <v>257</v>
      </c>
      <c r="E146" s="123" t="s">
        <v>258</v>
      </c>
      <c r="F146" s="124" t="s">
        <v>259</v>
      </c>
      <c r="G146" s="125" t="s">
        <v>260</v>
      </c>
      <c r="H146" s="123" t="s">
        <v>261</v>
      </c>
      <c r="I146" s="111"/>
      <c r="J146" s="75" t="s">
        <v>255</v>
      </c>
      <c r="K146" s="113" t="s">
        <v>256</v>
      </c>
    </row>
    <row r="147" ht="28.550000000000001">
      <c r="A147" s="112" t="s">
        <v>262</v>
      </c>
      <c r="B147" s="75"/>
      <c r="C147" s="75">
        <f>SUM(C149:C151)</f>
        <v>0</v>
      </c>
      <c r="D147" s="75">
        <f>SUM(D149:D151)</f>
        <v>0</v>
      </c>
      <c r="E147" s="75">
        <f>SUM(E149:E151)</f>
        <v>0</v>
      </c>
      <c r="F147" s="75">
        <f>SUM(F149:F151)</f>
        <v>0</v>
      </c>
      <c r="G147" s="75">
        <f>SUM(G149:G151)</f>
        <v>0</v>
      </c>
      <c r="H147" s="75">
        <f>SUM(H149:H151)</f>
        <v>0</v>
      </c>
      <c r="I147" s="75">
        <f>SUM(I149:I151)</f>
        <v>0</v>
      </c>
      <c r="J147" s="75">
        <f t="shared" ref="J147:J157" si="35">B147+D147+E147+F147+G147</f>
        <v>0</v>
      </c>
      <c r="K147" s="75">
        <f>SUM(K149:K151)</f>
        <v>0</v>
      </c>
    </row>
    <row r="148" ht="15.6">
      <c r="A148" s="112" t="s">
        <v>153</v>
      </c>
      <c r="B148" s="75"/>
      <c r="C148" s="75"/>
      <c r="D148" s="75"/>
      <c r="E148" s="75"/>
      <c r="F148" s="75"/>
      <c r="G148" s="75"/>
      <c r="H148" s="75"/>
      <c r="I148" s="75"/>
      <c r="J148" s="75">
        <f t="shared" si="35"/>
        <v>0</v>
      </c>
      <c r="K148" s="75"/>
    </row>
    <row r="149" ht="15.6">
      <c r="A149" s="112" t="s">
        <v>263</v>
      </c>
      <c r="B149" s="75"/>
      <c r="C149" s="75"/>
      <c r="D149" s="75"/>
      <c r="E149" s="75"/>
      <c r="F149" s="75"/>
      <c r="G149" s="75"/>
      <c r="H149" s="75"/>
      <c r="I149" s="75"/>
      <c r="J149" s="75">
        <f t="shared" si="35"/>
        <v>0</v>
      </c>
      <c r="K149" s="75"/>
    </row>
    <row r="150" ht="15.6">
      <c r="A150" s="112" t="s">
        <v>264</v>
      </c>
      <c r="B150" s="75"/>
      <c r="C150" s="75"/>
      <c r="D150" s="75"/>
      <c r="E150" s="75"/>
      <c r="F150" s="75"/>
      <c r="G150" s="75"/>
      <c r="H150" s="75"/>
      <c r="I150" s="75"/>
      <c r="J150" s="75">
        <f t="shared" si="35"/>
        <v>0</v>
      </c>
      <c r="K150" s="75"/>
    </row>
    <row r="151" ht="15.6">
      <c r="A151" s="112" t="s">
        <v>265</v>
      </c>
      <c r="B151" s="75"/>
      <c r="C151" s="75"/>
      <c r="D151" s="75"/>
      <c r="E151" s="75"/>
      <c r="F151" s="75"/>
      <c r="G151" s="75"/>
      <c r="H151" s="75"/>
      <c r="I151" s="75"/>
      <c r="J151" s="75">
        <f t="shared" si="35"/>
        <v>0</v>
      </c>
      <c r="K151" s="75"/>
    </row>
    <row r="152" ht="28.550000000000001">
      <c r="A152" s="112" t="s">
        <v>266</v>
      </c>
      <c r="B152" s="75"/>
      <c r="C152" s="75">
        <f>SUM(C154:C156)</f>
        <v>0</v>
      </c>
      <c r="D152" s="75">
        <f>SUM(D154:D156)</f>
        <v>0</v>
      </c>
      <c r="E152" s="75">
        <f>SUM(E154:E156)</f>
        <v>0</v>
      </c>
      <c r="F152" s="75">
        <f>SUM(F154:F156)</f>
        <v>0</v>
      </c>
      <c r="G152" s="75">
        <f>SUM(G154:G156)</f>
        <v>0</v>
      </c>
      <c r="H152" s="75">
        <f>SUM(H154:H156)</f>
        <v>0</v>
      </c>
      <c r="I152" s="75">
        <f>SUM(I154:I156)</f>
        <v>0</v>
      </c>
      <c r="J152" s="75">
        <f t="shared" si="35"/>
        <v>0</v>
      </c>
      <c r="K152" s="75">
        <f>SUM(K154:K156)</f>
        <v>0</v>
      </c>
      <c r="L152" s="101">
        <f>B152-'1'!E19+B147</f>
        <v>-3241082</v>
      </c>
      <c r="M152" s="101">
        <f>J152+J151-'1'!D19+K152</f>
        <v>-3097566</v>
      </c>
    </row>
    <row r="153" ht="15.6">
      <c r="A153" s="112" t="s">
        <v>153</v>
      </c>
      <c r="B153" s="75"/>
      <c r="C153" s="75"/>
      <c r="D153" s="75"/>
      <c r="E153" s="75"/>
      <c r="F153" s="75"/>
      <c r="G153" s="75"/>
      <c r="H153" s="75"/>
      <c r="I153" s="75"/>
      <c r="J153" s="75">
        <f t="shared" si="35"/>
        <v>0</v>
      </c>
      <c r="K153" s="75"/>
    </row>
    <row r="154" ht="15.6">
      <c r="A154" s="112" t="s">
        <v>263</v>
      </c>
      <c r="B154" s="75"/>
      <c r="C154" s="75"/>
      <c r="D154" s="75"/>
      <c r="E154" s="75"/>
      <c r="F154" s="75"/>
      <c r="G154" s="75"/>
      <c r="H154" s="75"/>
      <c r="I154" s="75"/>
      <c r="J154" s="75">
        <f t="shared" si="35"/>
        <v>0</v>
      </c>
      <c r="K154" s="75"/>
    </row>
    <row r="155" ht="15.6">
      <c r="A155" s="112" t="s">
        <v>264</v>
      </c>
      <c r="B155" s="75"/>
      <c r="C155" s="75"/>
      <c r="D155" s="75"/>
      <c r="E155" s="75"/>
      <c r="F155" s="75"/>
      <c r="G155" s="75"/>
      <c r="H155" s="75"/>
      <c r="I155" s="75"/>
      <c r="J155" s="75">
        <f t="shared" si="35"/>
        <v>0</v>
      </c>
      <c r="K155" s="75"/>
    </row>
    <row r="156" ht="15.6">
      <c r="A156" s="112" t="s">
        <v>265</v>
      </c>
      <c r="B156" s="75"/>
      <c r="C156" s="75"/>
      <c r="D156" s="75"/>
      <c r="E156" s="75"/>
      <c r="F156" s="75"/>
      <c r="G156" s="75"/>
      <c r="H156" s="75"/>
      <c r="I156" s="75"/>
      <c r="J156" s="75">
        <f t="shared" si="35"/>
        <v>0</v>
      </c>
      <c r="K156" s="75"/>
    </row>
    <row r="157" ht="15.6">
      <c r="A157" s="112" t="s">
        <v>98</v>
      </c>
      <c r="B157" s="75"/>
      <c r="C157" s="75">
        <f>C147+C152</f>
        <v>0</v>
      </c>
      <c r="D157" s="75">
        <f>D147+D152</f>
        <v>0</v>
      </c>
      <c r="E157" s="75">
        <f>E147+E152</f>
        <v>0</v>
      </c>
      <c r="F157" s="75">
        <f>F147+F152</f>
        <v>0</v>
      </c>
      <c r="G157" s="75">
        <f>G147+G152</f>
        <v>0</v>
      </c>
      <c r="H157" s="75">
        <f>H147+H152</f>
        <v>0</v>
      </c>
      <c r="I157" s="75">
        <f>I147+I152</f>
        <v>0</v>
      </c>
      <c r="J157" s="75">
        <f t="shared" si="35"/>
        <v>0</v>
      </c>
      <c r="K157" s="75">
        <f>K147+K152</f>
        <v>0</v>
      </c>
    </row>
    <row r="158" ht="15.6">
      <c r="A158" s="114"/>
      <c r="B158" s="117">
        <f>'1'!E19-B157</f>
        <v>3241082</v>
      </c>
      <c r="C158" s="117"/>
      <c r="D158" s="117"/>
      <c r="E158" s="117"/>
      <c r="F158" s="117"/>
      <c r="G158" s="117"/>
      <c r="J158" s="101">
        <f>'1'!D19-'5'!J157</f>
        <v>3097566</v>
      </c>
    </row>
    <row r="159" ht="15.6">
      <c r="C159" s="108" t="s">
        <v>267</v>
      </c>
      <c r="D159" s="109"/>
      <c r="E159" s="109"/>
      <c r="F159" s="109"/>
      <c r="G159" s="109"/>
    </row>
    <row r="160" ht="12.75" customHeight="1">
      <c r="A160" s="110" t="s">
        <v>177</v>
      </c>
      <c r="B160" s="111" t="s">
        <v>178</v>
      </c>
      <c r="C160" s="111"/>
      <c r="D160" s="75" t="s">
        <v>252</v>
      </c>
      <c r="E160" s="75"/>
      <c r="F160" s="75" t="s">
        <v>253</v>
      </c>
      <c r="G160" s="75"/>
      <c r="H160" s="75"/>
      <c r="I160" s="111" t="s">
        <v>254</v>
      </c>
      <c r="J160" s="111" t="s">
        <v>183</v>
      </c>
      <c r="K160" s="111"/>
    </row>
    <row r="161" ht="45" customHeight="1">
      <c r="A161" s="112" t="s">
        <v>184</v>
      </c>
      <c r="B161" s="75" t="s">
        <v>255</v>
      </c>
      <c r="C161" s="113" t="s">
        <v>256</v>
      </c>
      <c r="D161" s="125" t="s">
        <v>257</v>
      </c>
      <c r="E161" s="123" t="s">
        <v>258</v>
      </c>
      <c r="F161" s="124" t="s">
        <v>259</v>
      </c>
      <c r="G161" s="125" t="s">
        <v>260</v>
      </c>
      <c r="H161" s="123" t="s">
        <v>261</v>
      </c>
      <c r="I161" s="111"/>
      <c r="J161" s="75" t="s">
        <v>255</v>
      </c>
      <c r="K161" s="113" t="s">
        <v>256</v>
      </c>
    </row>
    <row r="162" ht="28.550000000000001">
      <c r="A162" s="112" t="s">
        <v>262</v>
      </c>
      <c r="B162" s="75">
        <f t="shared" ref="B162:B172" si="36">J147</f>
        <v>0</v>
      </c>
      <c r="C162" s="75">
        <f t="shared" ref="C162:C172" si="37">K147</f>
        <v>0</v>
      </c>
      <c r="D162" s="75">
        <f>SUM(D164:D166)</f>
        <v>0</v>
      </c>
      <c r="E162" s="75">
        <f>SUM(E164:E166)</f>
        <v>0</v>
      </c>
      <c r="F162" s="75">
        <f>SUM(F164:F166)</f>
        <v>0</v>
      </c>
      <c r="G162" s="75">
        <f>SUM(G164:G166)</f>
        <v>0</v>
      </c>
      <c r="H162" s="75">
        <f>SUM(H164:H166)</f>
        <v>0</v>
      </c>
      <c r="I162" s="75">
        <f>SUM(I164:I166)</f>
        <v>0</v>
      </c>
      <c r="J162" s="75">
        <f>SUM(J164:J166)</f>
        <v>0</v>
      </c>
      <c r="K162" s="75">
        <f>SUM(K164:K166)</f>
        <v>0</v>
      </c>
    </row>
    <row r="163" ht="15.6">
      <c r="A163" s="112" t="s">
        <v>153</v>
      </c>
      <c r="B163" s="75">
        <f t="shared" si="36"/>
        <v>0</v>
      </c>
      <c r="C163" s="75">
        <f t="shared" si="37"/>
        <v>0</v>
      </c>
      <c r="D163" s="75"/>
      <c r="E163" s="75"/>
      <c r="F163" s="75"/>
      <c r="G163" s="75"/>
      <c r="H163" s="75"/>
      <c r="I163" s="75"/>
      <c r="J163" s="75">
        <f t="shared" ref="J163:J172" si="38">B163+D163+E163+F163+G163+I163</f>
        <v>0</v>
      </c>
      <c r="K163" s="75"/>
    </row>
    <row r="164" ht="15.6">
      <c r="A164" s="112" t="s">
        <v>263</v>
      </c>
      <c r="B164" s="75">
        <f t="shared" si="36"/>
        <v>0</v>
      </c>
      <c r="C164" s="75">
        <f t="shared" si="37"/>
        <v>0</v>
      </c>
      <c r="D164" s="75"/>
      <c r="E164" s="75"/>
      <c r="F164" s="75"/>
      <c r="G164" s="75"/>
      <c r="H164" s="75"/>
      <c r="I164" s="75">
        <f>-B162</f>
        <v>0</v>
      </c>
      <c r="J164" s="75">
        <f t="shared" si="38"/>
        <v>0</v>
      </c>
      <c r="K164" s="75"/>
    </row>
    <row r="165" ht="15.6">
      <c r="A165" s="112" t="s">
        <v>264</v>
      </c>
      <c r="B165" s="75">
        <f t="shared" si="36"/>
        <v>0</v>
      </c>
      <c r="C165" s="75">
        <f t="shared" si="37"/>
        <v>0</v>
      </c>
      <c r="D165" s="75"/>
      <c r="E165" s="75"/>
      <c r="F165" s="75"/>
      <c r="G165" s="75"/>
      <c r="H165" s="75"/>
      <c r="I165" s="75"/>
      <c r="J165" s="75">
        <f t="shared" si="38"/>
        <v>0</v>
      </c>
      <c r="K165" s="75"/>
    </row>
    <row r="166" ht="15.6">
      <c r="A166" s="112" t="s">
        <v>265</v>
      </c>
      <c r="B166" s="75">
        <f t="shared" si="36"/>
        <v>0</v>
      </c>
      <c r="C166" s="75">
        <f t="shared" si="37"/>
        <v>0</v>
      </c>
      <c r="D166" s="75"/>
      <c r="E166" s="75"/>
      <c r="F166" s="75"/>
      <c r="G166" s="75"/>
      <c r="H166" s="75"/>
      <c r="I166" s="75"/>
      <c r="J166" s="75">
        <f t="shared" si="38"/>
        <v>0</v>
      </c>
      <c r="K166" s="75"/>
    </row>
    <row r="167" ht="28.550000000000001">
      <c r="A167" s="112" t="s">
        <v>266</v>
      </c>
      <c r="B167" s="75">
        <f t="shared" si="36"/>
        <v>0</v>
      </c>
      <c r="C167" s="75">
        <f t="shared" si="37"/>
        <v>0</v>
      </c>
      <c r="D167" s="75">
        <f>SUM(D169:D171)</f>
        <v>0</v>
      </c>
      <c r="E167" s="75">
        <f>SUM(E169:E171)</f>
        <v>0</v>
      </c>
      <c r="F167" s="75">
        <f>SUM(F169:F171)</f>
        <v>0</v>
      </c>
      <c r="G167" s="75">
        <f>SUM(G169:G171)</f>
        <v>0</v>
      </c>
      <c r="H167" s="75">
        <f>-C167</f>
        <v>0</v>
      </c>
      <c r="I167" s="75">
        <f>SUM(I169:I171)</f>
        <v>0</v>
      </c>
      <c r="J167" s="75">
        <f t="shared" si="38"/>
        <v>0</v>
      </c>
      <c r="K167" s="75"/>
      <c r="L167" s="101">
        <f>J167+K167-'1'!C19</f>
        <v>-2703825</v>
      </c>
    </row>
    <row r="168" ht="15.6">
      <c r="A168" s="112" t="s">
        <v>153</v>
      </c>
      <c r="B168" s="75">
        <f t="shared" si="36"/>
        <v>0</v>
      </c>
      <c r="C168" s="75">
        <f t="shared" si="37"/>
        <v>0</v>
      </c>
      <c r="D168" s="75"/>
      <c r="E168" s="75"/>
      <c r="F168" s="75"/>
      <c r="G168" s="75"/>
      <c r="H168" s="75"/>
      <c r="I168" s="75"/>
      <c r="J168" s="75">
        <f t="shared" si="38"/>
        <v>0</v>
      </c>
      <c r="K168" s="75"/>
    </row>
    <row r="169" ht="15.6">
      <c r="A169" s="112" t="s">
        <v>263</v>
      </c>
      <c r="B169" s="75">
        <f t="shared" si="36"/>
        <v>0</v>
      </c>
      <c r="C169" s="75"/>
      <c r="D169" s="75"/>
      <c r="E169" s="75"/>
      <c r="F169" s="75"/>
      <c r="G169" s="75"/>
      <c r="H169" s="75"/>
      <c r="I169" s="75"/>
      <c r="J169" s="75">
        <f t="shared" si="38"/>
        <v>0</v>
      </c>
      <c r="K169" s="75"/>
    </row>
    <row r="170" ht="15.6">
      <c r="A170" s="112" t="s">
        <v>264</v>
      </c>
      <c r="B170" s="75">
        <f t="shared" si="36"/>
        <v>0</v>
      </c>
      <c r="C170" s="75"/>
      <c r="D170" s="75"/>
      <c r="E170" s="75"/>
      <c r="F170" s="75"/>
      <c r="G170" s="75"/>
      <c r="H170" s="75"/>
      <c r="I170" s="75"/>
      <c r="J170" s="75">
        <f t="shared" si="38"/>
        <v>0</v>
      </c>
      <c r="K170" s="75"/>
    </row>
    <row r="171" ht="15.6">
      <c r="A171" s="112" t="s">
        <v>265</v>
      </c>
      <c r="B171" s="75">
        <f t="shared" si="36"/>
        <v>0</v>
      </c>
      <c r="C171" s="75">
        <f t="shared" si="37"/>
        <v>0</v>
      </c>
      <c r="D171" s="75"/>
      <c r="E171" s="75"/>
      <c r="F171" s="75"/>
      <c r="G171" s="75"/>
      <c r="H171" s="75"/>
      <c r="I171" s="75"/>
      <c r="J171" s="75">
        <f t="shared" si="38"/>
        <v>0</v>
      </c>
      <c r="K171" s="75"/>
    </row>
    <row r="172" ht="15.6">
      <c r="A172" s="112" t="s">
        <v>98</v>
      </c>
      <c r="B172" s="75">
        <f t="shared" si="36"/>
        <v>0</v>
      </c>
      <c r="C172" s="75">
        <f t="shared" si="37"/>
        <v>0</v>
      </c>
      <c r="D172" s="75">
        <f>D162+D167</f>
        <v>0</v>
      </c>
      <c r="E172" s="75">
        <f>E162+E167</f>
        <v>0</v>
      </c>
      <c r="F172" s="75">
        <f>F162+F167</f>
        <v>0</v>
      </c>
      <c r="G172" s="75">
        <f>G162+G167</f>
        <v>0</v>
      </c>
      <c r="H172" s="75">
        <f>H162+H167</f>
        <v>0</v>
      </c>
      <c r="I172" s="75">
        <f>I162+I167</f>
        <v>0</v>
      </c>
      <c r="J172" s="75">
        <f t="shared" si="38"/>
        <v>0</v>
      </c>
      <c r="K172" s="75">
        <f>K162+K167</f>
        <v>0</v>
      </c>
    </row>
    <row r="173" ht="15.6">
      <c r="A173" s="114"/>
      <c r="B173" s="101">
        <f>'1'!D19-B172</f>
        <v>3097566</v>
      </c>
      <c r="J173" s="101">
        <f>'1'!C19-J172-K172</f>
        <v>2703825</v>
      </c>
    </row>
    <row r="174" ht="15.6">
      <c r="A174" s="114"/>
      <c r="C174" s="120" t="s">
        <v>268</v>
      </c>
    </row>
    <row r="175" ht="15.6" customHeight="1">
      <c r="A175" s="75" t="s">
        <v>57</v>
      </c>
      <c r="B175" s="75" t="s">
        <v>269</v>
      </c>
      <c r="C175" s="75" t="s">
        <v>15</v>
      </c>
      <c r="D175" s="75"/>
      <c r="E175" s="75" t="s">
        <v>211</v>
      </c>
      <c r="F175" s="75"/>
      <c r="G175" s="75" t="s">
        <v>212</v>
      </c>
      <c r="H175" s="75"/>
    </row>
    <row r="176" ht="42.100000000000001">
      <c r="A176" s="75"/>
      <c r="B176" s="75"/>
      <c r="C176" s="75" t="s">
        <v>255</v>
      </c>
      <c r="D176" s="75" t="s">
        <v>270</v>
      </c>
      <c r="E176" s="75" t="s">
        <v>255</v>
      </c>
      <c r="F176" s="75" t="s">
        <v>270</v>
      </c>
      <c r="G176" s="75" t="s">
        <v>255</v>
      </c>
      <c r="H176" s="75" t="s">
        <v>270</v>
      </c>
    </row>
    <row r="177" ht="28.550000000000001">
      <c r="A177" s="112" t="s">
        <v>271</v>
      </c>
      <c r="B177" s="75">
        <v>5540</v>
      </c>
      <c r="C177" s="75">
        <f>SUM(C179:C181)</f>
        <v>0</v>
      </c>
      <c r="D177" s="75">
        <f>SUM(D179:D181)</f>
        <v>0</v>
      </c>
      <c r="E177" s="75">
        <f>SUM(E179:E181)</f>
        <v>0</v>
      </c>
      <c r="F177" s="75">
        <f>SUM(F179:F181)</f>
        <v>0</v>
      </c>
      <c r="G177" s="75">
        <f>SUM(G179:G181)</f>
        <v>0</v>
      </c>
      <c r="H177" s="75">
        <f>SUM(H179:H181)</f>
        <v>0</v>
      </c>
    </row>
    <row r="178" ht="15.6">
      <c r="A178" s="112" t="s">
        <v>153</v>
      </c>
      <c r="B178" s="75"/>
      <c r="C178" s="75"/>
      <c r="D178" s="75"/>
      <c r="E178" s="75"/>
      <c r="F178" s="75"/>
      <c r="G178" s="75"/>
      <c r="H178" s="75"/>
    </row>
    <row r="179" ht="15.6">
      <c r="A179" s="112" t="s">
        <v>263</v>
      </c>
      <c r="B179" s="75"/>
      <c r="C179" s="75"/>
      <c r="D179" s="75"/>
      <c r="E179" s="75"/>
      <c r="F179" s="75"/>
      <c r="G179" s="75"/>
      <c r="H179" s="75"/>
    </row>
    <row r="180" ht="15.6">
      <c r="A180" s="112" t="s">
        <v>264</v>
      </c>
      <c r="B180" s="75"/>
      <c r="C180" s="75"/>
      <c r="D180" s="75"/>
      <c r="E180" s="75"/>
      <c r="F180" s="75"/>
      <c r="G180" s="75"/>
      <c r="H180" s="75"/>
    </row>
    <row r="181" ht="15.6">
      <c r="A181" s="112" t="s">
        <v>265</v>
      </c>
      <c r="B181" s="75"/>
      <c r="C181" s="75"/>
      <c r="D181" s="75"/>
      <c r="E181" s="75"/>
      <c r="F181" s="75"/>
      <c r="G181" s="75"/>
      <c r="H181" s="75"/>
    </row>
    <row r="182" ht="15.6">
      <c r="A182" s="114"/>
    </row>
    <row r="183" ht="15.6">
      <c r="A183" s="114"/>
    </row>
    <row r="184" ht="15.6">
      <c r="A184" s="114"/>
      <c r="C184" s="120" t="s">
        <v>272</v>
      </c>
      <c r="D184" s="109"/>
      <c r="E184" s="109"/>
      <c r="F184" s="109"/>
    </row>
    <row r="185" ht="15.75" customHeight="1">
      <c r="A185" s="110" t="s">
        <v>177</v>
      </c>
      <c r="B185" s="111" t="s">
        <v>273</v>
      </c>
      <c r="C185" s="75" t="s">
        <v>252</v>
      </c>
      <c r="D185" s="75"/>
      <c r="E185" s="128" t="s">
        <v>253</v>
      </c>
      <c r="F185" s="128"/>
      <c r="G185" s="111" t="s">
        <v>254</v>
      </c>
      <c r="H185" s="111" t="s">
        <v>274</v>
      </c>
    </row>
    <row r="186" ht="55.600000000000001">
      <c r="A186" s="112" t="s">
        <v>184</v>
      </c>
      <c r="B186" s="111"/>
      <c r="C186" s="125" t="s">
        <v>257</v>
      </c>
      <c r="D186" s="123" t="s">
        <v>258</v>
      </c>
      <c r="E186" s="124" t="s">
        <v>259</v>
      </c>
      <c r="F186" s="125" t="s">
        <v>260</v>
      </c>
      <c r="G186" s="111"/>
      <c r="H186" s="111"/>
    </row>
    <row r="187" ht="28.550000000000001">
      <c r="A187" s="112" t="s">
        <v>275</v>
      </c>
      <c r="B187" s="75">
        <v>0</v>
      </c>
      <c r="C187" s="75">
        <v>0</v>
      </c>
      <c r="D187" s="75">
        <f>SUM(D189:D194)</f>
        <v>0</v>
      </c>
      <c r="E187" s="75">
        <f>SUM(E189:E194)</f>
        <v>0</v>
      </c>
      <c r="F187" s="75">
        <f>SUM(F189:F194)</f>
        <v>0</v>
      </c>
      <c r="G187" s="75">
        <f>SUM(G189:G194)</f>
        <v>0</v>
      </c>
      <c r="H187" s="75">
        <f t="shared" ref="H187:H194" si="39">B187+C187-E187-F187</f>
        <v>0</v>
      </c>
    </row>
    <row r="188" ht="15.6">
      <c r="A188" s="112" t="s">
        <v>153</v>
      </c>
      <c r="B188" s="75">
        <v>0</v>
      </c>
      <c r="C188" s="75"/>
      <c r="D188" s="75"/>
      <c r="E188" s="75"/>
      <c r="F188" s="75"/>
      <c r="G188" s="75"/>
      <c r="H188" s="75">
        <f t="shared" si="39"/>
        <v>0</v>
      </c>
    </row>
    <row r="189" ht="15.6">
      <c r="A189" s="112" t="s">
        <v>276</v>
      </c>
      <c r="B189" s="75">
        <v>0</v>
      </c>
      <c r="C189" s="75"/>
      <c r="D189" s="75"/>
      <c r="E189" s="75"/>
      <c r="F189" s="75"/>
      <c r="G189" s="75"/>
      <c r="H189" s="75">
        <f t="shared" si="39"/>
        <v>0</v>
      </c>
    </row>
    <row r="190" ht="15.6">
      <c r="A190" s="112" t="s">
        <v>277</v>
      </c>
      <c r="B190" s="75">
        <v>0</v>
      </c>
      <c r="C190" s="75"/>
      <c r="D190" s="75"/>
      <c r="E190" s="75"/>
      <c r="F190" s="75"/>
      <c r="G190" s="75"/>
      <c r="H190" s="75">
        <f t="shared" si="39"/>
        <v>0</v>
      </c>
    </row>
    <row r="191" ht="28.550000000000001">
      <c r="A191" s="112" t="s">
        <v>278</v>
      </c>
      <c r="B191" s="75">
        <v>0</v>
      </c>
      <c r="C191" s="75"/>
      <c r="D191" s="75"/>
      <c r="E191" s="75"/>
      <c r="F191" s="75"/>
      <c r="G191" s="75"/>
      <c r="H191" s="75">
        <f t="shared" si="39"/>
        <v>0</v>
      </c>
    </row>
    <row r="192" ht="42.100000000000001">
      <c r="A192" s="112" t="s">
        <v>279</v>
      </c>
      <c r="B192" s="75">
        <v>0</v>
      </c>
      <c r="C192" s="75"/>
      <c r="D192" s="75"/>
      <c r="E192" s="75"/>
      <c r="F192" s="75"/>
      <c r="G192" s="75"/>
      <c r="H192" s="75">
        <f t="shared" si="39"/>
        <v>0</v>
      </c>
    </row>
    <row r="193" ht="28.550000000000001">
      <c r="A193" s="112" t="s">
        <v>280</v>
      </c>
      <c r="B193" s="75">
        <v>0</v>
      </c>
      <c r="C193" s="75"/>
      <c r="D193" s="75"/>
      <c r="E193" s="75"/>
      <c r="F193" s="75"/>
      <c r="G193" s="75"/>
      <c r="H193" s="75">
        <f t="shared" si="39"/>
        <v>0</v>
      </c>
    </row>
    <row r="194" ht="15.6">
      <c r="A194" s="112" t="s">
        <v>281</v>
      </c>
      <c r="B194" s="75">
        <v>0</v>
      </c>
      <c r="C194" s="75"/>
      <c r="D194" s="75"/>
      <c r="E194" s="75"/>
      <c r="F194" s="75"/>
      <c r="G194" s="75"/>
      <c r="H194" s="75">
        <f t="shared" si="39"/>
        <v>0</v>
      </c>
    </row>
    <row r="195" ht="28.550000000000001">
      <c r="A195" s="112" t="s">
        <v>282</v>
      </c>
      <c r="B195" s="75"/>
      <c r="C195" s="75"/>
      <c r="D195" s="75">
        <f>SUM(D197:D202)</f>
        <v>0</v>
      </c>
      <c r="E195" s="75">
        <f>SUM(E197:E202)</f>
        <v>0</v>
      </c>
      <c r="F195" s="75">
        <f>SUM(F197:F202)</f>
        <v>0</v>
      </c>
      <c r="G195" s="75">
        <f>SUM(G197:G202)</f>
        <v>0</v>
      </c>
      <c r="H195" s="75">
        <f t="shared" ref="H195:H203" si="40">B195+C195+E195+F195</f>
        <v>0</v>
      </c>
      <c r="I195" s="101">
        <f>B195-'1'!E46</f>
        <v>-2565248</v>
      </c>
      <c r="J195" s="101">
        <f>H195-'1'!D46</f>
        <v>-2027319</v>
      </c>
    </row>
    <row r="196" ht="15.6">
      <c r="A196" s="112" t="s">
        <v>153</v>
      </c>
      <c r="B196" s="75"/>
      <c r="C196" s="75"/>
      <c r="D196" s="75"/>
      <c r="E196" s="75"/>
      <c r="F196" s="75"/>
      <c r="G196" s="75"/>
      <c r="H196" s="75">
        <f t="shared" si="40"/>
        <v>0</v>
      </c>
    </row>
    <row r="197" ht="15.6">
      <c r="A197" s="112" t="s">
        <v>276</v>
      </c>
      <c r="B197" s="75"/>
      <c r="C197" s="75"/>
      <c r="D197" s="75"/>
      <c r="E197" s="75"/>
      <c r="F197" s="75"/>
      <c r="G197" s="75"/>
      <c r="H197" s="75">
        <f t="shared" si="40"/>
        <v>0</v>
      </c>
    </row>
    <row r="198" ht="15.6">
      <c r="A198" s="112" t="s">
        <v>277</v>
      </c>
      <c r="B198" s="75"/>
      <c r="C198" s="75"/>
      <c r="D198" s="75"/>
      <c r="E198" s="75"/>
      <c r="F198" s="75"/>
      <c r="G198" s="75"/>
      <c r="H198" s="75">
        <f t="shared" si="40"/>
        <v>0</v>
      </c>
    </row>
    <row r="199" ht="28.550000000000001">
      <c r="A199" s="112" t="s">
        <v>278</v>
      </c>
      <c r="B199" s="75"/>
      <c r="C199" s="75"/>
      <c r="D199" s="75"/>
      <c r="E199" s="75"/>
      <c r="F199" s="75"/>
      <c r="G199" s="75"/>
      <c r="H199" s="75">
        <f t="shared" si="40"/>
        <v>0</v>
      </c>
    </row>
    <row r="200" ht="42.100000000000001">
      <c r="A200" s="112" t="s">
        <v>279</v>
      </c>
      <c r="B200" s="75"/>
      <c r="C200" s="75"/>
      <c r="D200" s="75"/>
      <c r="E200" s="75"/>
      <c r="F200" s="75"/>
      <c r="G200" s="75"/>
      <c r="H200" s="75">
        <f t="shared" si="40"/>
        <v>0</v>
      </c>
    </row>
    <row r="201" ht="28.550000000000001">
      <c r="A201" s="112" t="s">
        <v>280</v>
      </c>
      <c r="B201" s="75"/>
      <c r="C201" s="75"/>
      <c r="D201" s="75"/>
      <c r="E201" s="75"/>
      <c r="F201" s="75"/>
      <c r="G201" s="75"/>
      <c r="H201" s="75">
        <f t="shared" si="40"/>
        <v>0</v>
      </c>
    </row>
    <row r="202" ht="15.6">
      <c r="A202" s="112" t="s">
        <v>281</v>
      </c>
      <c r="B202" s="75"/>
      <c r="C202" s="75"/>
      <c r="D202" s="75"/>
      <c r="E202" s="75"/>
      <c r="F202" s="75"/>
      <c r="G202" s="75"/>
      <c r="H202" s="75">
        <f t="shared" si="40"/>
        <v>0</v>
      </c>
    </row>
    <row r="203" ht="15.6">
      <c r="A203" s="112" t="s">
        <v>98</v>
      </c>
      <c r="B203" s="75"/>
      <c r="C203" s="75"/>
      <c r="D203" s="75">
        <f>D195+D187</f>
        <v>0</v>
      </c>
      <c r="E203" s="75">
        <f>E195+E187</f>
        <v>0</v>
      </c>
      <c r="F203" s="75">
        <f>F195+F187</f>
        <v>0</v>
      </c>
      <c r="G203" s="75">
        <f>G195+G187</f>
        <v>0</v>
      </c>
      <c r="H203" s="75">
        <f t="shared" si="40"/>
        <v>0</v>
      </c>
    </row>
    <row r="204" ht="15.6">
      <c r="A204" s="114"/>
      <c r="B204" s="101">
        <f>B203-'1'!E46</f>
        <v>-2565248</v>
      </c>
      <c r="H204" s="101">
        <f>H203-'1'!D46</f>
        <v>-2027319</v>
      </c>
    </row>
    <row r="205" ht="15.6">
      <c r="A205" s="114"/>
      <c r="C205" s="120" t="s">
        <v>283</v>
      </c>
      <c r="D205" s="109"/>
      <c r="E205" s="109"/>
      <c r="F205" s="109"/>
    </row>
    <row r="206" ht="15.6" customHeight="1">
      <c r="A206" s="110" t="s">
        <v>177</v>
      </c>
      <c r="B206" s="111" t="s">
        <v>273</v>
      </c>
      <c r="C206" s="75" t="s">
        <v>252</v>
      </c>
      <c r="D206" s="75"/>
      <c r="E206" s="128" t="s">
        <v>253</v>
      </c>
      <c r="F206" s="128"/>
      <c r="G206" s="111" t="s">
        <v>254</v>
      </c>
      <c r="H206" s="111" t="s">
        <v>274</v>
      </c>
    </row>
    <row r="207" ht="55.600000000000001">
      <c r="A207" s="112" t="s">
        <v>184</v>
      </c>
      <c r="B207" s="111"/>
      <c r="C207" s="125" t="s">
        <v>257</v>
      </c>
      <c r="D207" s="123" t="s">
        <v>258</v>
      </c>
      <c r="E207" s="124" t="s">
        <v>259</v>
      </c>
      <c r="F207" s="125" t="s">
        <v>260</v>
      </c>
      <c r="G207" s="111"/>
      <c r="H207" s="111"/>
    </row>
    <row r="208" ht="28.550000000000001">
      <c r="A208" s="112" t="s">
        <v>275</v>
      </c>
      <c r="B208" s="75">
        <f t="shared" ref="B208:B215" si="41">H187</f>
        <v>0</v>
      </c>
      <c r="C208" s="75">
        <f>SUM(C210:C215)</f>
        <v>0</v>
      </c>
      <c r="D208" s="75">
        <f>SUM(D210:D215)</f>
        <v>0</v>
      </c>
      <c r="E208" s="75">
        <f>SUM(E210:E215)</f>
        <v>0</v>
      </c>
      <c r="F208" s="75">
        <f>SUM(F210:F215)</f>
        <v>0</v>
      </c>
      <c r="G208" s="75">
        <f>SUM(G210:G215)</f>
        <v>0</v>
      </c>
      <c r="H208" s="75">
        <f t="shared" ref="H208:H215" si="42">B208+C208+E208+F208+G208</f>
        <v>0</v>
      </c>
    </row>
    <row r="209" ht="15.6">
      <c r="A209" s="112" t="s">
        <v>153</v>
      </c>
      <c r="B209" s="75">
        <f t="shared" si="41"/>
        <v>0</v>
      </c>
      <c r="C209" s="75"/>
      <c r="D209" s="75"/>
      <c r="E209" s="75"/>
      <c r="F209" s="75"/>
      <c r="G209" s="75"/>
      <c r="H209" s="75">
        <f t="shared" si="42"/>
        <v>0</v>
      </c>
    </row>
    <row r="210" ht="15.6">
      <c r="A210" s="112" t="s">
        <v>276</v>
      </c>
      <c r="B210" s="75">
        <f t="shared" si="41"/>
        <v>0</v>
      </c>
      <c r="C210" s="75"/>
      <c r="D210" s="75"/>
      <c r="E210" s="75"/>
      <c r="F210" s="75"/>
      <c r="G210" s="75"/>
      <c r="H210" s="75">
        <f t="shared" si="42"/>
        <v>0</v>
      </c>
    </row>
    <row r="211" ht="15.6">
      <c r="A211" s="112" t="s">
        <v>277</v>
      </c>
      <c r="B211" s="75">
        <f t="shared" si="41"/>
        <v>0</v>
      </c>
      <c r="C211" s="75"/>
      <c r="D211" s="75"/>
      <c r="E211" s="75"/>
      <c r="F211" s="75"/>
      <c r="G211" s="75"/>
      <c r="H211" s="75">
        <f t="shared" si="42"/>
        <v>0</v>
      </c>
    </row>
    <row r="212" ht="28.550000000000001">
      <c r="A212" s="112" t="s">
        <v>278</v>
      </c>
      <c r="B212" s="75">
        <f t="shared" si="41"/>
        <v>0</v>
      </c>
      <c r="C212" s="75"/>
      <c r="D212" s="75"/>
      <c r="E212" s="75"/>
      <c r="F212" s="75"/>
      <c r="G212" s="75"/>
      <c r="H212" s="75">
        <f t="shared" si="42"/>
        <v>0</v>
      </c>
    </row>
    <row r="213" ht="42.100000000000001">
      <c r="A213" s="112" t="s">
        <v>279</v>
      </c>
      <c r="B213" s="75">
        <f t="shared" si="41"/>
        <v>0</v>
      </c>
      <c r="C213" s="75"/>
      <c r="D213" s="75"/>
      <c r="E213" s="75"/>
      <c r="F213" s="75"/>
      <c r="G213" s="75"/>
      <c r="H213" s="75">
        <f t="shared" si="42"/>
        <v>0</v>
      </c>
    </row>
    <row r="214" ht="28.550000000000001">
      <c r="A214" s="112" t="s">
        <v>280</v>
      </c>
      <c r="B214" s="75">
        <f t="shared" si="41"/>
        <v>0</v>
      </c>
      <c r="C214" s="75"/>
      <c r="D214" s="75"/>
      <c r="E214" s="75"/>
      <c r="F214" s="75"/>
      <c r="G214" s="75"/>
      <c r="H214" s="75">
        <f t="shared" si="42"/>
        <v>0</v>
      </c>
    </row>
    <row r="215" ht="15.6">
      <c r="A215" s="112" t="s">
        <v>281</v>
      </c>
      <c r="B215" s="75">
        <f t="shared" si="41"/>
        <v>0</v>
      </c>
      <c r="C215" s="75"/>
      <c r="D215" s="75"/>
      <c r="E215" s="75"/>
      <c r="F215" s="75"/>
      <c r="G215" s="75"/>
      <c r="H215" s="75">
        <f t="shared" si="42"/>
        <v>0</v>
      </c>
    </row>
    <row r="216" ht="28.550000000000001">
      <c r="A216" s="112" t="s">
        <v>282</v>
      </c>
      <c r="B216" s="75">
        <f>SUM(B218:B223)</f>
        <v>0</v>
      </c>
      <c r="C216" s="75">
        <f>SUM(C218:C223)</f>
        <v>0</v>
      </c>
      <c r="D216" s="75">
        <f>SUM(D218:D223)</f>
        <v>0</v>
      </c>
      <c r="E216" s="75">
        <f>SUM(E218:E223)</f>
        <v>0</v>
      </c>
      <c r="F216" s="75">
        <f>SUM(F218:F223)</f>
        <v>0</v>
      </c>
      <c r="G216" s="75">
        <f>SUM(G218:G223)</f>
        <v>0</v>
      </c>
      <c r="H216" s="75">
        <f t="shared" ref="H216:H224" si="43">B216+C216+D216+E216+F216+G216</f>
        <v>0</v>
      </c>
      <c r="I216" s="101">
        <f>H216-'1'!C46</f>
        <v>-6817353</v>
      </c>
    </row>
    <row r="217" ht="15.6">
      <c r="A217" s="112" t="s">
        <v>153</v>
      </c>
      <c r="B217" s="75">
        <f t="shared" ref="B217:B224" si="44">H196</f>
        <v>0</v>
      </c>
      <c r="C217" s="75"/>
      <c r="D217" s="75"/>
      <c r="E217" s="75"/>
      <c r="F217" s="75"/>
      <c r="G217" s="75"/>
      <c r="H217" s="75">
        <f t="shared" si="43"/>
        <v>0</v>
      </c>
    </row>
    <row r="218" ht="15.6">
      <c r="A218" s="112" t="s">
        <v>276</v>
      </c>
      <c r="B218" s="75">
        <f t="shared" si="44"/>
        <v>0</v>
      </c>
      <c r="C218" s="75"/>
      <c r="D218" s="75"/>
      <c r="E218" s="75"/>
      <c r="F218" s="75"/>
      <c r="G218" s="75"/>
      <c r="H218" s="75">
        <f t="shared" si="43"/>
        <v>0</v>
      </c>
    </row>
    <row r="219" ht="15.6">
      <c r="A219" s="112" t="s">
        <v>277</v>
      </c>
      <c r="B219" s="75">
        <f t="shared" si="44"/>
        <v>0</v>
      </c>
      <c r="C219" s="75"/>
      <c r="D219" s="75"/>
      <c r="E219" s="75"/>
      <c r="F219" s="75"/>
      <c r="G219" s="75"/>
      <c r="H219" s="75">
        <f t="shared" si="43"/>
        <v>0</v>
      </c>
    </row>
    <row r="220" ht="28.550000000000001">
      <c r="A220" s="112" t="s">
        <v>278</v>
      </c>
      <c r="B220" s="75">
        <f t="shared" si="44"/>
        <v>0</v>
      </c>
      <c r="C220" s="75"/>
      <c r="D220" s="75"/>
      <c r="E220" s="75"/>
      <c r="F220" s="75"/>
      <c r="G220" s="75"/>
      <c r="H220" s="75">
        <f t="shared" si="43"/>
        <v>0</v>
      </c>
    </row>
    <row r="221" ht="42.100000000000001">
      <c r="A221" s="112" t="s">
        <v>279</v>
      </c>
      <c r="B221" s="75">
        <f t="shared" si="44"/>
        <v>0</v>
      </c>
      <c r="C221" s="75"/>
      <c r="D221" s="75"/>
      <c r="E221" s="75"/>
      <c r="F221" s="75"/>
      <c r="G221" s="75"/>
      <c r="H221" s="75">
        <f t="shared" si="43"/>
        <v>0</v>
      </c>
    </row>
    <row r="222" ht="28.550000000000001">
      <c r="A222" s="112" t="s">
        <v>280</v>
      </c>
      <c r="B222" s="75">
        <f t="shared" si="44"/>
        <v>0</v>
      </c>
      <c r="C222" s="75"/>
      <c r="D222" s="75"/>
      <c r="E222" s="75"/>
      <c r="F222" s="75"/>
      <c r="G222" s="75"/>
      <c r="H222" s="75">
        <f t="shared" si="43"/>
        <v>0</v>
      </c>
    </row>
    <row r="223" ht="15.6">
      <c r="A223" s="112" t="s">
        <v>281</v>
      </c>
      <c r="B223" s="75">
        <f t="shared" si="44"/>
        <v>0</v>
      </c>
      <c r="C223" s="75"/>
      <c r="D223" s="75"/>
      <c r="E223" s="75"/>
      <c r="F223" s="75"/>
      <c r="G223" s="75"/>
      <c r="H223" s="75">
        <f t="shared" si="43"/>
        <v>0</v>
      </c>
    </row>
    <row r="224" ht="15.6">
      <c r="A224" s="112" t="s">
        <v>98</v>
      </c>
      <c r="B224" s="75">
        <f t="shared" si="44"/>
        <v>0</v>
      </c>
      <c r="C224" s="75">
        <f>C216+C208</f>
        <v>0</v>
      </c>
      <c r="D224" s="75">
        <f>D216+D208</f>
        <v>0</v>
      </c>
      <c r="E224" s="75">
        <f>E216+E208</f>
        <v>0</v>
      </c>
      <c r="F224" s="75">
        <f>F216+F208</f>
        <v>0</v>
      </c>
      <c r="G224" s="75">
        <f>G216+G208</f>
        <v>0</v>
      </c>
      <c r="H224" s="75">
        <f t="shared" si="43"/>
        <v>0</v>
      </c>
    </row>
    <row r="225" ht="15.6">
      <c r="A225" s="114"/>
      <c r="H225" s="101">
        <f>H224-'1'!C46</f>
        <v>-6817353</v>
      </c>
    </row>
    <row r="226" ht="15.6">
      <c r="A226" s="104" t="s">
        <v>284</v>
      </c>
      <c r="C226" s="129"/>
      <c r="D226" s="129"/>
    </row>
    <row r="227" s="109" customFormat="1" ht="45" customHeight="1">
      <c r="A227" s="130" t="s">
        <v>177</v>
      </c>
      <c r="B227" s="131" t="s">
        <v>95</v>
      </c>
      <c r="C227" s="132" t="str">
        <f>B256</f>
        <v xml:space="preserve">2019 год</v>
      </c>
      <c r="D227" s="132" t="str">
        <f>C256</f>
        <v xml:space="preserve">2018 год</v>
      </c>
      <c r="E227" s="132" t="str">
        <f>D256</f>
        <v xml:space="preserve">2017 год</v>
      </c>
      <c r="F227" s="132" t="str">
        <f>E256</f>
        <v xml:space="preserve">2016 год</v>
      </c>
      <c r="G227" s="132" t="str">
        <f>F256</f>
        <v xml:space="preserve">2015 год</v>
      </c>
      <c r="H227" s="132" t="str">
        <f>G256</f>
        <v xml:space="preserve">2014 год</v>
      </c>
      <c r="I227" s="132" t="str">
        <f>H256</f>
        <v xml:space="preserve">2013 год</v>
      </c>
      <c r="J227" s="101"/>
    </row>
    <row r="228" ht="15" customHeight="1">
      <c r="A228" s="127" t="s">
        <v>285</v>
      </c>
      <c r="B228" s="133">
        <v>5610</v>
      </c>
      <c r="C228" s="111"/>
      <c r="D228" s="111"/>
      <c r="E228" s="111"/>
      <c r="F228" s="111"/>
      <c r="G228" s="111"/>
      <c r="H228" s="111"/>
      <c r="I228" s="111"/>
    </row>
    <row r="229" ht="15.6">
      <c r="A229" s="127" t="s">
        <v>286</v>
      </c>
      <c r="B229" s="133">
        <v>5620</v>
      </c>
      <c r="C229" s="44"/>
      <c r="D229" s="44"/>
      <c r="E229" s="44"/>
      <c r="F229" s="44"/>
      <c r="G229" s="44"/>
      <c r="H229" s="44"/>
      <c r="I229" s="44"/>
    </row>
    <row r="230" ht="28.550000000000001">
      <c r="A230" s="127" t="s">
        <v>287</v>
      </c>
      <c r="B230" s="133">
        <v>5630</v>
      </c>
      <c r="C230" s="44"/>
      <c r="D230" s="44"/>
      <c r="E230" s="44"/>
      <c r="F230" s="44"/>
      <c r="G230" s="44"/>
      <c r="H230" s="44"/>
      <c r="I230" s="44"/>
    </row>
    <row r="231" ht="15.6">
      <c r="A231" s="127" t="s">
        <v>288</v>
      </c>
      <c r="B231" s="133">
        <v>5640</v>
      </c>
      <c r="C231" s="44"/>
      <c r="D231" s="44"/>
      <c r="E231" s="44"/>
      <c r="F231" s="44"/>
      <c r="G231" s="44"/>
      <c r="H231" s="44"/>
      <c r="I231" s="44"/>
    </row>
    <row r="232" ht="15.6">
      <c r="A232" s="127" t="s">
        <v>289</v>
      </c>
      <c r="B232" s="133">
        <v>5650</v>
      </c>
      <c r="C232" s="44"/>
      <c r="D232" s="44"/>
      <c r="E232" s="44"/>
      <c r="F232" s="44"/>
      <c r="G232" s="44"/>
      <c r="H232" s="44"/>
      <c r="I232" s="44"/>
    </row>
    <row r="233" ht="15.6">
      <c r="A233" s="127" t="s">
        <v>290</v>
      </c>
      <c r="B233" s="133">
        <v>5660</v>
      </c>
      <c r="C233" s="134"/>
      <c r="D233" s="134"/>
      <c r="E233" s="134"/>
      <c r="F233" s="134"/>
      <c r="G233" s="134"/>
      <c r="H233" s="134"/>
      <c r="I233" s="134"/>
    </row>
    <row r="234" ht="28.550000000000001">
      <c r="A234" s="127" t="s">
        <v>291</v>
      </c>
      <c r="B234" s="133"/>
      <c r="C234" s="135"/>
      <c r="D234" s="135"/>
      <c r="E234" s="135"/>
      <c r="F234" s="135"/>
      <c r="G234" s="135"/>
      <c r="H234" s="135"/>
      <c r="I234" s="135"/>
    </row>
    <row r="235" ht="15.6">
      <c r="A235" s="127" t="s">
        <v>292</v>
      </c>
      <c r="B235" s="133">
        <v>5670</v>
      </c>
      <c r="C235" s="134"/>
      <c r="D235" s="134"/>
      <c r="E235" s="134"/>
      <c r="F235" s="134"/>
      <c r="G235" s="134"/>
      <c r="H235" s="134"/>
      <c r="I235" s="134"/>
    </row>
    <row r="236" ht="15.6">
      <c r="A236" s="127" t="s">
        <v>293</v>
      </c>
      <c r="B236" s="133">
        <v>5680</v>
      </c>
      <c r="C236" s="134"/>
      <c r="D236" s="134"/>
      <c r="E236" s="134"/>
      <c r="F236" s="134"/>
      <c r="G236" s="134"/>
      <c r="H236" s="134"/>
      <c r="I236" s="134"/>
    </row>
    <row r="237" ht="15.6">
      <c r="A237" s="127"/>
      <c r="B237" s="133"/>
      <c r="C237" s="136"/>
      <c r="D237" s="136"/>
      <c r="E237" s="136"/>
      <c r="F237" s="136"/>
      <c r="G237" s="136"/>
      <c r="H237" s="136"/>
      <c r="I237" s="136"/>
    </row>
    <row r="238" ht="28.550000000000001">
      <c r="A238" s="112" t="s">
        <v>294</v>
      </c>
      <c r="B238" s="122">
        <v>5600</v>
      </c>
      <c r="C238" s="135">
        <f>C234+C233+C235+C236</f>
        <v>0</v>
      </c>
      <c r="D238" s="135">
        <f>D234+D233+D235+D236</f>
        <v>0</v>
      </c>
      <c r="E238" s="135">
        <f>E234+E233+E235+E236</f>
        <v>0</v>
      </c>
      <c r="F238" s="135">
        <f>F234+F233+F235+F236</f>
        <v>0</v>
      </c>
      <c r="G238" s="135">
        <f>G234+G233+G235+G236</f>
        <v>0</v>
      </c>
      <c r="H238" s="135">
        <f>H234+H233+H235+H236</f>
        <v>0</v>
      </c>
      <c r="I238" s="135">
        <f>I234+I233+I235+I236</f>
        <v>0</v>
      </c>
    </row>
    <row r="239" ht="15.6">
      <c r="A239" s="114"/>
      <c r="B239" s="117"/>
      <c r="C239" s="137">
        <f>'2'!C8+'2'!C10+'2'!C11+C238</f>
        <v>-18342702</v>
      </c>
      <c r="D239" s="137">
        <f>'2'!D8+'2'!D10+'2'!D11+D238</f>
        <v>-19744407</v>
      </c>
      <c r="E239" s="137">
        <f>'2'!E8+'2'!E10+'2'!E11+E238</f>
        <v>-17314516</v>
      </c>
      <c r="F239" s="137">
        <f>'2'!F8+'2'!F10+'2'!F11+F238</f>
        <v>-17554473</v>
      </c>
      <c r="G239" s="137">
        <f>'2'!G8+'2'!G10+'2'!G11+G238</f>
        <v>-15035034</v>
      </c>
      <c r="H239" s="137">
        <f>'2'!H8+'2'!H10+'2'!H11+H238</f>
        <v>-12043987</v>
      </c>
      <c r="I239" s="137">
        <f>'2'!I8+'2'!I10+'2'!I11+I238</f>
        <v>-12894116</v>
      </c>
    </row>
    <row r="240" ht="15.6">
      <c r="A240" s="6" t="s">
        <v>295</v>
      </c>
      <c r="B240" s="8"/>
      <c r="E240" s="3"/>
      <c r="F240" s="4"/>
      <c r="G240" s="1"/>
    </row>
    <row r="241" s="109" customFormat="1" ht="28.550000000000001">
      <c r="A241" s="71" t="s">
        <v>57</v>
      </c>
      <c r="B241" s="138" t="s">
        <v>7</v>
      </c>
      <c r="C241" s="139" t="str">
        <f>'1'!C5</f>
        <v xml:space="preserve">на 31 декабря 2019 года</v>
      </c>
      <c r="D241" s="139" t="str">
        <f>'1'!D5</f>
        <v xml:space="preserve">на 31 декабря 2018 года</v>
      </c>
      <c r="E241" s="139" t="str">
        <f>'1'!E5</f>
        <v xml:space="preserve">на 31 декабря 2017 года</v>
      </c>
      <c r="F241" s="139" t="str">
        <f>'1'!F5</f>
        <v xml:space="preserve">на 31 декабря 2016 года</v>
      </c>
      <c r="G241" s="139" t="str">
        <f>'1'!G5</f>
        <v xml:space="preserve">на 31 декабря 2015 года</v>
      </c>
      <c r="H241" s="139" t="str">
        <f>'1'!H5</f>
        <v xml:space="preserve">на 31 декабря 2014 года</v>
      </c>
      <c r="I241" s="139" t="str">
        <f>'1'!I5</f>
        <v xml:space="preserve">на 31 декабря 2013 года</v>
      </c>
    </row>
    <row r="242" ht="15.6">
      <c r="A242" s="140" t="s">
        <v>296</v>
      </c>
      <c r="B242" s="94"/>
      <c r="C242" s="20">
        <f>SUM(C244:C246)</f>
        <v>0</v>
      </c>
      <c r="D242" s="20">
        <f>SUM(D244:D246)</f>
        <v>0</v>
      </c>
      <c r="E242" s="20">
        <f>SUM(E244:E246)</f>
        <v>0</v>
      </c>
      <c r="F242" s="20">
        <f>SUM(F244:F246)</f>
        <v>0</v>
      </c>
      <c r="G242" s="20">
        <f>SUM(G244:G246)</f>
        <v>0</v>
      </c>
      <c r="H242" s="20">
        <f>SUM(H244:H246)</f>
        <v>0</v>
      </c>
      <c r="I242" s="20">
        <f>SUM(I244:I246)</f>
        <v>0</v>
      </c>
    </row>
    <row r="243" ht="15.6">
      <c r="A243" s="140" t="s">
        <v>297</v>
      </c>
      <c r="B243" s="94"/>
      <c r="C243" s="141"/>
      <c r="D243" s="141"/>
      <c r="E243" s="141"/>
      <c r="F243" s="141"/>
      <c r="G243" s="141"/>
      <c r="H243" s="141"/>
      <c r="I243" s="141"/>
    </row>
    <row r="244" ht="15.6">
      <c r="A244" s="140" t="s">
        <v>298</v>
      </c>
      <c r="B244" s="94"/>
      <c r="C244" s="20"/>
      <c r="D244" s="20"/>
      <c r="E244" s="20"/>
      <c r="F244" s="20"/>
      <c r="G244" s="20"/>
      <c r="H244" s="20"/>
      <c r="I244" s="20"/>
    </row>
    <row r="245" ht="15.6">
      <c r="A245" s="140" t="s">
        <v>299</v>
      </c>
      <c r="B245" s="94"/>
      <c r="C245" s="20"/>
      <c r="D245" s="20"/>
      <c r="E245" s="20"/>
      <c r="F245" s="20"/>
      <c r="G245" s="20"/>
      <c r="H245" s="20"/>
      <c r="I245" s="20"/>
    </row>
    <row r="246" ht="15.6">
      <c r="A246" s="140" t="s">
        <v>300</v>
      </c>
      <c r="B246" s="94"/>
      <c r="C246" s="20"/>
      <c r="D246" s="20"/>
      <c r="E246" s="20"/>
      <c r="F246" s="20"/>
      <c r="G246" s="20"/>
      <c r="H246" s="20"/>
      <c r="I246" s="20"/>
    </row>
    <row r="247" ht="15.6">
      <c r="A247" s="140" t="s">
        <v>301</v>
      </c>
      <c r="B247" s="94"/>
      <c r="C247" s="18">
        <f>SUM(C249:C252)</f>
        <v>0</v>
      </c>
      <c r="D247" s="18">
        <f>SUM(D249:D252)</f>
        <v>0</v>
      </c>
      <c r="E247" s="18">
        <f>SUM(E249:E252)</f>
        <v>0</v>
      </c>
      <c r="F247" s="18">
        <f>SUM(F249:F252)</f>
        <v>0</v>
      </c>
      <c r="G247" s="18">
        <f>SUM(G249:G252)</f>
        <v>0</v>
      </c>
      <c r="H247" s="18">
        <f>SUM(H249:H252)</f>
        <v>0</v>
      </c>
      <c r="I247" s="18">
        <f>SUM(I249:I252)</f>
        <v>0</v>
      </c>
    </row>
    <row r="248" ht="15.6">
      <c r="A248" s="140" t="s">
        <v>297</v>
      </c>
      <c r="B248" s="94"/>
      <c r="C248" s="20"/>
      <c r="D248" s="20"/>
      <c r="E248" s="20"/>
      <c r="F248" s="20"/>
      <c r="G248" s="20"/>
      <c r="H248" s="20"/>
      <c r="I248" s="20"/>
    </row>
    <row r="249" ht="15.6">
      <c r="A249" s="140" t="s">
        <v>299</v>
      </c>
      <c r="B249" s="94"/>
      <c r="C249" s="20"/>
      <c r="D249" s="20"/>
      <c r="E249" s="20"/>
      <c r="F249" s="20"/>
      <c r="G249" s="20"/>
      <c r="H249" s="20"/>
      <c r="I249" s="20"/>
    </row>
    <row r="250" ht="15.6">
      <c r="A250" s="140" t="s">
        <v>300</v>
      </c>
      <c r="B250" s="94"/>
      <c r="C250" s="20"/>
      <c r="D250" s="20"/>
      <c r="E250" s="20"/>
      <c r="F250" s="20"/>
      <c r="G250" s="20"/>
      <c r="H250" s="20"/>
      <c r="I250" s="20"/>
    </row>
    <row r="251" ht="15.6">
      <c r="A251" s="140" t="s">
        <v>302</v>
      </c>
      <c r="B251" s="94"/>
      <c r="C251" s="20"/>
      <c r="D251" s="20"/>
      <c r="E251" s="20"/>
      <c r="F251" s="20"/>
      <c r="G251" s="20"/>
      <c r="H251" s="20"/>
      <c r="I251" s="20"/>
    </row>
    <row r="252" ht="15.6">
      <c r="A252" s="112" t="s">
        <v>249</v>
      </c>
      <c r="B252" s="75"/>
      <c r="C252" s="20"/>
      <c r="D252" s="20"/>
      <c r="E252" s="20"/>
      <c r="F252" s="20"/>
      <c r="G252" s="20"/>
      <c r="H252" s="20"/>
      <c r="I252" s="20"/>
    </row>
    <row r="253" ht="15.6">
      <c r="A253" s="114"/>
      <c r="B253" s="117"/>
      <c r="D253" s="137"/>
      <c r="E253" s="137"/>
    </row>
    <row r="254" ht="15.6">
      <c r="A254" s="114"/>
      <c r="B254" s="117"/>
      <c r="D254" s="137"/>
      <c r="E254" s="137"/>
    </row>
    <row r="255" ht="15.6">
      <c r="B255" s="109" t="s">
        <v>303</v>
      </c>
      <c r="C255" s="129"/>
      <c r="D255" s="129"/>
    </row>
    <row r="256" ht="15.6">
      <c r="A256" s="142" t="s">
        <v>57</v>
      </c>
      <c r="B256" s="132" t="str">
        <f>B270</f>
        <v xml:space="preserve">2019 год</v>
      </c>
      <c r="C256" s="132" t="str">
        <f>C270</f>
        <v xml:space="preserve">2018 год</v>
      </c>
      <c r="D256" s="132" t="str">
        <f>D270</f>
        <v xml:space="preserve">2017 год</v>
      </c>
      <c r="E256" s="132" t="str">
        <f>E270</f>
        <v xml:space="preserve">2016 год</v>
      </c>
      <c r="F256" s="132" t="str">
        <f>F270</f>
        <v xml:space="preserve">2015 год</v>
      </c>
      <c r="G256" s="132" t="str">
        <f>G270</f>
        <v xml:space="preserve">2014 год</v>
      </c>
      <c r="H256" s="132" t="str">
        <f>H270</f>
        <v xml:space="preserve">2013 год</v>
      </c>
    </row>
    <row r="257" ht="28.550000000000001">
      <c r="A257" s="127" t="s">
        <v>304</v>
      </c>
      <c r="B257" s="135"/>
      <c r="C257" s="135"/>
      <c r="D257" s="135"/>
      <c r="E257" s="135"/>
      <c r="F257" s="135"/>
      <c r="G257" s="135"/>
      <c r="H257" s="135"/>
    </row>
    <row r="258" ht="28.550000000000001">
      <c r="A258" s="127" t="s">
        <v>305</v>
      </c>
      <c r="B258" s="135"/>
      <c r="C258" s="135"/>
      <c r="D258" s="135"/>
      <c r="E258" s="135"/>
      <c r="F258" s="135"/>
      <c r="G258" s="135"/>
      <c r="H258" s="135"/>
    </row>
    <row r="259" ht="28.550000000000001">
      <c r="A259" s="127" t="s">
        <v>306</v>
      </c>
      <c r="B259" s="143"/>
      <c r="C259" s="143"/>
      <c r="D259" s="143"/>
      <c r="E259" s="143"/>
      <c r="F259" s="143"/>
      <c r="G259" s="143"/>
      <c r="H259" s="143"/>
    </row>
    <row r="260" ht="28.550000000000001">
      <c r="A260" s="127" t="s">
        <v>307</v>
      </c>
      <c r="B260" s="143"/>
      <c r="C260" s="143"/>
      <c r="D260" s="143"/>
      <c r="E260" s="143"/>
      <c r="F260" s="143"/>
      <c r="G260" s="143"/>
      <c r="H260" s="143"/>
    </row>
    <row r="261" ht="28.550000000000001">
      <c r="A261" s="127" t="s">
        <v>308</v>
      </c>
      <c r="B261" s="143"/>
      <c r="C261" s="143"/>
      <c r="D261" s="143"/>
      <c r="E261" s="143"/>
      <c r="F261" s="143"/>
      <c r="G261" s="143"/>
      <c r="H261" s="143"/>
    </row>
    <row r="262" ht="15.6">
      <c r="A262" s="144"/>
      <c r="B262" s="145"/>
      <c r="C262" s="129"/>
      <c r="D262" s="129"/>
    </row>
    <row r="263" ht="15.6">
      <c r="A263" s="144"/>
      <c r="B263" s="145"/>
      <c r="C263" s="129"/>
      <c r="D263" s="129"/>
    </row>
    <row r="264" ht="15.6">
      <c r="B264" s="109" t="s">
        <v>309</v>
      </c>
    </row>
    <row r="265" s="119" customFormat="1" ht="15.6">
      <c r="A265" s="54" t="s">
        <v>177</v>
      </c>
      <c r="B265" s="132" t="str">
        <f>B270</f>
        <v xml:space="preserve">2019 год</v>
      </c>
      <c r="C265" s="132" t="str">
        <f>C270</f>
        <v xml:space="preserve">2018 год</v>
      </c>
      <c r="D265" s="132" t="str">
        <f>D270</f>
        <v xml:space="preserve">2017 год</v>
      </c>
      <c r="E265" s="132" t="str">
        <f>E270</f>
        <v xml:space="preserve">2016 год</v>
      </c>
      <c r="F265" s="132" t="str">
        <f>F270</f>
        <v xml:space="preserve">2015 год</v>
      </c>
      <c r="G265" s="132" t="str">
        <f>G270</f>
        <v xml:space="preserve">2014 год</v>
      </c>
      <c r="H265" s="132" t="str">
        <f>H270</f>
        <v xml:space="preserve">2013 год</v>
      </c>
    </row>
    <row r="266" ht="15.6">
      <c r="A266" s="112" t="s">
        <v>310</v>
      </c>
      <c r="B266" s="146"/>
      <c r="C266" s="146"/>
      <c r="D266" s="146"/>
      <c r="E266" s="146"/>
      <c r="F266" s="146"/>
      <c r="G266" s="146"/>
      <c r="H266" s="146"/>
    </row>
    <row r="267" ht="28.550000000000001">
      <c r="A267" s="112" t="s">
        <v>311</v>
      </c>
      <c r="B267" s="146">
        <f>B275+B276</f>
        <v>0</v>
      </c>
      <c r="C267" s="146">
        <f>C275+C276</f>
        <v>0</v>
      </c>
      <c r="D267" s="146">
        <f>D275+D276</f>
        <v>0</v>
      </c>
      <c r="E267" s="146">
        <f>E275+E276</f>
        <v>0</v>
      </c>
      <c r="F267" s="146">
        <f>F275+F276</f>
        <v>0</v>
      </c>
      <c r="G267" s="146">
        <f>G275+G276</f>
        <v>0</v>
      </c>
      <c r="H267" s="146">
        <f>H275+H276</f>
        <v>0</v>
      </c>
    </row>
    <row r="268" ht="15.6">
      <c r="A268" s="147"/>
    </row>
    <row r="269" ht="15.6">
      <c r="B269" s="109" t="s">
        <v>312</v>
      </c>
    </row>
    <row r="270" ht="15.6">
      <c r="A270" s="54" t="s">
        <v>177</v>
      </c>
      <c r="B270" s="132" t="str">
        <f>бс!C5</f>
        <v xml:space="preserve">2019 год</v>
      </c>
      <c r="C270" s="132" t="str">
        <f>бс!D5</f>
        <v xml:space="preserve">2018 год</v>
      </c>
      <c r="D270" s="132" t="str">
        <f>бс!E5</f>
        <v xml:space="preserve">2017 год</v>
      </c>
      <c r="E270" s="132" t="str">
        <f>бс!F5</f>
        <v xml:space="preserve">2016 год</v>
      </c>
      <c r="F270" s="132" t="str">
        <f>бс!G5</f>
        <v xml:space="preserve">2015 год</v>
      </c>
      <c r="G270" s="132" t="str">
        <f>бс!H5</f>
        <v xml:space="preserve">2014 год</v>
      </c>
      <c r="H270" s="132" t="str">
        <f>бс!I5</f>
        <v xml:space="preserve">2013 год</v>
      </c>
    </row>
    <row r="271" ht="28.550000000000001">
      <c r="A271" s="112" t="s">
        <v>313</v>
      </c>
      <c r="B271" s="148"/>
      <c r="C271" s="148"/>
      <c r="D271" s="148"/>
      <c r="E271" s="148"/>
      <c r="F271" s="148"/>
      <c r="G271" s="148"/>
      <c r="H271" s="148"/>
    </row>
    <row r="272" ht="42.100000000000001">
      <c r="A272" s="112" t="s">
        <v>314</v>
      </c>
      <c r="B272" s="148"/>
      <c r="C272" s="148"/>
      <c r="D272" s="148"/>
      <c r="E272" s="148"/>
      <c r="F272" s="148"/>
      <c r="G272" s="148"/>
      <c r="H272" s="148"/>
    </row>
    <row r="273" ht="28.550000000000001">
      <c r="A273" s="112" t="s">
        <v>315</v>
      </c>
      <c r="B273" s="146"/>
      <c r="C273" s="146"/>
      <c r="D273" s="146"/>
      <c r="E273" s="146"/>
      <c r="F273" s="146"/>
      <c r="G273" s="146"/>
      <c r="H273" s="146"/>
    </row>
    <row r="274" ht="15.6">
      <c r="A274" s="112" t="s">
        <v>316</v>
      </c>
      <c r="B274" s="146"/>
      <c r="C274" s="146"/>
      <c r="D274" s="146"/>
      <c r="E274" s="146"/>
      <c r="F274" s="146"/>
      <c r="G274" s="146"/>
      <c r="H274" s="146"/>
    </row>
    <row r="275" ht="15.6">
      <c r="A275" s="112" t="s">
        <v>317</v>
      </c>
      <c r="B275" s="146"/>
      <c r="C275" s="146"/>
      <c r="D275" s="146"/>
      <c r="E275" s="146"/>
      <c r="F275" s="146"/>
      <c r="G275" s="146"/>
      <c r="H275" s="146"/>
    </row>
    <row r="276" ht="15.6">
      <c r="A276" s="112" t="s">
        <v>318</v>
      </c>
      <c r="B276" s="146"/>
      <c r="C276" s="146"/>
      <c r="D276" s="146"/>
      <c r="E276" s="146"/>
      <c r="F276" s="146"/>
      <c r="G276" s="146"/>
      <c r="H276" s="146"/>
    </row>
  </sheetData>
  <mergeCells count="79">
    <mergeCell ref="B7:C7"/>
    <mergeCell ref="D7:D8"/>
    <mergeCell ref="E7:F7"/>
    <mergeCell ref="G7:G8"/>
    <mergeCell ref="H7:H8"/>
    <mergeCell ref="I7:J7"/>
    <mergeCell ref="B20:C20"/>
    <mergeCell ref="D20:D21"/>
    <mergeCell ref="E20:F20"/>
    <mergeCell ref="G20:G21"/>
    <mergeCell ref="H20:H21"/>
    <mergeCell ref="I20:J20"/>
    <mergeCell ref="B35:C35"/>
    <mergeCell ref="D35:D36"/>
    <mergeCell ref="E35:F35"/>
    <mergeCell ref="G35:G36"/>
    <mergeCell ref="H35:I35"/>
    <mergeCell ref="J35:K35"/>
    <mergeCell ref="B54:C54"/>
    <mergeCell ref="D54:D55"/>
    <mergeCell ref="E54:F54"/>
    <mergeCell ref="G54:G55"/>
    <mergeCell ref="H54:I54"/>
    <mergeCell ref="J54:K54"/>
    <mergeCell ref="A80:A81"/>
    <mergeCell ref="B80:C80"/>
    <mergeCell ref="D80:D81"/>
    <mergeCell ref="E80:E81"/>
    <mergeCell ref="F80:H80"/>
    <mergeCell ref="I80:J80"/>
    <mergeCell ref="K80:L80"/>
    <mergeCell ref="A100:A101"/>
    <mergeCell ref="B100:C100"/>
    <mergeCell ref="D100:D101"/>
    <mergeCell ref="E100:E101"/>
    <mergeCell ref="F100:H100"/>
    <mergeCell ref="I100:J100"/>
    <mergeCell ref="K100:L100"/>
    <mergeCell ref="A121:A122"/>
    <mergeCell ref="B121:B122"/>
    <mergeCell ref="C121:D121"/>
    <mergeCell ref="E121:E122"/>
    <mergeCell ref="F121:G121"/>
    <mergeCell ref="H121:H122"/>
    <mergeCell ref="I121:I122"/>
    <mergeCell ref="J121:K121"/>
    <mergeCell ref="A133:A134"/>
    <mergeCell ref="B133:B134"/>
    <mergeCell ref="C133:D133"/>
    <mergeCell ref="E133:E134"/>
    <mergeCell ref="F133:G133"/>
    <mergeCell ref="H133:H134"/>
    <mergeCell ref="I133:I134"/>
    <mergeCell ref="J133:K133"/>
    <mergeCell ref="B145:C145"/>
    <mergeCell ref="D145:E145"/>
    <mergeCell ref="F145:H145"/>
    <mergeCell ref="I145:I146"/>
    <mergeCell ref="J145:K145"/>
    <mergeCell ref="B160:C160"/>
    <mergeCell ref="D160:E160"/>
    <mergeCell ref="F160:H160"/>
    <mergeCell ref="I160:I161"/>
    <mergeCell ref="J160:K160"/>
    <mergeCell ref="A175:A176"/>
    <mergeCell ref="B175:B176"/>
    <mergeCell ref="C175:D175"/>
    <mergeCell ref="E175:F175"/>
    <mergeCell ref="G175:H175"/>
    <mergeCell ref="B185:B186"/>
    <mergeCell ref="C185:D185"/>
    <mergeCell ref="E185:F185"/>
    <mergeCell ref="G185:G186"/>
    <mergeCell ref="H185:H186"/>
    <mergeCell ref="B206:B207"/>
    <mergeCell ref="C206:D206"/>
    <mergeCell ref="E206:F206"/>
    <mergeCell ref="G206:G207"/>
    <mergeCell ref="H206:H207"/>
  </mergeCells>
  <hyperlinks>
    <hyperlink location="'0'!A1" ref="A1"/>
  </hyperlinks>
  <printOptions headings="0" gridLines="0" horizontalCentered="0" verticalCentered="0"/>
  <pageMargins left="0.75" right="0.75" top="0.47986111111111096" bottom="0.50972222222222197"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indexed="5"/>
    <outlinePr applyStyles="0" summaryBelow="1" summaryRight="1" showOutlineSymbols="1"/>
    <pageSetUpPr autoPageBreaks="1" fitToPage="1"/>
  </sheetPr>
  <sheetViews>
    <sheetView showFormulas="0" showGridLines="1" showRowColHeaders="1" showZeros="1" rightToLeft="0" view="normal" topLeftCell="A15" zoomScale="100" workbookViewId="0">
      <selection activeCell="C37" activeCellId="0" sqref="C37"/>
    </sheetView>
  </sheetViews>
  <sheetFormatPr defaultColWidth="9.109375" defaultRowHeight="15.6"/>
  <cols>
    <col customWidth="1" min="1" max="1" style="1" width="60.880000000000003"/>
    <col customWidth="1" min="2" max="2" style="2" width="10.880000000000001"/>
    <col customWidth="1" min="3" max="4" style="0" width="17.670000000000002"/>
    <col customWidth="1" min="5" max="5" style="3" width="17.670000000000002"/>
    <col customWidth="1" min="6" max="6" style="4" width="17.670000000000002"/>
    <col customWidth="1" min="7" max="7" style="2" width="17.670000000000002"/>
    <col customWidth="1" min="8" max="8" style="1" width="17.670000000000002"/>
    <col customWidth="1" min="9" max="9" style="5" width="17.670000000000002"/>
    <col customWidth="1" min="10" max="10" style="1" width="10.33"/>
    <col customWidth="1" min="11" max="11" style="1" width="11.44"/>
    <col customWidth="0" min="12" max="16384" style="1" width="9.1099999999999994"/>
  </cols>
  <sheetData>
    <row r="1" ht="15.6">
      <c r="B1" s="1"/>
      <c r="G1" s="1"/>
    </row>
    <row r="2" ht="15.6">
      <c r="A2" s="6" t="str">
        <f>'1'!A2</f>
        <v xml:space="preserve">ПАО "ДОРОГОБУЖ"</v>
      </c>
      <c r="B2" s="7"/>
      <c r="G2" s="1"/>
    </row>
    <row r="3" ht="15.6">
      <c r="A3" s="6" t="s">
        <v>319</v>
      </c>
      <c r="B3" s="8" t="str">
        <f>'1'!B3</f>
        <v xml:space="preserve">2013-2019 годы</v>
      </c>
      <c r="F3" s="9"/>
      <c r="G3" s="1"/>
    </row>
    <row r="4" ht="15.6">
      <c r="A4" s="6" t="s">
        <v>4</v>
      </c>
      <c r="B4" s="8" t="s">
        <v>5</v>
      </c>
      <c r="G4" s="1"/>
    </row>
    <row r="5" s="6" customFormat="1" ht="28.550000000000001">
      <c r="A5" s="10" t="s">
        <v>6</v>
      </c>
      <c r="B5" s="11" t="s">
        <v>7</v>
      </c>
      <c r="C5" s="12" t="s">
        <v>320</v>
      </c>
      <c r="D5" s="12" t="s">
        <v>321</v>
      </c>
      <c r="E5" s="12" t="s">
        <v>322</v>
      </c>
      <c r="F5" s="12" t="s">
        <v>323</v>
      </c>
      <c r="G5" s="12" t="s">
        <v>324</v>
      </c>
      <c r="H5" s="12" t="s">
        <v>325</v>
      </c>
      <c r="I5" s="12" t="s">
        <v>326</v>
      </c>
    </row>
    <row r="6" s="6" customFormat="1" ht="15.6">
      <c r="A6" s="13">
        <v>1</v>
      </c>
      <c r="B6" s="22">
        <v>2</v>
      </c>
      <c r="C6" s="149">
        <v>3</v>
      </c>
      <c r="D6" s="149">
        <v>4</v>
      </c>
      <c r="E6" s="149">
        <v>5</v>
      </c>
      <c r="F6" s="149">
        <v>6</v>
      </c>
      <c r="G6" s="149">
        <v>7</v>
      </c>
      <c r="H6" s="149">
        <v>8</v>
      </c>
      <c r="I6" s="149">
        <v>9</v>
      </c>
    </row>
    <row r="7" ht="15.6">
      <c r="A7" s="16" t="s">
        <v>16</v>
      </c>
      <c r="B7" s="17"/>
      <c r="C7" s="150"/>
      <c r="D7" s="150"/>
      <c r="E7" s="150"/>
      <c r="F7" s="150"/>
      <c r="G7" s="150"/>
      <c r="H7" s="150"/>
      <c r="I7" s="150"/>
    </row>
    <row r="8" ht="15.6">
      <c r="A8" s="16" t="s">
        <v>17</v>
      </c>
      <c r="B8" s="19">
        <v>1110</v>
      </c>
      <c r="C8" s="151">
        <f>AVERAGE('1'!C8:D8)</f>
        <v>0</v>
      </c>
      <c r="D8" s="151">
        <f>AVERAGE('1'!D8:E8)</f>
        <v>0</v>
      </c>
      <c r="E8" s="151">
        <f>AVERAGE('1'!E8:F8)</f>
        <v>0</v>
      </c>
      <c r="F8" s="151">
        <f>AVERAGE('1'!F8:G8)</f>
        <v>0</v>
      </c>
      <c r="G8" s="151">
        <f>AVERAGE('1'!G8:H8)</f>
        <v>0</v>
      </c>
      <c r="H8" s="151">
        <f>AVERAGE('1'!H8:I8)</f>
        <v>37</v>
      </c>
      <c r="I8" s="151">
        <f>AVERAGE('1'!I8:J8)</f>
        <v>157.5</v>
      </c>
    </row>
    <row r="9" ht="15.6">
      <c r="A9" s="16" t="s">
        <v>18</v>
      </c>
      <c r="B9" s="19">
        <v>1120</v>
      </c>
      <c r="C9" s="151">
        <f>AVERAGE('1'!C9:D9)</f>
        <v>0</v>
      </c>
      <c r="D9" s="151">
        <f>AVERAGE('1'!D9:E9)</f>
        <v>0</v>
      </c>
      <c r="E9" s="151">
        <f>AVERAGE('1'!E9:F9)</f>
        <v>0</v>
      </c>
      <c r="F9" s="151">
        <f>AVERAGE('1'!F9:G9)</f>
        <v>0</v>
      </c>
      <c r="G9" s="151">
        <f>AVERAGE('1'!G9:H9)</f>
        <v>0</v>
      </c>
      <c r="H9" s="151">
        <f>AVERAGE('1'!H9:I9)</f>
        <v>0</v>
      </c>
      <c r="I9" s="151">
        <f>AVERAGE('1'!I9:J9)</f>
        <v>0</v>
      </c>
    </row>
    <row r="10" ht="15.6">
      <c r="A10" s="16" t="s">
        <v>19</v>
      </c>
      <c r="B10" s="19">
        <v>1130</v>
      </c>
      <c r="C10" s="151">
        <f>AVERAGE('1'!C10:D10)</f>
        <v>5918929.5</v>
      </c>
      <c r="D10" s="151">
        <f>AVERAGE('1'!D10:E10)</f>
        <v>3864455.5</v>
      </c>
      <c r="E10" s="151">
        <f>AVERAGE('1'!E10:F10)</f>
        <v>3918029</v>
      </c>
      <c r="F10" s="151">
        <f>AVERAGE('1'!F10:G10)</f>
        <v>3887179</v>
      </c>
      <c r="G10" s="151">
        <f>AVERAGE('1'!G10:H10)</f>
        <v>3888485</v>
      </c>
      <c r="H10" s="151">
        <f>AVERAGE('1'!H10:I10)</f>
        <v>3757944.5</v>
      </c>
      <c r="I10" s="151">
        <f>AVERAGE('1'!I10:J10)</f>
        <v>3596080</v>
      </c>
    </row>
    <row r="11" ht="18" customHeight="1">
      <c r="A11" s="16" t="s">
        <v>20</v>
      </c>
      <c r="B11" s="19">
        <v>1140</v>
      </c>
      <c r="C11" s="151">
        <f>AVERAGE('1'!C11:D11)</f>
        <v>0</v>
      </c>
      <c r="D11" s="151">
        <f>AVERAGE('1'!D11:E11)</f>
        <v>0</v>
      </c>
      <c r="E11" s="151">
        <f>AVERAGE('1'!E11:F11)</f>
        <v>0</v>
      </c>
      <c r="F11" s="151">
        <f>AVERAGE('1'!F11:G11)</f>
        <v>0</v>
      </c>
      <c r="G11" s="151">
        <f>AVERAGE('1'!G11:H11)</f>
        <v>0</v>
      </c>
      <c r="H11" s="151">
        <f>AVERAGE('1'!H11:I11)</f>
        <v>0</v>
      </c>
      <c r="I11" s="151">
        <f>AVERAGE('1'!I11:J11)</f>
        <v>0</v>
      </c>
    </row>
    <row r="12" ht="15.6">
      <c r="A12" s="16" t="s">
        <v>21</v>
      </c>
      <c r="B12" s="19">
        <v>1150</v>
      </c>
      <c r="C12" s="151">
        <f>AVERAGE('1'!C12:D12)</f>
        <v>9265974</v>
      </c>
      <c r="D12" s="151">
        <f>AVERAGE('1'!D12:E12)</f>
        <v>11511022</v>
      </c>
      <c r="E12" s="151">
        <f>AVERAGE('1'!E12:F12)</f>
        <v>9597759.5</v>
      </c>
      <c r="F12" s="151">
        <f>AVERAGE('1'!F12:G12)</f>
        <v>5522664.5</v>
      </c>
      <c r="G12" s="151">
        <f>AVERAGE('1'!G12:H12)</f>
        <v>6791468.5</v>
      </c>
      <c r="H12" s="151">
        <f>AVERAGE('1'!H12:I12)</f>
        <v>9730324</v>
      </c>
      <c r="I12" s="151">
        <f>AVERAGE('1'!I12:J12)</f>
        <v>13721840.5</v>
      </c>
    </row>
    <row r="13" ht="15.6">
      <c r="A13" s="16" t="s">
        <v>22</v>
      </c>
      <c r="B13" s="19">
        <v>1160</v>
      </c>
      <c r="C13" s="151">
        <f>AVERAGE('1'!C13:D13)</f>
        <v>162762.5</v>
      </c>
      <c r="D13" s="151">
        <f>AVERAGE('1'!D13:E13)</f>
        <v>159370</v>
      </c>
      <c r="E13" s="151">
        <f>AVERAGE('1'!E13:F13)</f>
        <v>160605</v>
      </c>
      <c r="F13" s="151">
        <f>AVERAGE('1'!F13:G13)</f>
        <v>157177.5</v>
      </c>
      <c r="G13" s="151">
        <f>AVERAGE('1'!G13:H13)</f>
        <v>146799.5</v>
      </c>
      <c r="H13" s="151">
        <f>AVERAGE('1'!H13:I13)</f>
        <v>103769</v>
      </c>
      <c r="I13" s="151">
        <f>AVERAGE('1'!I13:J13)</f>
        <v>60585.5</v>
      </c>
    </row>
    <row r="14" ht="15.6">
      <c r="A14" s="16" t="s">
        <v>23</v>
      </c>
      <c r="B14" s="19">
        <v>1170</v>
      </c>
      <c r="C14" s="151">
        <f>AVERAGE('1'!C14:D14)</f>
        <v>1714408</v>
      </c>
      <c r="D14" s="151">
        <f>AVERAGE('1'!D14:E14)</f>
        <v>1307835</v>
      </c>
      <c r="E14" s="151">
        <f>AVERAGE('1'!E14:F14)</f>
        <v>467071.5</v>
      </c>
      <c r="F14" s="151">
        <f>AVERAGE('1'!F14:G14)</f>
        <v>235754.5</v>
      </c>
      <c r="G14" s="151">
        <f>AVERAGE('1'!G14:H14)</f>
        <v>43113.5</v>
      </c>
      <c r="H14" s="151">
        <f>AVERAGE('1'!H14:I14)</f>
        <v>71671.5</v>
      </c>
      <c r="I14" s="151">
        <f>AVERAGE('1'!I14:J14)</f>
        <v>81726</v>
      </c>
    </row>
    <row r="15" s="6" customFormat="1" ht="15.6">
      <c r="A15" s="21" t="s">
        <v>24</v>
      </c>
      <c r="B15" s="22">
        <v>1100</v>
      </c>
      <c r="C15" s="152">
        <f>SUM(C8:C14)</f>
        <v>17062074</v>
      </c>
      <c r="D15" s="152">
        <f>SUM(D8:D14)</f>
        <v>16842682.5</v>
      </c>
      <c r="E15" s="152">
        <f>SUM(E8:E14)</f>
        <v>14143465</v>
      </c>
      <c r="F15" s="152">
        <f>SUM(F8:F14)</f>
        <v>9802775.5</v>
      </c>
      <c r="G15" s="152">
        <f>SUM(G8:G14)</f>
        <v>10869866.5</v>
      </c>
      <c r="H15" s="152">
        <f>SUM(H8:H14)</f>
        <v>13663746</v>
      </c>
      <c r="I15" s="152">
        <f>SUM(I8:I14)</f>
        <v>17460389.5</v>
      </c>
    </row>
    <row r="16" ht="15.6">
      <c r="A16" s="16" t="s">
        <v>25</v>
      </c>
      <c r="B16" s="17"/>
      <c r="C16" s="150"/>
      <c r="D16" s="150"/>
      <c r="E16" s="150"/>
      <c r="F16" s="150"/>
      <c r="G16" s="150"/>
      <c r="H16" s="150"/>
      <c r="I16" s="150"/>
    </row>
    <row r="17" ht="15.6">
      <c r="A17" s="16" t="s">
        <v>26</v>
      </c>
      <c r="B17" s="19">
        <v>1210</v>
      </c>
      <c r="C17" s="151">
        <f>AVERAGE('1'!C17:D17)</f>
        <v>2906666.5</v>
      </c>
      <c r="D17" s="151">
        <f>AVERAGE('1'!D17:E17)</f>
        <v>2524122</v>
      </c>
      <c r="E17" s="151">
        <f>AVERAGE('1'!E17:F17)</f>
        <v>2388830</v>
      </c>
      <c r="F17" s="151">
        <f>AVERAGE('1'!F17:G17)</f>
        <v>2077538.5</v>
      </c>
      <c r="G17" s="151">
        <f>AVERAGE('1'!G17:H17)</f>
        <v>1819431</v>
      </c>
      <c r="H17" s="151">
        <f>AVERAGE('1'!H17:I17)</f>
        <v>1586497</v>
      </c>
      <c r="I17" s="151">
        <f>AVERAGE('1'!I17:J17)</f>
        <v>1658479.5</v>
      </c>
    </row>
    <row r="18" ht="15.6">
      <c r="A18" s="16" t="s">
        <v>27</v>
      </c>
      <c r="B18" s="19">
        <v>1220</v>
      </c>
      <c r="C18" s="151">
        <f>AVERAGE('1'!C18:D18)</f>
        <v>24808.5</v>
      </c>
      <c r="D18" s="151">
        <f>AVERAGE('1'!D18:E18)</f>
        <v>283046.5</v>
      </c>
      <c r="E18" s="151">
        <f>AVERAGE('1'!E18:F18)</f>
        <v>367992</v>
      </c>
      <c r="F18" s="151">
        <f>AVERAGE('1'!F18:G18)</f>
        <v>309569.5</v>
      </c>
      <c r="G18" s="151">
        <f>AVERAGE('1'!G18:H18)</f>
        <v>322904.5</v>
      </c>
      <c r="H18" s="151">
        <f>AVERAGE('1'!H18:I18)</f>
        <v>204800.5</v>
      </c>
      <c r="I18" s="151">
        <f>AVERAGE('1'!I18:J18)</f>
        <v>120017</v>
      </c>
    </row>
    <row r="19" ht="15.6">
      <c r="A19" s="16" t="s">
        <v>28</v>
      </c>
      <c r="B19" s="19">
        <v>1230</v>
      </c>
      <c r="C19" s="151">
        <f>AVERAGE('1'!C19:D19)</f>
        <v>2900695.5</v>
      </c>
      <c r="D19" s="151">
        <f>AVERAGE('1'!D19:E19)</f>
        <v>3169324</v>
      </c>
      <c r="E19" s="151">
        <f>AVERAGE('1'!E19:F19)</f>
        <v>3473442</v>
      </c>
      <c r="F19" s="151">
        <f>AVERAGE('1'!F19:G19)</f>
        <v>4543106</v>
      </c>
      <c r="G19" s="151">
        <f>AVERAGE('1'!G19:H19)</f>
        <v>5464375</v>
      </c>
      <c r="H19" s="151">
        <f>AVERAGE('1'!H19:I19)</f>
        <v>4973655</v>
      </c>
      <c r="I19" s="151">
        <f>AVERAGE('1'!I19:J19)</f>
        <v>4498850</v>
      </c>
    </row>
    <row r="20" ht="15.6">
      <c r="A20" s="25" t="s">
        <v>29</v>
      </c>
      <c r="B20" s="19">
        <v>1231</v>
      </c>
      <c r="C20" s="151">
        <f>AVERAGE('1'!C20:D20)</f>
        <v>0</v>
      </c>
      <c r="D20" s="151">
        <f>AVERAGE('1'!D20:E20)</f>
        <v>50684.5</v>
      </c>
      <c r="E20" s="151">
        <f>AVERAGE('1'!E20:F20)</f>
        <v>50684.5</v>
      </c>
      <c r="F20" s="151">
        <f>AVERAGE('1'!F20:G20)</f>
        <v>103362</v>
      </c>
      <c r="G20" s="151">
        <f>AVERAGE('1'!G20:H20)</f>
        <v>251059.5</v>
      </c>
      <c r="H20" s="151">
        <f>AVERAGE('1'!H20:I20)</f>
        <v>1038160.5</v>
      </c>
      <c r="I20" s="151">
        <f>AVERAGE('1'!I20:J20)</f>
        <v>2250700</v>
      </c>
    </row>
    <row r="21" ht="15.6">
      <c r="A21" s="25" t="s">
        <v>30</v>
      </c>
      <c r="B21" s="19">
        <v>1232</v>
      </c>
      <c r="C21" s="151">
        <f>AVERAGE('1'!C21:D21)</f>
        <v>2900695.5</v>
      </c>
      <c r="D21" s="151">
        <f>AVERAGE('1'!D21:E21)</f>
        <v>3118639.5</v>
      </c>
      <c r="E21" s="151">
        <f>AVERAGE('1'!E21:F21)</f>
        <v>3422757.5</v>
      </c>
      <c r="F21" s="151">
        <f>AVERAGE('1'!F21:G21)</f>
        <v>4439744</v>
      </c>
      <c r="G21" s="151">
        <f>AVERAGE('1'!G21:H21)</f>
        <v>5213315.5</v>
      </c>
      <c r="H21" s="151">
        <f>AVERAGE('1'!H21:I21)</f>
        <v>3935494.5</v>
      </c>
      <c r="I21" s="151">
        <f>AVERAGE('1'!I21:J21)</f>
        <v>2248150</v>
      </c>
    </row>
    <row r="22" ht="28.550000000000001">
      <c r="A22" s="16" t="s">
        <v>31</v>
      </c>
      <c r="B22" s="19">
        <v>1240</v>
      </c>
      <c r="C22" s="151">
        <f>AVERAGE('1'!C22:D22)</f>
        <v>22810806</v>
      </c>
      <c r="D22" s="151">
        <f>AVERAGE('1'!D22:E22)</f>
        <v>24773744.5</v>
      </c>
      <c r="E22" s="151">
        <f>AVERAGE('1'!E22:F22)</f>
        <v>30412640.5</v>
      </c>
      <c r="F22" s="151">
        <f>AVERAGE('1'!F22:G22)</f>
        <v>31760161.5</v>
      </c>
      <c r="G22" s="151">
        <f>AVERAGE('1'!G22:H22)</f>
        <v>24442883.5</v>
      </c>
      <c r="H22" s="151">
        <f>AVERAGE('1'!H22:I22)</f>
        <v>17246720</v>
      </c>
      <c r="I22" s="151">
        <f>AVERAGE('1'!I22:J22)</f>
        <v>7069694</v>
      </c>
    </row>
    <row r="23" ht="15.6">
      <c r="A23" s="16" t="s">
        <v>32</v>
      </c>
      <c r="B23" s="19">
        <v>1250</v>
      </c>
      <c r="C23" s="151">
        <f>AVERAGE('1'!C23:D23)</f>
        <v>2202480</v>
      </c>
      <c r="D23" s="151">
        <f>AVERAGE('1'!D23:E23)</f>
        <v>2064377.5</v>
      </c>
      <c r="E23" s="151">
        <f>AVERAGE('1'!E23:F23)</f>
        <v>3834733.5</v>
      </c>
      <c r="F23" s="151">
        <f>AVERAGE('1'!F23:G23)</f>
        <v>5601657</v>
      </c>
      <c r="G23" s="151">
        <f>AVERAGE('1'!G23:H23)</f>
        <v>5191600.5</v>
      </c>
      <c r="H23" s="151">
        <f>AVERAGE('1'!H23:I23)</f>
        <v>2118984</v>
      </c>
      <c r="I23" s="151">
        <f>AVERAGE('1'!I23:J23)</f>
        <v>670529.5</v>
      </c>
    </row>
    <row r="24" ht="15.6">
      <c r="A24" s="16" t="s">
        <v>33</v>
      </c>
      <c r="B24" s="19">
        <v>1260</v>
      </c>
      <c r="C24" s="151">
        <f>AVERAGE('1'!C24:D24)</f>
        <v>471537.5</v>
      </c>
      <c r="D24" s="151">
        <f>AVERAGE('1'!D24:E24)</f>
        <v>184538.5</v>
      </c>
      <c r="E24" s="151">
        <f>AVERAGE('1'!E24:F24)</f>
        <v>169257.5</v>
      </c>
      <c r="F24" s="151">
        <f>AVERAGE('1'!F24:G24)</f>
        <v>265941</v>
      </c>
      <c r="G24" s="151">
        <f>AVERAGE('1'!G24:H24)</f>
        <v>234944</v>
      </c>
      <c r="H24" s="151">
        <f>AVERAGE('1'!H24:I24)</f>
        <v>110492</v>
      </c>
      <c r="I24" s="151">
        <f>AVERAGE('1'!I24:J24)</f>
        <v>90916</v>
      </c>
    </row>
    <row r="25" s="6" customFormat="1" ht="15.6">
      <c r="A25" s="21" t="s">
        <v>34</v>
      </c>
      <c r="B25" s="22">
        <v>1200</v>
      </c>
      <c r="C25" s="152">
        <f>SUM(C17:C19,C22,C23,C24)</f>
        <v>31316994</v>
      </c>
      <c r="D25" s="152">
        <f>SUM(D17:D19,D22,D23,D24)</f>
        <v>32999153</v>
      </c>
      <c r="E25" s="152">
        <f>SUM(E17:E19,E22,E23,E24)</f>
        <v>40646895.5</v>
      </c>
      <c r="F25" s="152">
        <f>SUM(F17:F19,F22,F23,F24)</f>
        <v>44557973.5</v>
      </c>
      <c r="G25" s="152">
        <f>SUM(G17:G19,G22,G23,G24)</f>
        <v>37476138.5</v>
      </c>
      <c r="H25" s="152">
        <f>SUM(H17:H19,H22,H23,H24)</f>
        <v>26241148.5</v>
      </c>
      <c r="I25" s="152">
        <f>SUM(I17:I19,I22,I23,I24)</f>
        <v>14108486</v>
      </c>
    </row>
    <row r="26" s="6" customFormat="1" ht="15.6">
      <c r="A26" s="21" t="s">
        <v>35</v>
      </c>
      <c r="B26" s="22">
        <v>1600</v>
      </c>
      <c r="C26" s="152">
        <f>C15+C25</f>
        <v>48379068</v>
      </c>
      <c r="D26" s="152">
        <f>D15+D25</f>
        <v>49841835.5</v>
      </c>
      <c r="E26" s="152">
        <f>E15+E25</f>
        <v>54790360.5</v>
      </c>
      <c r="F26" s="152">
        <f>F15+F25</f>
        <v>54360749</v>
      </c>
      <c r="G26" s="152">
        <f>G15+G25</f>
        <v>48346005</v>
      </c>
      <c r="H26" s="152">
        <f>H15+H25</f>
        <v>39904894.5</v>
      </c>
      <c r="I26" s="152">
        <f>I15+I25</f>
        <v>31568875.5</v>
      </c>
    </row>
    <row r="27" ht="15.6">
      <c r="A27" s="26"/>
      <c r="B27" s="26"/>
      <c r="C27" s="153"/>
      <c r="D27" s="153"/>
      <c r="E27" s="153"/>
      <c r="F27" s="153"/>
      <c r="G27" s="153"/>
      <c r="H27" s="153"/>
      <c r="I27" s="153"/>
    </row>
    <row r="28" s="154" customFormat="1" ht="28.550000000000001">
      <c r="A28" s="10" t="s">
        <v>36</v>
      </c>
      <c r="B28" s="10" t="s">
        <v>7</v>
      </c>
      <c r="C28" s="155" t="str">
        <f t="shared" ref="C28:C29" si="45">C5</f>
        <v xml:space="preserve">2019 год</v>
      </c>
      <c r="D28" s="155" t="str">
        <f t="shared" ref="D28:D29" si="46">D5</f>
        <v xml:space="preserve">2018 год</v>
      </c>
      <c r="E28" s="155" t="str">
        <f t="shared" ref="E28:E29" si="47">E5</f>
        <v xml:space="preserve">2017 год</v>
      </c>
      <c r="F28" s="155" t="str">
        <f t="shared" ref="F28:F29" si="48">F5</f>
        <v xml:space="preserve">2016 год</v>
      </c>
      <c r="G28" s="155" t="str">
        <f t="shared" ref="G28:G29" si="49">G5</f>
        <v xml:space="preserve">2015 год</v>
      </c>
      <c r="H28" s="155" t="str">
        <f t="shared" ref="H28:H29" si="50">H5</f>
        <v xml:space="preserve">2014 год</v>
      </c>
      <c r="I28" s="155" t="str">
        <f t="shared" ref="I28:I29" si="51">I5</f>
        <v xml:space="preserve">2013 год</v>
      </c>
    </row>
    <row r="29" s="154" customFormat="1" ht="15.6">
      <c r="A29" s="13">
        <f>A6</f>
        <v>1</v>
      </c>
      <c r="B29" s="13">
        <f>B6</f>
        <v>2</v>
      </c>
      <c r="C29" s="156">
        <f t="shared" si="45"/>
        <v>3</v>
      </c>
      <c r="D29" s="156">
        <f t="shared" si="46"/>
        <v>4</v>
      </c>
      <c r="E29" s="156">
        <f t="shared" si="47"/>
        <v>5</v>
      </c>
      <c r="F29" s="156">
        <f t="shared" si="48"/>
        <v>6</v>
      </c>
      <c r="G29" s="156">
        <f t="shared" si="49"/>
        <v>7</v>
      </c>
      <c r="H29" s="156">
        <f t="shared" si="50"/>
        <v>8</v>
      </c>
      <c r="I29" s="156">
        <f t="shared" si="51"/>
        <v>9</v>
      </c>
    </row>
    <row r="30" ht="15.6">
      <c r="A30" s="16" t="s">
        <v>37</v>
      </c>
      <c r="B30" s="17"/>
      <c r="C30" s="150"/>
      <c r="D30" s="150"/>
      <c r="E30" s="150"/>
      <c r="F30" s="150"/>
      <c r="G30" s="150"/>
      <c r="H30" s="150"/>
      <c r="I30" s="150"/>
    </row>
    <row r="31" ht="28.550000000000001">
      <c r="A31" s="16" t="s">
        <v>38</v>
      </c>
      <c r="B31" s="19">
        <v>1310</v>
      </c>
      <c r="C31" s="151">
        <f>AVERAGE('1'!C31:D31)</f>
        <v>218860</v>
      </c>
      <c r="D31" s="151">
        <f>AVERAGE('1'!D31:E31)</f>
        <v>218860</v>
      </c>
      <c r="E31" s="151">
        <f>AVERAGE('1'!E31:F31)</f>
        <v>218860</v>
      </c>
      <c r="F31" s="151">
        <f>AVERAGE('1'!F31:G31)</f>
        <v>218860</v>
      </c>
      <c r="G31" s="151">
        <f>AVERAGE('1'!G31:H31)</f>
        <v>218860</v>
      </c>
      <c r="H31" s="151">
        <f>AVERAGE('1'!H31:I31)</f>
        <v>218860</v>
      </c>
      <c r="I31" s="151">
        <f>AVERAGE('1'!I31:J31)</f>
        <v>218860</v>
      </c>
    </row>
    <row r="32" ht="15" customHeight="1">
      <c r="A32" s="16" t="s">
        <v>39</v>
      </c>
      <c r="B32" s="19">
        <v>1320</v>
      </c>
      <c r="C32" s="151">
        <f>AVERAGE('1'!C32:D32)</f>
        <v>0</v>
      </c>
      <c r="D32" s="151">
        <f>AVERAGE('1'!D32:E32)</f>
        <v>-48323.5</v>
      </c>
      <c r="E32" s="151">
        <f>AVERAGE('1'!E32:F32)</f>
        <v>-48323.5</v>
      </c>
      <c r="F32" s="151">
        <f>AVERAGE('1'!F32:G32)</f>
        <v>-10423.5</v>
      </c>
      <c r="G32" s="151">
        <f>AVERAGE('1'!G32:H32)</f>
        <v>-10423.5</v>
      </c>
      <c r="H32" s="151">
        <f>AVERAGE('1'!H32:I32)</f>
        <v>0</v>
      </c>
      <c r="I32" s="151">
        <f>AVERAGE('1'!I32:J32)</f>
        <v>0</v>
      </c>
    </row>
    <row r="33" ht="15.6">
      <c r="A33" s="16" t="s">
        <v>40</v>
      </c>
      <c r="B33" s="19">
        <v>1340</v>
      </c>
      <c r="C33" s="151">
        <f>AVERAGE('1'!C33:D33)</f>
        <v>418064.5</v>
      </c>
      <c r="D33" s="151">
        <f>AVERAGE('1'!D33:E33)</f>
        <v>419773</v>
      </c>
      <c r="E33" s="151">
        <f>AVERAGE('1'!E33:F33)</f>
        <v>452738.5</v>
      </c>
      <c r="F33" s="151">
        <f>AVERAGE('1'!F33:G33)</f>
        <v>501500.5</v>
      </c>
      <c r="G33" s="151">
        <f>AVERAGE('1'!G33:H33)</f>
        <v>524881.5</v>
      </c>
      <c r="H33" s="151">
        <f>AVERAGE('1'!H33:I33)</f>
        <v>537337</v>
      </c>
      <c r="I33" s="151">
        <f>AVERAGE('1'!I33:J33)</f>
        <v>553521.5</v>
      </c>
    </row>
    <row r="34" ht="15.6">
      <c r="A34" s="16" t="s">
        <v>41</v>
      </c>
      <c r="B34" s="19">
        <v>1350</v>
      </c>
      <c r="C34" s="151">
        <f>AVERAGE('1'!C34:D34)</f>
        <v>84000</v>
      </c>
      <c r="D34" s="151">
        <f>AVERAGE('1'!D34:E34)</f>
        <v>84000</v>
      </c>
      <c r="E34" s="151">
        <f>AVERAGE('1'!E34:F34)</f>
        <v>84000</v>
      </c>
      <c r="F34" s="151">
        <f>AVERAGE('1'!F34:G34)</f>
        <v>84000</v>
      </c>
      <c r="G34" s="151">
        <f>AVERAGE('1'!G34:H34)</f>
        <v>84000</v>
      </c>
      <c r="H34" s="151">
        <f>AVERAGE('1'!H34:I34)</f>
        <v>84000</v>
      </c>
      <c r="I34" s="151">
        <f>AVERAGE('1'!I34:J34)</f>
        <v>84000</v>
      </c>
    </row>
    <row r="35" ht="15.6">
      <c r="A35" s="16" t="s">
        <v>42</v>
      </c>
      <c r="B35" s="19">
        <v>1360</v>
      </c>
      <c r="C35" s="151">
        <f>AVERAGE('1'!C35:D35)</f>
        <v>32829</v>
      </c>
      <c r="D35" s="151">
        <f>AVERAGE('1'!D35:E35)</f>
        <v>32829</v>
      </c>
      <c r="E35" s="151">
        <f>AVERAGE('1'!E35:F35)</f>
        <v>32829</v>
      </c>
      <c r="F35" s="151">
        <f>AVERAGE('1'!F35:G35)</f>
        <v>32829</v>
      </c>
      <c r="G35" s="151">
        <f>AVERAGE('1'!G35:H35)</f>
        <v>32829</v>
      </c>
      <c r="H35" s="151">
        <f>AVERAGE('1'!H35:I35)</f>
        <v>32829</v>
      </c>
      <c r="I35" s="151">
        <f>AVERAGE('1'!I35:J35)</f>
        <v>32829</v>
      </c>
    </row>
    <row r="36" ht="15.6">
      <c r="A36" s="16" t="s">
        <v>43</v>
      </c>
      <c r="B36" s="19">
        <v>1370</v>
      </c>
      <c r="C36" s="151">
        <f>AVERAGE('1'!C36:D36)</f>
        <v>42327609.5</v>
      </c>
      <c r="D36" s="151">
        <f>AVERAGE('1'!D36:E36)</f>
        <v>45679195.5</v>
      </c>
      <c r="E36" s="151">
        <f>AVERAGE('1'!E36:F36)</f>
        <v>43402090</v>
      </c>
      <c r="F36" s="151">
        <f>AVERAGE('1'!F36:G36)</f>
        <v>37256537</v>
      </c>
      <c r="G36" s="151">
        <f>AVERAGE('1'!G36:H36)</f>
        <v>29673019</v>
      </c>
      <c r="H36" s="151">
        <f>AVERAGE('1'!H36:I36)</f>
        <v>25147755</v>
      </c>
      <c r="I36" s="151">
        <f>AVERAGE('1'!I36:J36)</f>
        <v>23094996</v>
      </c>
    </row>
    <row r="37" s="6" customFormat="1" ht="15.6">
      <c r="A37" s="21" t="s">
        <v>44</v>
      </c>
      <c r="B37" s="22">
        <v>1300</v>
      </c>
      <c r="C37" s="152">
        <f>SUM(C31:C36)</f>
        <v>43081363</v>
      </c>
      <c r="D37" s="152">
        <f>SUM(D31:D36)</f>
        <v>46386334</v>
      </c>
      <c r="E37" s="152">
        <f>SUM(E31:E36)</f>
        <v>44142194</v>
      </c>
      <c r="F37" s="152">
        <f>SUM(F31:F36)</f>
        <v>38083303</v>
      </c>
      <c r="G37" s="152">
        <f>SUM(G31:G36)</f>
        <v>30523166</v>
      </c>
      <c r="H37" s="152">
        <f>SUM(H31:H36)</f>
        <v>26020781</v>
      </c>
      <c r="I37" s="152">
        <f>SUM(I31:I36)</f>
        <v>23984206.5</v>
      </c>
    </row>
    <row r="38" ht="19.949999999999999" customHeight="1">
      <c r="A38" s="16" t="s">
        <v>45</v>
      </c>
      <c r="B38" s="17"/>
      <c r="C38" s="150"/>
      <c r="D38" s="150"/>
      <c r="E38" s="150"/>
      <c r="F38" s="150"/>
      <c r="G38" s="150"/>
      <c r="H38" s="150"/>
      <c r="I38" s="150"/>
    </row>
    <row r="39" ht="17.399999999999999" customHeight="1">
      <c r="A39" s="16" t="s">
        <v>46</v>
      </c>
      <c r="B39" s="19">
        <v>1410</v>
      </c>
      <c r="C39" s="151">
        <f>AVERAGE('1'!C39:D39)</f>
        <v>0</v>
      </c>
      <c r="D39" s="151">
        <f>AVERAGE('1'!D39:E39)</f>
        <v>0</v>
      </c>
      <c r="E39" s="151">
        <f>AVERAGE('1'!E39:F39)</f>
        <v>1500000</v>
      </c>
      <c r="F39" s="151">
        <f>AVERAGE('1'!F39:G39)</f>
        <v>6966202.5</v>
      </c>
      <c r="G39" s="151">
        <f>AVERAGE('1'!G39:H39)</f>
        <v>9685582.5</v>
      </c>
      <c r="H39" s="151">
        <f>AVERAGE('1'!H39:I39)</f>
        <v>6674070</v>
      </c>
      <c r="I39" s="151">
        <f>AVERAGE('1'!I39:J39)</f>
        <v>5182158.5</v>
      </c>
    </row>
    <row r="40" ht="15.6">
      <c r="A40" s="16" t="s">
        <v>47</v>
      </c>
      <c r="B40" s="19">
        <v>1420</v>
      </c>
      <c r="C40" s="151">
        <f>AVERAGE('1'!C40:D40)</f>
        <v>613551</v>
      </c>
      <c r="D40" s="151">
        <f>AVERAGE('1'!D40:E40)</f>
        <v>485837.5</v>
      </c>
      <c r="E40" s="151">
        <f>AVERAGE('1'!E40:F40)</f>
        <v>340568.5</v>
      </c>
      <c r="F40" s="151">
        <f>AVERAGE('1'!F40:G40)</f>
        <v>268380.5</v>
      </c>
      <c r="G40" s="151">
        <f>AVERAGE('1'!G40:H40)</f>
        <v>218474</v>
      </c>
      <c r="H40" s="151">
        <f>AVERAGE('1'!H40:I40)</f>
        <v>142979.5</v>
      </c>
      <c r="I40" s="151">
        <f>AVERAGE('1'!I40:J40)</f>
        <v>118755</v>
      </c>
    </row>
    <row r="41" ht="15.6">
      <c r="A41" s="16" t="s">
        <v>48</v>
      </c>
      <c r="B41" s="19">
        <v>1430</v>
      </c>
      <c r="C41" s="151">
        <f>AVERAGE('1'!C41:D41)</f>
        <v>0</v>
      </c>
      <c r="D41" s="151">
        <f>AVERAGE('1'!D41:E41)</f>
        <v>0</v>
      </c>
      <c r="E41" s="151">
        <f>AVERAGE('1'!E41:F41)</f>
        <v>0</v>
      </c>
      <c r="F41" s="151">
        <f>AVERAGE('1'!F41:G41)</f>
        <v>0</v>
      </c>
      <c r="G41" s="151">
        <f>AVERAGE('1'!G41:H41)</f>
        <v>0</v>
      </c>
      <c r="H41" s="151">
        <f>AVERAGE('1'!H41:I41)</f>
        <v>0</v>
      </c>
      <c r="I41" s="151">
        <f>AVERAGE('1'!I41:J41)</f>
        <v>0</v>
      </c>
    </row>
    <row r="42" ht="15.6">
      <c r="A42" s="16" t="s">
        <v>49</v>
      </c>
      <c r="B42" s="19">
        <v>1450</v>
      </c>
      <c r="C42" s="151">
        <f>AVERAGE('1'!C42:D42)</f>
        <v>0</v>
      </c>
      <c r="D42" s="151">
        <f>AVERAGE('1'!D42:E42)</f>
        <v>0</v>
      </c>
      <c r="E42" s="151">
        <f>AVERAGE('1'!E42:F42)</f>
        <v>0</v>
      </c>
      <c r="F42" s="151">
        <f>AVERAGE('1'!F42:G42)</f>
        <v>0</v>
      </c>
      <c r="G42" s="151">
        <f>AVERAGE('1'!G42:H42)</f>
        <v>14968.5</v>
      </c>
      <c r="H42" s="151">
        <f>AVERAGE('1'!H42:I42)</f>
        <v>14968.5</v>
      </c>
      <c r="I42" s="151">
        <f>AVERAGE('1'!I42:J42)</f>
        <v>0</v>
      </c>
    </row>
    <row r="43" s="6" customFormat="1" ht="15.6">
      <c r="A43" s="21" t="s">
        <v>50</v>
      </c>
      <c r="B43" s="22">
        <v>1400</v>
      </c>
      <c r="C43" s="152">
        <f>SUM(C39:C42)</f>
        <v>613551</v>
      </c>
      <c r="D43" s="152">
        <f>SUM(D39:D42)</f>
        <v>485837.5</v>
      </c>
      <c r="E43" s="152">
        <f>SUM(E39:E42)</f>
        <v>1840568.5</v>
      </c>
      <c r="F43" s="152">
        <f>SUM(F39:F42)</f>
        <v>7234583</v>
      </c>
      <c r="G43" s="152">
        <f>SUM(G39:G42)</f>
        <v>9919025</v>
      </c>
      <c r="H43" s="152">
        <f>SUM(H39:H42)</f>
        <v>6832018</v>
      </c>
      <c r="I43" s="152">
        <f>SUM(I39:I42)</f>
        <v>5300913.5</v>
      </c>
    </row>
    <row r="44" ht="15.6">
      <c r="A44" s="16" t="s">
        <v>51</v>
      </c>
      <c r="B44" s="17"/>
      <c r="C44" s="150"/>
      <c r="D44" s="150"/>
      <c r="E44" s="150"/>
      <c r="F44" s="150"/>
      <c r="G44" s="150"/>
      <c r="H44" s="150"/>
      <c r="I44" s="150"/>
    </row>
    <row r="45" ht="15.6">
      <c r="A45" s="16" t="s">
        <v>46</v>
      </c>
      <c r="B45" s="19">
        <v>1510</v>
      </c>
      <c r="C45" s="151">
        <f>AVERAGE('1'!C45:D45)</f>
        <v>0</v>
      </c>
      <c r="D45" s="151">
        <f>AVERAGE('1'!D45:E45)</f>
        <v>433270.5</v>
      </c>
      <c r="E45" s="151">
        <f>AVERAGE('1'!E45:F45)</f>
        <v>5796574.5</v>
      </c>
      <c r="F45" s="151">
        <f>AVERAGE('1'!F45:G45)</f>
        <v>5370976.5</v>
      </c>
      <c r="G45" s="151">
        <f>AVERAGE('1'!G45:H45)</f>
        <v>4797677.5</v>
      </c>
      <c r="H45" s="151">
        <f>AVERAGE('1'!H45:I45)</f>
        <v>5118882</v>
      </c>
      <c r="I45" s="151">
        <f>AVERAGE('1'!I45:J45)</f>
        <v>627405</v>
      </c>
    </row>
    <row r="46" ht="15.6">
      <c r="A46" s="16" t="s">
        <v>52</v>
      </c>
      <c r="B46" s="19">
        <v>1520</v>
      </c>
      <c r="C46" s="151">
        <f>AVERAGE('1'!C46:D46)</f>
        <v>4422336</v>
      </c>
      <c r="D46" s="151">
        <f>AVERAGE('1'!D46:E46)</f>
        <v>2296283.5</v>
      </c>
      <c r="E46" s="151">
        <f>AVERAGE('1'!E46:F46)</f>
        <v>2788064</v>
      </c>
      <c r="F46" s="151">
        <f>AVERAGE('1'!F46:G46)</f>
        <v>3481279</v>
      </c>
      <c r="G46" s="151">
        <f>AVERAGE('1'!G46:H46)</f>
        <v>2976565.5</v>
      </c>
      <c r="H46" s="151">
        <f>AVERAGE('1'!H46:I46)</f>
        <v>1837002.5</v>
      </c>
      <c r="I46" s="151">
        <f>AVERAGE('1'!I46:J46)</f>
        <v>1554821</v>
      </c>
    </row>
    <row r="47" ht="15.6">
      <c r="A47" s="16" t="s">
        <v>53</v>
      </c>
      <c r="B47" s="19">
        <v>1530</v>
      </c>
      <c r="C47" s="151">
        <f>AVERAGE('1'!C47:D47)</f>
        <v>4293.5</v>
      </c>
      <c r="D47" s="151">
        <f>AVERAGE('1'!D47:E47)</f>
        <v>1005.5</v>
      </c>
      <c r="E47" s="151">
        <f>AVERAGE('1'!E47:F47)</f>
        <v>1164.5</v>
      </c>
      <c r="F47" s="151">
        <f>AVERAGE('1'!F47:G47)</f>
        <v>1323.5</v>
      </c>
      <c r="G47" s="151">
        <f>AVERAGE('1'!G47:H47)</f>
        <v>1482.5</v>
      </c>
      <c r="H47" s="151">
        <f>AVERAGE('1'!H47:I47)</f>
        <v>1642</v>
      </c>
      <c r="I47" s="151">
        <f>AVERAGE('1'!I47:J47)</f>
        <v>1945</v>
      </c>
    </row>
    <row r="48" ht="15.6">
      <c r="A48" s="16" t="s">
        <v>48</v>
      </c>
      <c r="B48" s="19">
        <v>1540</v>
      </c>
      <c r="C48" s="151">
        <f>AVERAGE('1'!C48:D48)</f>
        <v>229153</v>
      </c>
      <c r="D48" s="151">
        <f>AVERAGE('1'!D48:E48)</f>
        <v>199595</v>
      </c>
      <c r="E48" s="151">
        <f>AVERAGE('1'!E48:F48)</f>
        <v>201228.5</v>
      </c>
      <c r="F48" s="151">
        <f>AVERAGE('1'!F48:G48)</f>
        <v>185696</v>
      </c>
      <c r="G48" s="151">
        <f>AVERAGE('1'!G48:H48)</f>
        <v>127225.5</v>
      </c>
      <c r="H48" s="151">
        <f>AVERAGE('1'!H48:I48)</f>
        <v>90034.5</v>
      </c>
      <c r="I48" s="151">
        <f>AVERAGE('1'!I48:J48)</f>
        <v>93754</v>
      </c>
    </row>
    <row r="49" ht="15.6">
      <c r="A49" s="16" t="s">
        <v>49</v>
      </c>
      <c r="B49" s="19">
        <v>1550</v>
      </c>
      <c r="C49" s="151">
        <f>AVERAGE('1'!C49:D49)</f>
        <v>28371.5</v>
      </c>
      <c r="D49" s="151">
        <f>AVERAGE('1'!D49:E49)</f>
        <v>39509.5</v>
      </c>
      <c r="E49" s="151">
        <f>AVERAGE('1'!E49:F49)</f>
        <v>20566.5</v>
      </c>
      <c r="F49" s="151">
        <f>AVERAGE('1'!F49:G49)</f>
        <v>3588</v>
      </c>
      <c r="G49" s="151">
        <f>AVERAGE('1'!G49:H49)</f>
        <v>863</v>
      </c>
      <c r="H49" s="151">
        <f>AVERAGE('1'!H49:I49)</f>
        <v>4534.5</v>
      </c>
      <c r="I49" s="151">
        <f>AVERAGE('1'!I49:J49)</f>
        <v>5830.5</v>
      </c>
    </row>
    <row r="50" s="6" customFormat="1" ht="15.6">
      <c r="A50" s="21" t="s">
        <v>54</v>
      </c>
      <c r="B50" s="22">
        <v>1500</v>
      </c>
      <c r="C50" s="152">
        <f>SUM(C45:C49)</f>
        <v>4684154</v>
      </c>
      <c r="D50" s="152">
        <f>SUM(D45:D49)</f>
        <v>2969664</v>
      </c>
      <c r="E50" s="152">
        <f>SUM(E45:E49)</f>
        <v>8807598</v>
      </c>
      <c r="F50" s="152">
        <f>SUM(F45:F49)</f>
        <v>9042863</v>
      </c>
      <c r="G50" s="152">
        <f>SUM(G45:G49)</f>
        <v>7903814</v>
      </c>
      <c r="H50" s="152">
        <f>SUM(H45:H49)</f>
        <v>7052095.5</v>
      </c>
      <c r="I50" s="152">
        <f>SUM(I45:I49)</f>
        <v>2283755.5</v>
      </c>
    </row>
    <row r="51" s="6" customFormat="1" ht="15.6">
      <c r="A51" s="21" t="s">
        <v>55</v>
      </c>
      <c r="B51" s="22">
        <v>1700</v>
      </c>
      <c r="C51" s="152">
        <f>C37+C43+C50</f>
        <v>48379068</v>
      </c>
      <c r="D51" s="152">
        <f>D37+D43+D50</f>
        <v>49841835.5</v>
      </c>
      <c r="E51" s="152">
        <f>E37+E43+E50</f>
        <v>54790360.5</v>
      </c>
      <c r="F51" s="152">
        <f>F37+F43+F50</f>
        <v>54360749</v>
      </c>
      <c r="G51" s="152">
        <f>G37+G43+G50</f>
        <v>48346005</v>
      </c>
      <c r="H51" s="152">
        <f>H37+H43+H50</f>
        <v>39904894.5</v>
      </c>
      <c r="I51" s="152">
        <f>I37+I43+I50</f>
        <v>31568875.5</v>
      </c>
    </row>
    <row r="52" s="157" customFormat="1" ht="15.6">
      <c r="B52" s="158"/>
      <c r="C52" s="159">
        <f>C26-C51</f>
        <v>0</v>
      </c>
      <c r="D52" s="159">
        <f>D26-D51</f>
        <v>0</v>
      </c>
      <c r="E52" s="159">
        <f>E26-E51</f>
        <v>0</v>
      </c>
      <c r="F52" s="159">
        <f>F26-F51</f>
        <v>0</v>
      </c>
      <c r="G52" s="159">
        <f>G26-G51</f>
        <v>0</v>
      </c>
      <c r="H52" s="159">
        <f>H26-H51</f>
        <v>0</v>
      </c>
      <c r="I52" s="159">
        <f>I26-I51</f>
        <v>0</v>
      </c>
    </row>
    <row r="53" ht="15.6">
      <c r="D53" s="3"/>
      <c r="E53" s="1"/>
      <c r="G53" s="4"/>
      <c r="I53" s="1"/>
    </row>
    <row r="54" ht="15.6">
      <c r="A54" s="1" t="s">
        <v>327</v>
      </c>
      <c r="C54" s="160">
        <f>AVERAGE('3'!C142:D142)</f>
        <v>43085656.5</v>
      </c>
      <c r="D54" s="160">
        <f>AVERAGE('3'!D142:E142)</f>
        <v>46387339.5</v>
      </c>
      <c r="E54" s="160">
        <f>AVERAGE('3'!E142:F142)</f>
        <v>44143358.5</v>
      </c>
      <c r="F54" s="160">
        <f>AVERAGE('3'!F142:G142)</f>
        <v>38084626.5</v>
      </c>
      <c r="G54" s="160">
        <f>AVERAGE('3'!G142:H142)</f>
        <v>30524648.5</v>
      </c>
      <c r="H54" s="160">
        <f>AVERAGE('3'!H142:I142)</f>
        <v>26022423</v>
      </c>
      <c r="I54" s="160">
        <f>AVERAGE('3'!I142:J142)</f>
        <v>23986151.5</v>
      </c>
    </row>
  </sheetData>
  <printOptions headings="0" gridLines="0" horizontalCentered="0" verticalCentered="0"/>
  <pageMargins left="0.75" right="0.75" top="0.50972222222222197" bottom="0.52013888888888904"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F4B183"/>
    <outlinePr applyStyles="0" summaryBelow="1" summaryRight="1" showOutlineSymbols="1"/>
    <pageSetUpPr autoPageBreaks="1" fitToPage="0"/>
  </sheetPr>
  <sheetViews>
    <sheetView showFormulas="0" showGridLines="1" showRowColHeaders="1" showZeros="1" rightToLeft="0" view="normal" topLeftCell="A1" zoomScale="100" workbookViewId="0">
      <selection activeCell="D30" activeCellId="0" sqref="D30"/>
    </sheetView>
  </sheetViews>
  <sheetFormatPr defaultColWidth="9.109375" defaultRowHeight="14.4"/>
  <cols>
    <col customWidth="1" min="1" max="2" style="161" width="53.880000000000003"/>
    <col customWidth="0" min="3" max="16384" style="161" width="9.1099999999999994"/>
  </cols>
  <sheetData>
    <row r="1" ht="14.4">
      <c r="A1" s="162" t="s">
        <v>328</v>
      </c>
    </row>
    <row r="3" ht="14.4">
      <c r="A3" s="163" t="s">
        <v>329</v>
      </c>
      <c r="B3" s="163" t="s">
        <v>330</v>
      </c>
    </row>
    <row r="4" ht="14.4">
      <c r="A4" s="164" t="s">
        <v>331</v>
      </c>
      <c r="B4" s="164" t="s">
        <v>332</v>
      </c>
    </row>
    <row r="5" ht="14.4">
      <c r="A5" s="164" t="s">
        <v>333</v>
      </c>
      <c r="B5" s="164" t="s">
        <v>334</v>
      </c>
    </row>
    <row r="6" ht="14.4">
      <c r="A6" s="164" t="s">
        <v>335</v>
      </c>
      <c r="B6" s="164" t="s">
        <v>336</v>
      </c>
    </row>
    <row r="7" ht="14.4">
      <c r="A7" s="164" t="s">
        <v>337</v>
      </c>
      <c r="B7" s="164" t="s">
        <v>338</v>
      </c>
    </row>
    <row r="8" ht="14.4">
      <c r="A8" s="164" t="s">
        <v>339</v>
      </c>
      <c r="B8" s="164" t="s">
        <v>340</v>
      </c>
    </row>
    <row r="9" ht="14.4">
      <c r="A9" s="165"/>
      <c r="B9" s="165"/>
    </row>
    <row r="10" ht="14.4">
      <c r="A10" s="165"/>
      <c r="B10" s="165"/>
    </row>
    <row r="11" ht="14.4">
      <c r="A11" s="163" t="s">
        <v>341</v>
      </c>
      <c r="B11" s="163" t="s">
        <v>342</v>
      </c>
    </row>
    <row r="12" ht="24.050000000000001">
      <c r="A12" s="164" t="s">
        <v>343</v>
      </c>
      <c r="B12" s="164" t="s">
        <v>344</v>
      </c>
    </row>
    <row r="13" ht="14.4">
      <c r="A13" s="164" t="s">
        <v>345</v>
      </c>
      <c r="B13" s="164" t="s">
        <v>346</v>
      </c>
    </row>
    <row r="14" ht="14.4">
      <c r="A14" s="164" t="s">
        <v>347</v>
      </c>
      <c r="B14" s="164" t="s">
        <v>348</v>
      </c>
    </row>
    <row r="15" ht="14.4">
      <c r="A15" s="164" t="s">
        <v>349</v>
      </c>
      <c r="B15" s="164" t="s">
        <v>350</v>
      </c>
    </row>
    <row r="16" ht="14.4">
      <c r="A16" s="164" t="s">
        <v>351</v>
      </c>
      <c r="B16" s="164" t="s">
        <v>352</v>
      </c>
    </row>
    <row r="17" ht="14.4">
      <c r="A17" s="164" t="s">
        <v>353</v>
      </c>
      <c r="B17" s="164" t="s">
        <v>354</v>
      </c>
    </row>
    <row r="18" ht="14.4">
      <c r="A18" s="165"/>
      <c r="B18" s="165"/>
    </row>
    <row r="19" ht="14.4">
      <c r="A19" s="166" t="s">
        <v>355</v>
      </c>
      <c r="B19" s="166"/>
    </row>
    <row r="20" ht="14.4">
      <c r="A20" s="163" t="s">
        <v>356</v>
      </c>
      <c r="B20" s="163" t="s">
        <v>357</v>
      </c>
    </row>
    <row r="21" ht="14.4">
      <c r="A21" s="164" t="s">
        <v>358</v>
      </c>
      <c r="B21" s="164" t="s">
        <v>359</v>
      </c>
    </row>
    <row r="22" ht="14.4">
      <c r="A22" s="164" t="s">
        <v>360</v>
      </c>
      <c r="B22" s="164" t="s">
        <v>361</v>
      </c>
    </row>
    <row r="23" ht="14.4">
      <c r="A23" s="164" t="s">
        <v>362</v>
      </c>
      <c r="B23" s="164" t="s">
        <v>363</v>
      </c>
    </row>
    <row r="24" ht="14.4">
      <c r="A24" s="164" t="s">
        <v>364</v>
      </c>
      <c r="B24" s="164" t="s">
        <v>365</v>
      </c>
    </row>
    <row r="25" ht="14.4">
      <c r="A25" s="164" t="s">
        <v>366</v>
      </c>
      <c r="B25" s="164" t="s">
        <v>367</v>
      </c>
    </row>
    <row r="26" ht="14.4">
      <c r="A26" s="164"/>
      <c r="B26" s="164" t="s">
        <v>368</v>
      </c>
    </row>
    <row r="27" ht="14.4">
      <c r="A27" s="165"/>
      <c r="B27" s="165"/>
    </row>
    <row r="30" ht="106.8" customHeight="1">
      <c r="A30" s="167" t="s">
        <v>369</v>
      </c>
      <c r="B30" s="167"/>
    </row>
  </sheetData>
  <mergeCells count="2">
    <mergeCell ref="A19:B19"/>
    <mergeCell ref="A30:B30"/>
  </mergeCells>
  <printOptions headings="0" gridLines="0" horizontalCentered="0" verticalCentered="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F4B183"/>
    <outlinePr applyStyles="0" summaryBelow="1" summaryRight="1" showOutlineSymbols="1"/>
    <pageSetUpPr autoPageBreaks="1" fitToPage="1"/>
  </sheetPr>
  <sheetViews>
    <sheetView showFormulas="0" showGridLines="1" showRowColHeaders="1" showZeros="1" rightToLeft="0" view="normal" topLeftCell="A1" zoomScale="100" workbookViewId="0">
      <pane xSplit="1" topLeftCell="B1" activePane="topRight" state="frozen"/>
      <selection activeCell="A1" activeCellId="0" sqref="A1"/>
    </sheetView>
  </sheetViews>
  <sheetFormatPr defaultColWidth="9.109375" defaultRowHeight="15.6"/>
  <cols>
    <col customWidth="1" min="1" max="1" style="64" width="49.880000000000003"/>
    <col customWidth="1" min="2" max="22" style="64" width="20.440000000000001"/>
    <col customWidth="0" min="23" max="16384" style="64" width="9.1099999999999994"/>
  </cols>
  <sheetData>
    <row r="1" ht="15.6">
      <c r="A1" s="66" t="s">
        <v>370</v>
      </c>
    </row>
    <row r="2" ht="15.6">
      <c r="A2" s="66" t="s">
        <v>371</v>
      </c>
    </row>
    <row r="3" s="33" customFormat="1" ht="15.6">
      <c r="A3" s="168" t="s">
        <v>177</v>
      </c>
      <c r="B3" s="168" t="str">
        <f>бс!C5</f>
        <v xml:space="preserve">2019 год</v>
      </c>
      <c r="C3" s="168" t="str">
        <f>бс!D5</f>
        <v xml:space="preserve">2018 год</v>
      </c>
      <c r="D3" s="168" t="str">
        <f>бс!E5</f>
        <v xml:space="preserve">2017 год</v>
      </c>
      <c r="E3" s="168" t="str">
        <f>бс!F5</f>
        <v xml:space="preserve">2016 год</v>
      </c>
      <c r="F3" s="168" t="str">
        <f>бс!G5</f>
        <v xml:space="preserve">2015 год</v>
      </c>
      <c r="G3" s="168" t="str">
        <f>бс!H5</f>
        <v xml:space="preserve">2014 год</v>
      </c>
      <c r="H3" s="168" t="str">
        <f>бс!I5</f>
        <v xml:space="preserve">2013 год</v>
      </c>
    </row>
    <row r="4" ht="15.6">
      <c r="A4" s="169" t="s">
        <v>372</v>
      </c>
      <c r="B4" s="170">
        <f>бс!C51</f>
        <v>48379068</v>
      </c>
      <c r="C4" s="170">
        <f>бс!D51</f>
        <v>49841835.5</v>
      </c>
      <c r="D4" s="170">
        <f>бс!E51</f>
        <v>54790360.5</v>
      </c>
      <c r="E4" s="170">
        <f>бс!F51</f>
        <v>54360749</v>
      </c>
      <c r="F4" s="170">
        <f>бс!G51</f>
        <v>48346005</v>
      </c>
      <c r="G4" s="170">
        <f>бс!H51</f>
        <v>39904894.5</v>
      </c>
      <c r="H4" s="170">
        <f>бс!I51</f>
        <v>31568875.5</v>
      </c>
    </row>
    <row r="5" ht="15.6">
      <c r="A5" s="171" t="s">
        <v>373</v>
      </c>
      <c r="B5" s="170">
        <v>2654</v>
      </c>
      <c r="C5" s="170">
        <v>2635</v>
      </c>
      <c r="D5" s="170">
        <v>2623</v>
      </c>
      <c r="E5" s="170">
        <v>2567</v>
      </c>
      <c r="F5" s="170">
        <v>2619</v>
      </c>
      <c r="G5" s="170">
        <v>2323</v>
      </c>
      <c r="H5" s="170">
        <v>2209</v>
      </c>
    </row>
    <row r="6" ht="15.6">
      <c r="A6" s="171" t="s">
        <v>67</v>
      </c>
      <c r="B6" s="172">
        <f>'2'!C7</f>
        <v>21650314</v>
      </c>
      <c r="C6" s="170">
        <f>'2'!D7</f>
        <v>27154819</v>
      </c>
      <c r="D6" s="170">
        <f>'2'!E7</f>
        <v>24000677</v>
      </c>
      <c r="E6" s="170">
        <f>'2'!F7</f>
        <v>23253619</v>
      </c>
      <c r="F6" s="170">
        <f>'2'!G7</f>
        <v>26654915</v>
      </c>
      <c r="G6" s="172">
        <f>'2'!H7</f>
        <v>16131092</v>
      </c>
      <c r="H6" s="170">
        <f>'2'!I7</f>
        <v>17359621</v>
      </c>
    </row>
    <row r="7" ht="15.6">
      <c r="A7" s="171" t="s">
        <v>374</v>
      </c>
      <c r="B7" s="172">
        <f>'2'!C25</f>
        <v>3687983</v>
      </c>
      <c r="C7" s="170">
        <f>'2'!D25</f>
        <v>4745980</v>
      </c>
      <c r="D7" s="170">
        <f>'2'!E25</f>
        <v>8056307</v>
      </c>
      <c r="E7" s="170">
        <f>'2'!F25</f>
        <v>7458998</v>
      </c>
      <c r="F7" s="170">
        <f>'2'!G25</f>
        <v>9074394</v>
      </c>
      <c r="G7" s="172">
        <f>'2'!H25</f>
        <v>412488</v>
      </c>
      <c r="H7" s="170">
        <f>'2'!I25</f>
        <v>4028440</v>
      </c>
    </row>
    <row r="8" ht="15.6">
      <c r="A8" s="171" t="s">
        <v>375</v>
      </c>
      <c r="B8" s="172">
        <f>'2'!C20</f>
        <v>-655018</v>
      </c>
      <c r="C8" s="170">
        <f>'2'!D20</f>
        <v>-2302336</v>
      </c>
      <c r="D8" s="170">
        <f>'2'!E20</f>
        <v>-1823795</v>
      </c>
      <c r="E8" s="170">
        <f>'2'!F20</f>
        <v>-1959181</v>
      </c>
      <c r="F8" s="170">
        <f>'2'!G20</f>
        <v>-2218641</v>
      </c>
      <c r="G8" s="172">
        <f>'2'!H20</f>
        <v>-190864</v>
      </c>
      <c r="H8" s="170">
        <f>'2'!I20</f>
        <v>-1066641</v>
      </c>
    </row>
    <row r="9" ht="15.6">
      <c r="A9" s="171" t="s">
        <v>376</v>
      </c>
      <c r="B9" s="170">
        <f>'4'!C17</f>
        <v>-1204253</v>
      </c>
      <c r="C9" s="170">
        <f>'4'!D17</f>
        <v>-2152383</v>
      </c>
      <c r="D9" s="170">
        <f>'4'!E17</f>
        <v>-1945566</v>
      </c>
      <c r="E9" s="170">
        <f>'4'!F17</f>
        <v>-1933528</v>
      </c>
      <c r="F9" s="170">
        <f>'4'!G17</f>
        <v>-1576844</v>
      </c>
      <c r="G9" s="170">
        <f>'4'!H17</f>
        <v>-753463</v>
      </c>
      <c r="H9" s="170">
        <f>'4'!I17</f>
        <v>-1127412</v>
      </c>
    </row>
    <row r="10" ht="16.5" customHeight="1">
      <c r="A10" s="171" t="s">
        <v>377</v>
      </c>
      <c r="B10" s="173">
        <f>бс!C22</f>
        <v>22810806</v>
      </c>
      <c r="C10" s="173">
        <f>бс!D22</f>
        <v>24773744.5</v>
      </c>
      <c r="D10" s="173">
        <f>бс!E22</f>
        <v>30412640.5</v>
      </c>
      <c r="E10" s="173">
        <f>бс!F22</f>
        <v>31760161.5</v>
      </c>
      <c r="F10" s="173">
        <f>бс!G22</f>
        <v>24442883.5</v>
      </c>
      <c r="G10" s="173">
        <f>бс!H22</f>
        <v>17246720</v>
      </c>
      <c r="H10" s="173">
        <f>бс!I22</f>
        <v>7069694</v>
      </c>
    </row>
    <row r="11" ht="69.599999999999994" customHeight="1">
      <c r="A11" s="174" t="s">
        <v>378</v>
      </c>
      <c r="B11" s="175" t="s">
        <v>379</v>
      </c>
      <c r="C11" s="175"/>
      <c r="D11" s="175"/>
      <c r="E11" s="175"/>
      <c r="F11" s="175"/>
      <c r="G11" s="175"/>
      <c r="H11" s="175"/>
    </row>
    <row r="12" ht="16.199999999999999" customHeight="1">
      <c r="A12" s="176" t="s">
        <v>380</v>
      </c>
      <c r="B12" s="177"/>
      <c r="C12" s="177"/>
    </row>
    <row r="14" ht="15.6">
      <c r="A14" s="66" t="s">
        <v>381</v>
      </c>
    </row>
    <row r="15" ht="15.6">
      <c r="A15" s="168" t="s">
        <v>177</v>
      </c>
      <c r="B15" s="168" t="str">
        <f>B3</f>
        <v xml:space="preserve">2019 год</v>
      </c>
      <c r="C15" s="168" t="str">
        <f>C3</f>
        <v xml:space="preserve">2018 год</v>
      </c>
      <c r="D15" s="168" t="str">
        <f>D3</f>
        <v xml:space="preserve">2017 год</v>
      </c>
      <c r="E15" s="168" t="str">
        <f>E3</f>
        <v xml:space="preserve">2016 год</v>
      </c>
      <c r="F15" s="168" t="str">
        <f>F3</f>
        <v xml:space="preserve">2015 год</v>
      </c>
      <c r="G15" s="168" t="str">
        <f>G3</f>
        <v xml:space="preserve">2014 год</v>
      </c>
      <c r="H15" s="168" t="str">
        <f>H3</f>
        <v xml:space="preserve">2013 год</v>
      </c>
    </row>
    <row r="16" ht="15.6">
      <c r="A16" s="171" t="s">
        <v>382</v>
      </c>
      <c r="B16" s="173">
        <f>бс!C31</f>
        <v>218860</v>
      </c>
      <c r="C16" s="173">
        <f>бс!D31</f>
        <v>218860</v>
      </c>
      <c r="D16" s="173">
        <f>бс!E31</f>
        <v>218860</v>
      </c>
      <c r="E16" s="173">
        <f>бс!F31</f>
        <v>218860</v>
      </c>
      <c r="F16" s="173">
        <f>бс!G31</f>
        <v>218860</v>
      </c>
      <c r="G16" s="173">
        <f>бс!H31</f>
        <v>218860</v>
      </c>
      <c r="H16" s="173">
        <f>бс!I31</f>
        <v>218860</v>
      </c>
    </row>
    <row r="17" ht="15.6">
      <c r="A17" s="171" t="s">
        <v>383</v>
      </c>
      <c r="B17" s="178">
        <f>($B$16/$B$4) * 100</f>
        <v>0.45238573012609501</v>
      </c>
      <c r="C17" s="178">
        <f>($C$16/$C$4) * 100</f>
        <v>0.43910902920098099</v>
      </c>
      <c r="D17" s="178">
        <f>($D$16/$D$4) * 100</f>
        <v>0.399449826580353</v>
      </c>
      <c r="E17" s="178">
        <f>($E$16/$E$4) * 100</f>
        <v>0.40260666754242103</v>
      </c>
      <c r="F17" s="178">
        <f>($F$16/$F$4) * 100</f>
        <v>0.45269510893402698</v>
      </c>
      <c r="G17" s="178">
        <f>($G$16/$G$4) * 100</f>
        <v>0.54845402485652495</v>
      </c>
      <c r="H17" s="178">
        <f>($H$16/$H$4) * 100</f>
        <v>0.69327778241578497</v>
      </c>
    </row>
    <row r="18" ht="15.6">
      <c r="A18" s="171" t="s">
        <v>384</v>
      </c>
      <c r="B18" s="173">
        <f>бс!C37</f>
        <v>43081363</v>
      </c>
      <c r="C18" s="173">
        <f>бс!D37</f>
        <v>46386334</v>
      </c>
      <c r="D18" s="173">
        <f>бс!E37</f>
        <v>44142194</v>
      </c>
      <c r="E18" s="173">
        <f>бс!F37</f>
        <v>38083303</v>
      </c>
      <c r="F18" s="173">
        <f>бс!G37</f>
        <v>30523166</v>
      </c>
      <c r="G18" s="173">
        <f>бс!H37</f>
        <v>26020781</v>
      </c>
      <c r="H18" s="173">
        <f>бс!I37</f>
        <v>23984206.5</v>
      </c>
    </row>
    <row r="19" ht="15.6">
      <c r="A19" s="171" t="s">
        <v>385</v>
      </c>
      <c r="B19" s="179">
        <f>(B$18/B$4)</f>
        <v>0.89049592687482104</v>
      </c>
      <c r="C19" s="179">
        <f>(C$18/C$4)</f>
        <v>0.93067066119585395</v>
      </c>
      <c r="D19" s="179">
        <f>(D$18/D$4)</f>
        <v>0.80565620662415605</v>
      </c>
      <c r="E19" s="179">
        <f>(E$18/E$4)</f>
        <v>0.70056619344961601</v>
      </c>
      <c r="F19" s="179">
        <f>(F$18/F$4)</f>
        <v>0.63134825721380705</v>
      </c>
      <c r="G19" s="179">
        <f>(G$18/G$4)</f>
        <v>0.65206991087271304</v>
      </c>
      <c r="H19" s="179">
        <f>(H$18/H$4)</f>
        <v>0.75974218657234105</v>
      </c>
    </row>
    <row r="20" ht="15.6">
      <c r="A20" s="171" t="s">
        <v>386</v>
      </c>
      <c r="B20" s="173">
        <f>бс!C54</f>
        <v>43085656.5</v>
      </c>
      <c r="C20" s="173">
        <f>бс!D54</f>
        <v>46387339.5</v>
      </c>
      <c r="D20" s="173">
        <f>бс!E54</f>
        <v>44143358.5</v>
      </c>
      <c r="E20" s="173">
        <f>бс!F54</f>
        <v>38084626.5</v>
      </c>
      <c r="F20" s="173">
        <f>бс!G54</f>
        <v>30524648.5</v>
      </c>
      <c r="G20" s="173">
        <f>бс!H54</f>
        <v>26022423</v>
      </c>
      <c r="H20" s="173">
        <f>бс!I54</f>
        <v>23986151.5</v>
      </c>
    </row>
    <row r="21" ht="17.25" customHeight="1">
      <c r="A21" s="171" t="s">
        <v>387</v>
      </c>
      <c r="B21" s="178">
        <f>B$20/B$16</f>
        <v>196.86400667093099</v>
      </c>
      <c r="C21" s="178">
        <f>C$20/C$16</f>
        <v>211.94982865758899</v>
      </c>
      <c r="D21" s="178">
        <f>D$20/D$16</f>
        <v>201.69678561637599</v>
      </c>
      <c r="E21" s="178">
        <f>E$20/E$16</f>
        <v>174.013645709586</v>
      </c>
      <c r="F21" s="178">
        <f>F$20/F$16</f>
        <v>139.471116238691</v>
      </c>
      <c r="G21" s="178">
        <f>G$20/G$16</f>
        <v>118.899858356941</v>
      </c>
      <c r="H21" s="178">
        <f>H$20/H$16</f>
        <v>109.595867221055</v>
      </c>
    </row>
    <row r="22" ht="15.6">
      <c r="A22" s="171" t="s">
        <v>388</v>
      </c>
      <c r="B22" s="173">
        <f>бс!C39</f>
        <v>0</v>
      </c>
      <c r="C22" s="173">
        <f>бс!D39</f>
        <v>0</v>
      </c>
      <c r="D22" s="173">
        <f>бс!E39</f>
        <v>1500000</v>
      </c>
      <c r="E22" s="173">
        <f>бс!F39</f>
        <v>6966202.5</v>
      </c>
      <c r="F22" s="173">
        <f>бс!G39</f>
        <v>9685582.5</v>
      </c>
      <c r="G22" s="173">
        <f>бс!H39</f>
        <v>6674070</v>
      </c>
      <c r="H22" s="173">
        <f>бс!I39</f>
        <v>5182158.5</v>
      </c>
    </row>
    <row r="23" ht="15.6">
      <c r="A23" s="171" t="s">
        <v>385</v>
      </c>
      <c r="B23" s="179">
        <f>B$22/B$4</f>
        <v>0</v>
      </c>
      <c r="C23" s="179">
        <f>C$22/C$4</f>
        <v>0</v>
      </c>
      <c r="D23" s="179">
        <f>D$22/D$4</f>
        <v>0.027377078491754001</v>
      </c>
      <c r="E23" s="179">
        <f>E$22/E$4</f>
        <v>0.12814765484559501</v>
      </c>
      <c r="F23" s="179">
        <f>F$22/F$4</f>
        <v>0.20033883875203301</v>
      </c>
      <c r="G23" s="179">
        <f>G$22/G$4</f>
        <v>0.16724940846542</v>
      </c>
      <c r="H23" s="179">
        <f>H$22/H$4</f>
        <v>0.16415404153372501</v>
      </c>
    </row>
    <row r="24" ht="17.25" customHeight="1">
      <c r="A24" s="171" t="s">
        <v>389</v>
      </c>
      <c r="B24" s="173">
        <f>бс!C45</f>
        <v>0</v>
      </c>
      <c r="C24" s="173">
        <f>бс!D45</f>
        <v>433270.5</v>
      </c>
      <c r="D24" s="173">
        <f>бс!E45</f>
        <v>5796574.5</v>
      </c>
      <c r="E24" s="173">
        <f>бс!F45</f>
        <v>5370976.5</v>
      </c>
      <c r="F24" s="173">
        <f>бс!G45</f>
        <v>4797677.5</v>
      </c>
      <c r="G24" s="173">
        <f>бс!H45</f>
        <v>5118882</v>
      </c>
      <c r="H24" s="173">
        <f>бс!I45</f>
        <v>627405</v>
      </c>
    </row>
    <row r="25" ht="15.6">
      <c r="A25" s="171" t="s">
        <v>385</v>
      </c>
      <c r="B25" s="179">
        <f>B$24/B$4</f>
        <v>0</v>
      </c>
      <c r="C25" s="179">
        <f>C$24/C$4</f>
        <v>0.0086929081895469103</v>
      </c>
      <c r="D25" s="179">
        <f>D$24/D$4</f>
        <v>0.10579551671320001</v>
      </c>
      <c r="E25" s="179">
        <f>E$24/E$4</f>
        <v>0.098802474189603195</v>
      </c>
      <c r="F25" s="179">
        <f>F$24/F$4</f>
        <v>0.099236276089410103</v>
      </c>
      <c r="G25" s="179">
        <f>G$24/G$4</f>
        <v>0.12827704631570899</v>
      </c>
      <c r="H25" s="179">
        <f>H$24/H$4</f>
        <v>0.019874163715460798</v>
      </c>
    </row>
    <row r="26" ht="28.550000000000001">
      <c r="A26" s="171" t="s">
        <v>390</v>
      </c>
      <c r="B26" s="173"/>
      <c r="C26" s="173"/>
      <c r="D26" s="173"/>
      <c r="E26" s="173"/>
      <c r="F26" s="173"/>
      <c r="G26" s="173"/>
      <c r="H26" s="173"/>
    </row>
    <row r="27" ht="15.6">
      <c r="A27" s="171" t="s">
        <v>385</v>
      </c>
      <c r="B27" s="178"/>
      <c r="C27" s="178"/>
      <c r="D27" s="178"/>
      <c r="E27" s="178"/>
      <c r="F27" s="178"/>
      <c r="G27" s="178"/>
      <c r="H27" s="178"/>
    </row>
    <row r="28" ht="15.6">
      <c r="A28" s="171" t="s">
        <v>391</v>
      </c>
      <c r="B28" s="173">
        <f>бс!C46</f>
        <v>4422336</v>
      </c>
      <c r="C28" s="173">
        <f>бс!D46</f>
        <v>2296283.5</v>
      </c>
      <c r="D28" s="173">
        <f>бс!E46</f>
        <v>2788064</v>
      </c>
      <c r="E28" s="173">
        <f>бс!F46</f>
        <v>3481279</v>
      </c>
      <c r="F28" s="173">
        <f>бс!G46</f>
        <v>2976565.5</v>
      </c>
      <c r="G28" s="173">
        <f>бс!H46</f>
        <v>1837002.5</v>
      </c>
      <c r="H28" s="173">
        <f>бс!I46</f>
        <v>1554821</v>
      </c>
    </row>
    <row r="29" ht="15.6">
      <c r="A29" s="171" t="s">
        <v>385</v>
      </c>
      <c r="B29" s="179">
        <f>B$28/B$4</f>
        <v>0.091410111496980501</v>
      </c>
      <c r="C29" s="179">
        <f>C$28/C$4</f>
        <v>0.046071407221750502</v>
      </c>
      <c r="D29" s="179">
        <f>D$28/D$4</f>
        <v>0.050886031312022503</v>
      </c>
      <c r="E29" s="179">
        <f>E$28/E$4</f>
        <v>0.064040305993576394</v>
      </c>
      <c r="F29" s="179">
        <f>F$28/F$4</f>
        <v>0.061567972369175099</v>
      </c>
      <c r="G29" s="179">
        <f>G$28/G$4</f>
        <v>0.046034515891277397</v>
      </c>
      <c r="H29" s="179">
        <f>H$28/H$4</f>
        <v>0.049251706795828097</v>
      </c>
    </row>
    <row r="30" ht="15.6">
      <c r="A30" s="171" t="s">
        <v>392</v>
      </c>
      <c r="B30" s="173">
        <f>бс!C37-бс!C15</f>
        <v>26019289</v>
      </c>
      <c r="C30" s="173">
        <f>бс!D37-бс!D15</f>
        <v>29543651.5</v>
      </c>
      <c r="D30" s="173">
        <f>бс!E37-бс!E15</f>
        <v>29998729</v>
      </c>
      <c r="E30" s="173">
        <f>бс!F37-бс!F15</f>
        <v>28280527.5</v>
      </c>
      <c r="F30" s="173">
        <f>бс!G37-бс!G15</f>
        <v>19653299.5</v>
      </c>
      <c r="G30" s="173">
        <f>бс!H37-бс!H15</f>
        <v>12357035</v>
      </c>
      <c r="H30" s="173">
        <f>бс!I37-бс!I15</f>
        <v>6523817</v>
      </c>
    </row>
    <row r="31" ht="137.40000000000001" customHeight="1">
      <c r="A31" s="180" t="s">
        <v>393</v>
      </c>
      <c r="B31" s="181" t="s">
        <v>394</v>
      </c>
      <c r="C31" s="181"/>
      <c r="D31" s="181"/>
      <c r="E31" s="181"/>
      <c r="F31" s="181"/>
      <c r="G31" s="181"/>
      <c r="H31" s="181"/>
    </row>
    <row r="32" ht="15.6">
      <c r="A32" s="176" t="s">
        <v>380</v>
      </c>
      <c r="B32" s="182"/>
      <c r="C32" s="182"/>
    </row>
    <row r="33" ht="15.6">
      <c r="A33" s="78"/>
    </row>
    <row r="34" ht="15.6">
      <c r="A34" s="66" t="s">
        <v>395</v>
      </c>
    </row>
    <row r="35" s="183" customFormat="1" ht="15.6">
      <c r="A35" s="168" t="s">
        <v>177</v>
      </c>
      <c r="B35" s="168" t="str">
        <f>B15</f>
        <v xml:space="preserve">2019 год</v>
      </c>
      <c r="C35" s="168" t="str">
        <f>C15</f>
        <v xml:space="preserve">2018 год</v>
      </c>
      <c r="D35" s="168" t="str">
        <f>D15</f>
        <v xml:space="preserve">2017 год</v>
      </c>
      <c r="E35" s="168" t="str">
        <f>E15</f>
        <v xml:space="preserve">2016 год</v>
      </c>
      <c r="F35" s="168" t="str">
        <f>F15</f>
        <v xml:space="preserve">2015 год</v>
      </c>
      <c r="G35" s="168" t="str">
        <f>G15</f>
        <v xml:space="preserve">2014 год</v>
      </c>
      <c r="H35" s="168" t="str">
        <f>H15</f>
        <v xml:space="preserve">2013 год</v>
      </c>
    </row>
    <row r="36" s="183" customFormat="1" ht="18.75" customHeight="1">
      <c r="A36" s="184" t="s">
        <v>396</v>
      </c>
      <c r="B36" s="185">
        <f>B$7/B$18 * 100</f>
        <v>8.5605067787664897</v>
      </c>
      <c r="C36" s="185">
        <f>C$7/C$18 * 100</f>
        <v>10.231418589794099</v>
      </c>
      <c r="D36" s="185">
        <f>D$7/D$18 * 100</f>
        <v>18.250807832524099</v>
      </c>
      <c r="E36" s="185">
        <f>E$7/E$18 * 100</f>
        <v>19.5860059722236</v>
      </c>
      <c r="F36" s="185">
        <f>F$7/F$18 * 100</f>
        <v>29.729530678436198</v>
      </c>
      <c r="G36" s="185">
        <f>G$7/G$18 * 100</f>
        <v>1.58522528589745</v>
      </c>
      <c r="H36" s="185">
        <f>H$7/H$18 * 100</f>
        <v>16.796219628946201</v>
      </c>
      <c r="I36" s="183" t="s">
        <v>397</v>
      </c>
    </row>
    <row r="37" s="186" customFormat="1" ht="15.6">
      <c r="A37" s="187" t="s">
        <v>398</v>
      </c>
      <c r="B37" s="188">
        <v>6.5</v>
      </c>
      <c r="C37" s="188">
        <v>7.2999999999999998</v>
      </c>
      <c r="D37" s="188">
        <v>7.7999999999999998</v>
      </c>
      <c r="E37" s="188">
        <v>9.0999999999999996</v>
      </c>
      <c r="F37" s="188">
        <v>12.5</v>
      </c>
      <c r="G37" s="188">
        <v>10</v>
      </c>
      <c r="H37" s="188">
        <v>10</v>
      </c>
    </row>
    <row r="38" s="183" customFormat="1" ht="15.6">
      <c r="A38" s="184" t="s">
        <v>399</v>
      </c>
      <c r="B38" s="179">
        <f>'2'!C$19/э!B$4 *100</f>
        <v>9.2344110473562697</v>
      </c>
      <c r="C38" s="179">
        <f>'2'!D$19/э!C$4 *100</f>
        <v>14.4168446605463</v>
      </c>
      <c r="D38" s="179">
        <f>'2'!E$19/э!D$4 *100</f>
        <v>18.327430059526598</v>
      </c>
      <c r="E38" s="179">
        <f>'2'!F$19/э!E$4 *100</f>
        <v>17.271610808747301</v>
      </c>
      <c r="F38" s="179">
        <f>'2'!G$19/э!F$4 *100</f>
        <v>23.5674467828314</v>
      </c>
      <c r="G38" s="179">
        <f>'2'!H$19/э!G$4 *100</f>
        <v>1.4171745273001499</v>
      </c>
      <c r="H38" s="179">
        <f>'2'!I$19/э!H$4 *100</f>
        <v>16.1402676506485</v>
      </c>
    </row>
    <row r="39" s="186" customFormat="1" ht="15.6">
      <c r="A39" s="187" t="s">
        <v>400</v>
      </c>
      <c r="B39" s="188">
        <v>9.0399999999999991</v>
      </c>
      <c r="C39" s="188">
        <v>8.9100000000000001</v>
      </c>
      <c r="D39" s="188">
        <v>10.609999999999999</v>
      </c>
      <c r="E39" s="188">
        <v>12.82</v>
      </c>
      <c r="F39" s="188">
        <v>15.369999999999999</v>
      </c>
      <c r="G39" s="188">
        <v>11.4</v>
      </c>
      <c r="H39" s="188">
        <v>10.48</v>
      </c>
    </row>
    <row r="40" s="183" customFormat="1" ht="15.6">
      <c r="A40" s="184" t="s">
        <v>401</v>
      </c>
      <c r="B40" s="178">
        <f>B$6/B$4</f>
        <v>0.44751407778256502</v>
      </c>
      <c r="C40" s="178">
        <f>C$6/C$4</f>
        <v>0.54481980303474198</v>
      </c>
      <c r="D40" s="178">
        <f>D$6/D$4</f>
        <v>0.438045612056157</v>
      </c>
      <c r="E40" s="178">
        <f>E$6/E$4</f>
        <v>0.42776487498360299</v>
      </c>
      <c r="F40" s="178">
        <f>F$6/F$4</f>
        <v>0.55133645479083504</v>
      </c>
      <c r="G40" s="178">
        <f>G$6/G$4</f>
        <v>0.40423843245594898</v>
      </c>
      <c r="H40" s="178">
        <f>H$6/H$4</f>
        <v>0.54989671710036103</v>
      </c>
    </row>
    <row r="41" s="183" customFormat="1" ht="15.6">
      <c r="A41" s="184" t="s">
        <v>402</v>
      </c>
      <c r="B41" s="189">
        <f>B$6/B$5</f>
        <v>8157.6164280331604</v>
      </c>
      <c r="C41" s="189">
        <f>C$6/C$5</f>
        <v>10305.434155597701</v>
      </c>
      <c r="D41" s="189">
        <f>D$6/D$5</f>
        <v>9150.0865421273393</v>
      </c>
      <c r="E41" s="189">
        <f>E$6/E$5</f>
        <v>9058.67510712894</v>
      </c>
      <c r="F41" s="189">
        <f>F$6/F$5</f>
        <v>10177.516227567799</v>
      </c>
      <c r="G41" s="189">
        <f>G$6/G$5</f>
        <v>6944.0774860094698</v>
      </c>
      <c r="H41" s="189">
        <f>H$6/H$5</f>
        <v>7858.5880488908997</v>
      </c>
    </row>
    <row r="42" s="183" customFormat="1" ht="82.200000000000003" customHeight="1">
      <c r="A42" s="190" t="s">
        <v>403</v>
      </c>
      <c r="B42" s="181" t="s">
        <v>404</v>
      </c>
      <c r="C42" s="181"/>
      <c r="D42" s="181"/>
      <c r="E42" s="181"/>
      <c r="F42" s="181"/>
      <c r="G42" s="181"/>
      <c r="H42" s="181"/>
    </row>
    <row r="43" s="183" customFormat="1" ht="15.6">
      <c r="A43" s="176" t="s">
        <v>380</v>
      </c>
      <c r="B43" s="191"/>
      <c r="C43" s="191"/>
    </row>
    <row r="44" s="183" customFormat="1" ht="15.6"/>
    <row r="45" s="183" customFormat="1" ht="15.6">
      <c r="A45" s="192" t="s">
        <v>405</v>
      </c>
    </row>
    <row r="46" s="193" customFormat="1" ht="15.6">
      <c r="A46" s="194" t="str">
        <f>A3</f>
        <v>Показатель</v>
      </c>
      <c r="B46" s="195" t="s">
        <v>406</v>
      </c>
      <c r="C46" s="195" t="s">
        <v>407</v>
      </c>
      <c r="D46" s="195" t="s">
        <v>408</v>
      </c>
      <c r="E46" s="195" t="s">
        <v>409</v>
      </c>
      <c r="F46" s="195" t="s">
        <v>410</v>
      </c>
      <c r="G46" s="195" t="s">
        <v>411</v>
      </c>
    </row>
    <row r="47" s="183" customFormat="1" ht="15.6">
      <c r="A47" s="196" t="s">
        <v>412</v>
      </c>
      <c r="B47" s="197">
        <f>(B4-C4)/C4*100</f>
        <v>-2.9348186825904499</v>
      </c>
      <c r="C47" s="197">
        <f>(C4-D4)/D4*100</f>
        <v>-9.0317438228938105</v>
      </c>
      <c r="D47" s="197">
        <f>(D4-E4)/E4*100</f>
        <v>0.79029724185735595</v>
      </c>
      <c r="E47" s="197">
        <f>(E4-F4)/F4*100</f>
        <v>12.441036234534799</v>
      </c>
      <c r="F47" s="197">
        <f>(F4-G4)/G4*100</f>
        <v>21.153070583860298</v>
      </c>
      <c r="G47" s="197">
        <f>(G4-H4)/H4*100</f>
        <v>26.405815436789901</v>
      </c>
    </row>
    <row r="48" s="183" customFormat="1" ht="15.6">
      <c r="A48" s="196" t="s">
        <v>413</v>
      </c>
      <c r="B48" s="197">
        <f t="shared" ref="B48:B49" si="52">(B6-C6)/C6*100</f>
        <v>-20.270821911941301</v>
      </c>
      <c r="C48" s="197">
        <f t="shared" ref="C48:C49" si="53">(C6-D6)/D6*100</f>
        <v>13.1418876225866</v>
      </c>
      <c r="D48" s="197">
        <f t="shared" ref="D48:D49" si="54">(D6-E6)/E6*100</f>
        <v>3.2126526197922098</v>
      </c>
      <c r="E48" s="197">
        <f t="shared" ref="E48:E49" si="55">(E6-F6)/F6*100</f>
        <v>-12.760483385522001</v>
      </c>
      <c r="F48" s="197">
        <f t="shared" ref="F48:F49" si="56">(F6-G6)/G6*100</f>
        <v>65.239371271331194</v>
      </c>
      <c r="G48" s="197">
        <f t="shared" ref="G48:G49" si="57">(G6-H6)/H6*100</f>
        <v>-7.0769344561151399</v>
      </c>
    </row>
    <row r="49" s="183" customFormat="1" ht="15.6">
      <c r="A49" s="196" t="s">
        <v>414</v>
      </c>
      <c r="B49" s="197">
        <f t="shared" si="52"/>
        <v>-22.292487536820602</v>
      </c>
      <c r="C49" s="197">
        <f t="shared" si="53"/>
        <v>-41.089881505260401</v>
      </c>
      <c r="D49" s="197">
        <f t="shared" si="54"/>
        <v>8.00789864804897</v>
      </c>
      <c r="E49" s="197">
        <f t="shared" si="55"/>
        <v>-17.801695628380301</v>
      </c>
      <c r="F49" s="197">
        <f t="shared" si="56"/>
        <v>2099.9170884971199</v>
      </c>
      <c r="G49" s="197">
        <f t="shared" si="57"/>
        <v>-89.760602118934401</v>
      </c>
    </row>
    <row r="50" s="183" customFormat="1" ht="15.6">
      <c r="A50" s="196" t="s">
        <v>415</v>
      </c>
      <c r="B50" s="197">
        <v>3.0499999999999998</v>
      </c>
      <c r="C50" s="197">
        <v>4.2699999999999996</v>
      </c>
      <c r="D50" s="197">
        <v>2.52</v>
      </c>
      <c r="E50" s="197">
        <v>5.3799999999999999</v>
      </c>
      <c r="F50" s="197">
        <v>12.91</v>
      </c>
      <c r="G50" s="197">
        <v>11.359999999999999</v>
      </c>
    </row>
    <row r="51" s="183" customFormat="1" ht="31.5" customHeight="1">
      <c r="A51" s="190" t="s">
        <v>416</v>
      </c>
      <c r="B51" s="198"/>
      <c r="C51" s="198"/>
      <c r="D51" s="198"/>
      <c r="E51" s="198"/>
      <c r="F51" s="198"/>
      <c r="G51" s="198"/>
    </row>
    <row r="52" s="183" customFormat="1" ht="15.6">
      <c r="A52" s="176" t="s">
        <v>380</v>
      </c>
    </row>
    <row r="53" s="183" customFormat="1" ht="15.6"/>
    <row r="54" s="183" customFormat="1" ht="15.6"/>
    <row r="55" s="183" customFormat="1" ht="15.6">
      <c r="A55" s="199" t="s">
        <v>417</v>
      </c>
    </row>
    <row r="56" s="183" customFormat="1" ht="15.6">
      <c r="A56" s="168" t="s">
        <v>177</v>
      </c>
      <c r="B56" s="168" t="str">
        <f>B3</f>
        <v xml:space="preserve">2019 год</v>
      </c>
      <c r="C56" s="168" t="str">
        <f>C3</f>
        <v xml:space="preserve">2018 год</v>
      </c>
      <c r="D56" s="168" t="str">
        <f>D3</f>
        <v xml:space="preserve">2017 год</v>
      </c>
      <c r="E56" s="168" t="str">
        <f>E3</f>
        <v xml:space="preserve">2016 год</v>
      </c>
      <c r="F56" s="168" t="str">
        <f>F3</f>
        <v xml:space="preserve">2015 год</v>
      </c>
      <c r="G56" s="168" t="str">
        <f>G3</f>
        <v xml:space="preserve">2014 год</v>
      </c>
      <c r="H56" s="168" t="str">
        <f>H3</f>
        <v xml:space="preserve">2013 год</v>
      </c>
    </row>
    <row r="57" s="183" customFormat="1" ht="16.5" customHeight="1">
      <c r="A57" s="184" t="s">
        <v>396</v>
      </c>
      <c r="B57" s="200">
        <f>B36</f>
        <v>8.5605067787664897</v>
      </c>
      <c r="C57" s="200">
        <f>C36</f>
        <v>10.231418589794099</v>
      </c>
      <c r="D57" s="200">
        <f>D36</f>
        <v>18.250807832524099</v>
      </c>
      <c r="E57" s="200">
        <f>E36</f>
        <v>19.5860059722236</v>
      </c>
      <c r="F57" s="200">
        <f>F36</f>
        <v>29.729530678436198</v>
      </c>
      <c r="G57" s="200">
        <f>G36</f>
        <v>1.58522528589745</v>
      </c>
      <c r="H57" s="200">
        <f>H36</f>
        <v>16.796219628946201</v>
      </c>
    </row>
    <row r="58" s="183" customFormat="1" ht="15.6">
      <c r="A58" s="184" t="s">
        <v>413</v>
      </c>
      <c r="B58" s="200">
        <f>B48</f>
        <v>-20.270821911941301</v>
      </c>
      <c r="C58" s="200">
        <f>C48</f>
        <v>13.1418876225866</v>
      </c>
      <c r="D58" s="200">
        <f>D48</f>
        <v>3.2126526197922098</v>
      </c>
      <c r="E58" s="200">
        <f>E48</f>
        <v>-12.760483385522001</v>
      </c>
      <c r="F58" s="200">
        <f>F48</f>
        <v>65.239371271331194</v>
      </c>
      <c r="G58" s="200">
        <f>G48</f>
        <v>-7.0769344561151399</v>
      </c>
      <c r="H58" s="200">
        <f>H48</f>
        <v>0</v>
      </c>
    </row>
    <row r="59" s="183" customFormat="1" ht="84" customHeight="1">
      <c r="A59" s="201" t="s">
        <v>418</v>
      </c>
      <c r="B59" s="181"/>
      <c r="C59" s="181"/>
      <c r="D59" s="181"/>
      <c r="E59" s="181"/>
      <c r="F59" s="181"/>
      <c r="G59" s="181"/>
      <c r="H59" s="181"/>
    </row>
    <row r="60" s="183" customFormat="1" ht="15.6">
      <c r="A60" s="176" t="s">
        <v>380</v>
      </c>
    </row>
    <row r="61" s="183" customFormat="1" ht="15.6"/>
    <row r="62" s="202" customFormat="1" ht="15.6">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c r="GH62" s="64"/>
      <c r="GI62" s="64"/>
      <c r="GJ62" s="64"/>
      <c r="GK62" s="64"/>
      <c r="GL62" s="64"/>
      <c r="GM62" s="64"/>
      <c r="GN62" s="64"/>
      <c r="GO62" s="64"/>
      <c r="GP62" s="64"/>
      <c r="GQ62" s="64"/>
      <c r="GR62" s="64"/>
      <c r="GS62" s="64"/>
      <c r="GT62" s="64"/>
      <c r="GU62" s="64"/>
      <c r="GV62" s="64"/>
      <c r="GW62" s="64"/>
      <c r="GX62" s="64"/>
      <c r="GY62" s="64"/>
      <c r="GZ62" s="64"/>
      <c r="HA62" s="64"/>
      <c r="HB62" s="64"/>
      <c r="HC62" s="64"/>
      <c r="HD62" s="64"/>
      <c r="HE62" s="64"/>
      <c r="HF62" s="64"/>
      <c r="HG62" s="64"/>
      <c r="HH62" s="64"/>
      <c r="HI62" s="64"/>
      <c r="HJ62" s="64"/>
      <c r="HK62" s="64"/>
      <c r="HL62" s="64"/>
      <c r="HM62" s="64"/>
      <c r="HN62" s="64"/>
      <c r="HO62" s="64"/>
      <c r="HP62" s="64"/>
      <c r="HQ62" s="64"/>
      <c r="HR62" s="64"/>
      <c r="HS62" s="64"/>
      <c r="HT62" s="64"/>
      <c r="HU62" s="64"/>
      <c r="HV62" s="64"/>
      <c r="HW62" s="64"/>
      <c r="HX62" s="64"/>
      <c r="HY62" s="64"/>
      <c r="HZ62" s="64"/>
      <c r="IA62" s="64"/>
      <c r="IB62" s="64"/>
      <c r="IC62" s="64"/>
      <c r="ID62" s="64"/>
      <c r="IE62" s="64"/>
      <c r="IF62" s="64"/>
      <c r="IG62" s="64"/>
      <c r="IH62" s="64"/>
      <c r="II62" s="64"/>
      <c r="IJ62" s="64"/>
      <c r="IK62" s="64"/>
      <c r="IL62" s="64"/>
      <c r="IM62" s="64"/>
      <c r="IN62" s="64"/>
      <c r="IO62" s="64"/>
      <c r="IP62" s="64"/>
      <c r="IQ62" s="64"/>
      <c r="IR62" s="64"/>
      <c r="IS62" s="64"/>
      <c r="IT62" s="64"/>
      <c r="IU62" s="64"/>
      <c r="IV62" s="64"/>
    </row>
    <row r="63" s="202" customFormat="1" ht="15.6">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c r="GV63" s="64"/>
      <c r="GW63" s="64"/>
      <c r="GX63" s="64"/>
      <c r="GY63" s="64"/>
      <c r="GZ63" s="64"/>
      <c r="HA63" s="64"/>
      <c r="HB63" s="64"/>
      <c r="HC63" s="64"/>
      <c r="HD63" s="64"/>
      <c r="HE63" s="64"/>
      <c r="HF63" s="64"/>
      <c r="HG63" s="64"/>
      <c r="HH63" s="64"/>
      <c r="HI63" s="64"/>
      <c r="HJ63" s="64"/>
      <c r="HK63" s="64"/>
      <c r="HL63" s="64"/>
      <c r="HM63" s="64"/>
      <c r="HN63" s="64"/>
      <c r="HO63" s="64"/>
      <c r="HP63" s="64"/>
      <c r="HQ63" s="64"/>
      <c r="HR63" s="64"/>
      <c r="HS63" s="64"/>
      <c r="HT63" s="64"/>
      <c r="HU63" s="64"/>
      <c r="HV63" s="64"/>
      <c r="HW63" s="64"/>
      <c r="HX63" s="64"/>
      <c r="HY63" s="64"/>
      <c r="HZ63" s="64"/>
      <c r="IA63" s="64"/>
      <c r="IB63" s="64"/>
      <c r="IC63" s="64"/>
      <c r="ID63" s="64"/>
      <c r="IE63" s="64"/>
      <c r="IF63" s="64"/>
      <c r="IG63" s="64"/>
      <c r="IH63" s="64"/>
      <c r="II63" s="64"/>
      <c r="IJ63" s="64"/>
      <c r="IK63" s="64"/>
      <c r="IL63" s="64"/>
      <c r="IM63" s="64"/>
      <c r="IN63" s="64"/>
      <c r="IO63" s="64"/>
      <c r="IP63" s="64"/>
      <c r="IQ63" s="64"/>
      <c r="IR63" s="64"/>
      <c r="IS63" s="64"/>
      <c r="IT63" s="64"/>
      <c r="IU63" s="64"/>
      <c r="IV63" s="64"/>
    </row>
    <row r="64" s="203" customFormat="1" ht="15.6">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c r="EO64" s="64"/>
      <c r="EP64" s="64"/>
      <c r="EQ64" s="64"/>
      <c r="ER64" s="64"/>
      <c r="ES64" s="64"/>
      <c r="ET64" s="64"/>
      <c r="EU64" s="64"/>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c r="GH64" s="64"/>
      <c r="GI64" s="64"/>
      <c r="GJ64" s="64"/>
      <c r="GK64" s="64"/>
      <c r="GL64" s="64"/>
      <c r="GM64" s="64"/>
      <c r="GN64" s="64"/>
      <c r="GO64" s="64"/>
      <c r="GP64" s="64"/>
      <c r="GQ64" s="64"/>
      <c r="GR64" s="64"/>
      <c r="GS64" s="64"/>
      <c r="GT64" s="64"/>
      <c r="GU64" s="64"/>
      <c r="GV64" s="64"/>
      <c r="GW64" s="64"/>
      <c r="GX64" s="64"/>
      <c r="GY64" s="64"/>
      <c r="GZ64" s="64"/>
      <c r="HA64" s="64"/>
      <c r="HB64" s="64"/>
      <c r="HC64" s="64"/>
      <c r="HD64" s="64"/>
      <c r="HE64" s="64"/>
      <c r="HF64" s="64"/>
      <c r="HG64" s="64"/>
      <c r="HH64" s="64"/>
      <c r="HI64" s="64"/>
      <c r="HJ64" s="64"/>
      <c r="HK64" s="64"/>
      <c r="HL64" s="64"/>
      <c r="HM64" s="64"/>
      <c r="HN64" s="64"/>
      <c r="HO64" s="64"/>
      <c r="HP64" s="64"/>
      <c r="HQ64" s="64"/>
      <c r="HR64" s="64"/>
      <c r="HS64" s="64"/>
      <c r="HT64" s="64"/>
      <c r="HU64" s="64"/>
      <c r="HV64" s="64"/>
      <c r="HW64" s="64"/>
      <c r="HX64" s="64"/>
      <c r="HY64" s="64"/>
      <c r="HZ64" s="64"/>
      <c r="IA64" s="64"/>
      <c r="IB64" s="64"/>
      <c r="IC64" s="64"/>
      <c r="ID64" s="64"/>
      <c r="IE64" s="64"/>
      <c r="IF64" s="64"/>
      <c r="IG64" s="64"/>
      <c r="IH64" s="64"/>
      <c r="II64" s="64"/>
      <c r="IJ64" s="64"/>
      <c r="IK64" s="64"/>
      <c r="IL64" s="64"/>
      <c r="IM64" s="64"/>
      <c r="IN64" s="64"/>
      <c r="IO64" s="64"/>
      <c r="IP64" s="64"/>
      <c r="IQ64" s="64"/>
      <c r="IR64" s="64"/>
      <c r="IS64" s="64"/>
      <c r="IT64" s="64"/>
      <c r="IU64" s="64"/>
      <c r="IV64" s="64"/>
    </row>
    <row r="65" s="202" customFormat="1" ht="15.6">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c r="GV65" s="64"/>
      <c r="GW65" s="64"/>
      <c r="GX65" s="64"/>
      <c r="GY65" s="64"/>
      <c r="GZ65" s="64"/>
      <c r="HA65" s="64"/>
      <c r="HB65" s="64"/>
      <c r="HC65" s="64"/>
      <c r="HD65" s="64"/>
      <c r="HE65" s="64"/>
      <c r="HF65" s="64"/>
      <c r="HG65" s="64"/>
      <c r="HH65" s="64"/>
      <c r="HI65" s="64"/>
      <c r="HJ65" s="64"/>
      <c r="HK65" s="64"/>
      <c r="HL65" s="64"/>
      <c r="HM65" s="64"/>
      <c r="HN65" s="64"/>
      <c r="HO65" s="64"/>
      <c r="HP65" s="64"/>
      <c r="HQ65" s="64"/>
      <c r="HR65" s="64"/>
      <c r="HS65" s="64"/>
      <c r="HT65" s="64"/>
      <c r="HU65" s="64"/>
      <c r="HV65" s="64"/>
      <c r="HW65" s="64"/>
      <c r="HX65" s="64"/>
      <c r="HY65" s="64"/>
      <c r="HZ65" s="64"/>
      <c r="IA65" s="64"/>
      <c r="IB65" s="64"/>
      <c r="IC65" s="64"/>
      <c r="ID65" s="64"/>
      <c r="IE65" s="64"/>
      <c r="IF65" s="64"/>
      <c r="IG65" s="64"/>
      <c r="IH65" s="64"/>
      <c r="II65" s="64"/>
      <c r="IJ65" s="64"/>
      <c r="IK65" s="64"/>
      <c r="IL65" s="64"/>
      <c r="IM65" s="64"/>
      <c r="IN65" s="64"/>
      <c r="IO65" s="64"/>
      <c r="IP65" s="64"/>
      <c r="IQ65" s="64"/>
      <c r="IR65" s="64"/>
      <c r="IS65" s="64"/>
      <c r="IT65" s="64"/>
      <c r="IU65" s="64"/>
      <c r="IV65" s="64"/>
    </row>
    <row r="66" s="202" customFormat="1" ht="15.6">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c r="EO66" s="64"/>
      <c r="EP66" s="64"/>
      <c r="EQ66" s="64"/>
      <c r="ER66" s="64"/>
      <c r="ES66" s="64"/>
      <c r="ET66" s="64"/>
      <c r="EU66" s="64"/>
      <c r="EV66" s="64"/>
      <c r="EW66" s="64"/>
      <c r="EX66" s="64"/>
      <c r="EY66" s="64"/>
      <c r="EZ66" s="64"/>
      <c r="FA66" s="64"/>
      <c r="FB66" s="64"/>
      <c r="FC66" s="64"/>
      <c r="FD66" s="64"/>
      <c r="FE66" s="64"/>
      <c r="FF66" s="64"/>
      <c r="FG66" s="64"/>
      <c r="FH66" s="64"/>
      <c r="FI66" s="64"/>
      <c r="FJ66" s="64"/>
      <c r="FK66" s="64"/>
      <c r="FL66" s="64"/>
      <c r="FM66" s="64"/>
      <c r="FN66" s="64"/>
      <c r="FO66" s="64"/>
      <c r="FP66" s="64"/>
      <c r="FQ66" s="64"/>
      <c r="FR66" s="64"/>
      <c r="FS66" s="64"/>
      <c r="FT66" s="64"/>
      <c r="FU66" s="64"/>
      <c r="FV66" s="64"/>
      <c r="FW66" s="64"/>
      <c r="FX66" s="64"/>
      <c r="FY66" s="64"/>
      <c r="FZ66" s="64"/>
      <c r="GA66" s="64"/>
      <c r="GB66" s="64"/>
      <c r="GC66" s="64"/>
      <c r="GD66" s="64"/>
      <c r="GE66" s="64"/>
      <c r="GF66" s="64"/>
      <c r="GG66" s="64"/>
      <c r="GH66" s="64"/>
      <c r="GI66" s="64"/>
      <c r="GJ66" s="64"/>
      <c r="GK66" s="64"/>
      <c r="GL66" s="64"/>
      <c r="GM66" s="64"/>
      <c r="GN66" s="64"/>
      <c r="GO66" s="64"/>
      <c r="GP66" s="64"/>
      <c r="GQ66" s="64"/>
      <c r="GR66" s="64"/>
      <c r="GS66" s="64"/>
      <c r="GT66" s="64"/>
      <c r="GU66" s="64"/>
      <c r="GV66" s="64"/>
      <c r="GW66" s="64"/>
      <c r="GX66" s="64"/>
      <c r="GY66" s="64"/>
      <c r="GZ66" s="64"/>
      <c r="HA66" s="64"/>
      <c r="HB66" s="64"/>
      <c r="HC66" s="64"/>
      <c r="HD66" s="64"/>
      <c r="HE66" s="64"/>
      <c r="HF66" s="64"/>
      <c r="HG66" s="64"/>
      <c r="HH66" s="64"/>
      <c r="HI66" s="64"/>
      <c r="HJ66" s="64"/>
      <c r="HK66" s="64"/>
      <c r="HL66" s="64"/>
      <c r="HM66" s="64"/>
      <c r="HN66" s="64"/>
      <c r="HO66" s="64"/>
      <c r="HP66" s="64"/>
      <c r="HQ66" s="64"/>
      <c r="HR66" s="64"/>
      <c r="HS66" s="64"/>
      <c r="HT66" s="64"/>
      <c r="HU66" s="64"/>
      <c r="HV66" s="64"/>
      <c r="HW66" s="64"/>
      <c r="HX66" s="64"/>
      <c r="HY66" s="64"/>
      <c r="HZ66" s="64"/>
      <c r="IA66" s="64"/>
      <c r="IB66" s="64"/>
      <c r="IC66" s="64"/>
      <c r="ID66" s="64"/>
      <c r="IE66" s="64"/>
      <c r="IF66" s="64"/>
      <c r="IG66" s="64"/>
      <c r="IH66" s="64"/>
      <c r="II66" s="64"/>
      <c r="IJ66" s="64"/>
      <c r="IK66" s="64"/>
      <c r="IL66" s="64"/>
      <c r="IM66" s="64"/>
      <c r="IN66" s="64"/>
      <c r="IO66" s="64"/>
      <c r="IP66" s="64"/>
      <c r="IQ66" s="64"/>
      <c r="IR66" s="64"/>
      <c r="IS66" s="64"/>
      <c r="IT66" s="64"/>
      <c r="IU66" s="64"/>
      <c r="IV66" s="64"/>
    </row>
    <row r="67" s="202" customFormat="1" ht="15.6">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c r="EO67" s="64"/>
      <c r="EP67" s="64"/>
      <c r="EQ67" s="64"/>
      <c r="ER67" s="64"/>
      <c r="ES67" s="64"/>
      <c r="ET67" s="64"/>
      <c r="EU67" s="64"/>
      <c r="EV67" s="64"/>
      <c r="EW67" s="64"/>
      <c r="EX67" s="64"/>
      <c r="EY67" s="64"/>
      <c r="EZ67" s="64"/>
      <c r="FA67" s="64"/>
      <c r="FB67" s="64"/>
      <c r="FC67" s="64"/>
      <c r="FD67" s="64"/>
      <c r="FE67" s="64"/>
      <c r="FF67" s="64"/>
      <c r="FG67" s="64"/>
      <c r="FH67" s="64"/>
      <c r="FI67" s="64"/>
      <c r="FJ67" s="64"/>
      <c r="FK67" s="64"/>
      <c r="FL67" s="64"/>
      <c r="FM67" s="64"/>
      <c r="FN67" s="64"/>
      <c r="FO67" s="64"/>
      <c r="FP67" s="64"/>
      <c r="FQ67" s="64"/>
      <c r="FR67" s="64"/>
      <c r="FS67" s="64"/>
      <c r="FT67" s="64"/>
      <c r="FU67" s="64"/>
      <c r="FV67" s="64"/>
      <c r="FW67" s="64"/>
      <c r="FX67" s="64"/>
      <c r="FY67" s="64"/>
      <c r="FZ67" s="64"/>
      <c r="GA67" s="64"/>
      <c r="GB67" s="64"/>
      <c r="GC67" s="64"/>
      <c r="GD67" s="64"/>
      <c r="GE67" s="64"/>
      <c r="GF67" s="64"/>
      <c r="GG67" s="64"/>
      <c r="GH67" s="64"/>
      <c r="GI67" s="64"/>
      <c r="GJ67" s="64"/>
      <c r="GK67" s="64"/>
      <c r="GL67" s="64"/>
      <c r="GM67" s="64"/>
      <c r="GN67" s="64"/>
      <c r="GO67" s="64"/>
      <c r="GP67" s="64"/>
      <c r="GQ67" s="64"/>
      <c r="GR67" s="64"/>
      <c r="GS67" s="64"/>
      <c r="GT67" s="64"/>
      <c r="GU67" s="64"/>
      <c r="GV67" s="64"/>
      <c r="GW67" s="64"/>
      <c r="GX67" s="64"/>
      <c r="GY67" s="64"/>
      <c r="GZ67" s="64"/>
      <c r="HA67" s="64"/>
      <c r="HB67" s="64"/>
      <c r="HC67" s="64"/>
      <c r="HD67" s="64"/>
      <c r="HE67" s="64"/>
      <c r="HF67" s="64"/>
      <c r="HG67" s="64"/>
      <c r="HH67" s="64"/>
      <c r="HI67" s="64"/>
      <c r="HJ67" s="64"/>
      <c r="HK67" s="64"/>
      <c r="HL67" s="64"/>
      <c r="HM67" s="64"/>
      <c r="HN67" s="64"/>
      <c r="HO67" s="64"/>
      <c r="HP67" s="64"/>
      <c r="HQ67" s="64"/>
      <c r="HR67" s="64"/>
      <c r="HS67" s="64"/>
      <c r="HT67" s="64"/>
      <c r="HU67" s="64"/>
      <c r="HV67" s="64"/>
      <c r="HW67" s="64"/>
      <c r="HX67" s="64"/>
      <c r="HY67" s="64"/>
      <c r="HZ67" s="64"/>
      <c r="IA67" s="64"/>
      <c r="IB67" s="64"/>
      <c r="IC67" s="64"/>
      <c r="ID67" s="64"/>
      <c r="IE67" s="64"/>
      <c r="IF67" s="64"/>
      <c r="IG67" s="64"/>
      <c r="IH67" s="64"/>
      <c r="II67" s="64"/>
      <c r="IJ67" s="64"/>
      <c r="IK67" s="64"/>
      <c r="IL67" s="64"/>
      <c r="IM67" s="64"/>
      <c r="IN67" s="64"/>
      <c r="IO67" s="64"/>
      <c r="IP67" s="64"/>
      <c r="IQ67" s="64"/>
      <c r="IR67" s="64"/>
      <c r="IS67" s="64"/>
      <c r="IT67" s="64"/>
      <c r="IU67" s="64"/>
      <c r="IV67" s="64"/>
    </row>
    <row r="68" s="202" customFormat="1" ht="15.6">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c r="EO68" s="64"/>
      <c r="EP68" s="64"/>
      <c r="EQ68" s="64"/>
      <c r="ER68" s="64"/>
      <c r="ES68" s="64"/>
      <c r="ET68" s="64"/>
      <c r="EU68" s="64"/>
      <c r="EV68" s="64"/>
      <c r="EW68" s="64"/>
      <c r="EX68" s="64"/>
      <c r="EY68" s="64"/>
      <c r="EZ68" s="64"/>
      <c r="FA68" s="64"/>
      <c r="FB68" s="64"/>
      <c r="FC68" s="64"/>
      <c r="FD68" s="64"/>
      <c r="FE68" s="64"/>
      <c r="FF68" s="64"/>
      <c r="FG68" s="64"/>
      <c r="FH68" s="64"/>
      <c r="FI68" s="64"/>
      <c r="FJ68" s="64"/>
      <c r="FK68" s="64"/>
      <c r="FL68" s="64"/>
      <c r="FM68" s="64"/>
      <c r="FN68" s="64"/>
      <c r="FO68" s="64"/>
      <c r="FP68" s="64"/>
      <c r="FQ68" s="64"/>
      <c r="FR68" s="64"/>
      <c r="FS68" s="64"/>
      <c r="FT68" s="64"/>
      <c r="FU68" s="64"/>
      <c r="FV68" s="64"/>
      <c r="FW68" s="64"/>
      <c r="FX68" s="64"/>
      <c r="FY68" s="64"/>
      <c r="FZ68" s="64"/>
      <c r="GA68" s="64"/>
      <c r="GB68" s="64"/>
      <c r="GC68" s="64"/>
      <c r="GD68" s="64"/>
      <c r="GE68" s="64"/>
      <c r="GF68" s="64"/>
      <c r="GG68" s="64"/>
      <c r="GH68" s="64"/>
      <c r="GI68" s="64"/>
      <c r="GJ68" s="64"/>
      <c r="GK68" s="64"/>
      <c r="GL68" s="64"/>
      <c r="GM68" s="64"/>
      <c r="GN68" s="64"/>
      <c r="GO68" s="64"/>
      <c r="GP68" s="64"/>
      <c r="GQ68" s="64"/>
      <c r="GR68" s="64"/>
      <c r="GS68" s="64"/>
      <c r="GT68" s="64"/>
      <c r="GU68" s="64"/>
      <c r="GV68" s="64"/>
      <c r="GW68" s="64"/>
      <c r="GX68" s="64"/>
      <c r="GY68" s="64"/>
      <c r="GZ68" s="64"/>
      <c r="HA68" s="64"/>
      <c r="HB68" s="64"/>
      <c r="HC68" s="64"/>
      <c r="HD68" s="64"/>
      <c r="HE68" s="64"/>
      <c r="HF68" s="64"/>
      <c r="HG68" s="64"/>
      <c r="HH68" s="64"/>
      <c r="HI68" s="64"/>
      <c r="HJ68" s="64"/>
      <c r="HK68" s="64"/>
      <c r="HL68" s="64"/>
      <c r="HM68" s="64"/>
      <c r="HN68" s="64"/>
      <c r="HO68" s="64"/>
      <c r="HP68" s="64"/>
      <c r="HQ68" s="64"/>
      <c r="HR68" s="64"/>
      <c r="HS68" s="64"/>
      <c r="HT68" s="64"/>
      <c r="HU68" s="64"/>
      <c r="HV68" s="64"/>
      <c r="HW68" s="64"/>
      <c r="HX68" s="64"/>
      <c r="HY68" s="64"/>
      <c r="HZ68" s="64"/>
      <c r="IA68" s="64"/>
      <c r="IB68" s="64"/>
      <c r="IC68" s="64"/>
      <c r="ID68" s="64"/>
      <c r="IE68" s="64"/>
      <c r="IF68" s="64"/>
      <c r="IG68" s="64"/>
      <c r="IH68" s="64"/>
      <c r="II68" s="64"/>
      <c r="IJ68" s="64"/>
      <c r="IK68" s="64"/>
      <c r="IL68" s="64"/>
      <c r="IM68" s="64"/>
      <c r="IN68" s="64"/>
      <c r="IO68" s="64"/>
      <c r="IP68" s="64"/>
      <c r="IQ68" s="64"/>
      <c r="IR68" s="64"/>
      <c r="IS68" s="64"/>
      <c r="IT68" s="64"/>
      <c r="IU68" s="64"/>
      <c r="IV68" s="64"/>
    </row>
    <row r="69" s="183" customFormat="1" ht="15.6">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c r="IH69" s="64"/>
      <c r="II69" s="64"/>
      <c r="IJ69" s="64"/>
      <c r="IK69" s="64"/>
      <c r="IL69" s="64"/>
      <c r="IM69" s="64"/>
      <c r="IN69" s="64"/>
      <c r="IO69" s="64"/>
      <c r="IP69" s="64"/>
      <c r="IQ69" s="64"/>
      <c r="IR69" s="64"/>
      <c r="IS69" s="64"/>
      <c r="IT69" s="64"/>
      <c r="IU69" s="64"/>
      <c r="IV69" s="64"/>
    </row>
    <row r="70" s="183" customFormat="1" ht="15.6">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c r="EO70" s="64"/>
      <c r="EP70" s="64"/>
      <c r="EQ70" s="64"/>
      <c r="ER70" s="64"/>
      <c r="ES70" s="64"/>
      <c r="ET70" s="64"/>
      <c r="EU70" s="64"/>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c r="GH70" s="64"/>
      <c r="GI70" s="64"/>
      <c r="GJ70" s="64"/>
      <c r="GK70" s="64"/>
      <c r="GL70" s="64"/>
      <c r="GM70" s="64"/>
      <c r="GN70" s="64"/>
      <c r="GO70" s="64"/>
      <c r="GP70" s="64"/>
      <c r="GQ70" s="64"/>
      <c r="GR70" s="64"/>
      <c r="GS70" s="64"/>
      <c r="GT70" s="64"/>
      <c r="GU70" s="64"/>
      <c r="GV70" s="64"/>
      <c r="GW70" s="64"/>
      <c r="GX70" s="64"/>
      <c r="GY70" s="64"/>
      <c r="GZ70" s="64"/>
      <c r="HA70" s="64"/>
      <c r="HB70" s="64"/>
      <c r="HC70" s="64"/>
      <c r="HD70" s="64"/>
      <c r="HE70" s="64"/>
      <c r="HF70" s="64"/>
      <c r="HG70" s="64"/>
      <c r="HH70" s="64"/>
      <c r="HI70" s="64"/>
      <c r="HJ70" s="64"/>
      <c r="HK70" s="64"/>
      <c r="HL70" s="64"/>
      <c r="HM70" s="64"/>
      <c r="HN70" s="64"/>
      <c r="HO70" s="64"/>
      <c r="HP70" s="64"/>
      <c r="HQ70" s="64"/>
      <c r="HR70" s="64"/>
      <c r="HS70" s="64"/>
      <c r="HT70" s="64"/>
      <c r="HU70" s="64"/>
      <c r="HV70" s="64"/>
      <c r="HW70" s="64"/>
      <c r="HX70" s="64"/>
      <c r="HY70" s="64"/>
      <c r="HZ70" s="64"/>
      <c r="IA70" s="64"/>
      <c r="IB70" s="64"/>
      <c r="IC70" s="64"/>
      <c r="ID70" s="64"/>
      <c r="IE70" s="64"/>
      <c r="IF70" s="64"/>
      <c r="IG70" s="64"/>
      <c r="IH70" s="64"/>
      <c r="II70" s="64"/>
      <c r="IJ70" s="64"/>
      <c r="IK70" s="64"/>
      <c r="IL70" s="64"/>
      <c r="IM70" s="64"/>
      <c r="IN70" s="64"/>
      <c r="IO70" s="64"/>
      <c r="IP70" s="64"/>
      <c r="IQ70" s="64"/>
      <c r="IR70" s="64"/>
      <c r="IS70" s="64"/>
      <c r="IT70" s="64"/>
      <c r="IU70" s="64"/>
      <c r="IV70" s="64"/>
    </row>
    <row r="71" s="183" customFormat="1" ht="15.6">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c r="EO71" s="64"/>
      <c r="EP71" s="64"/>
      <c r="EQ71" s="64"/>
      <c r="ER71" s="64"/>
      <c r="ES71" s="64"/>
      <c r="ET71" s="64"/>
      <c r="EU71" s="64"/>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c r="GH71" s="64"/>
      <c r="GI71" s="64"/>
      <c r="GJ71" s="64"/>
      <c r="GK71" s="64"/>
      <c r="GL71" s="64"/>
      <c r="GM71" s="64"/>
      <c r="GN71" s="64"/>
      <c r="GO71" s="64"/>
      <c r="GP71" s="64"/>
      <c r="GQ71" s="64"/>
      <c r="GR71" s="64"/>
      <c r="GS71" s="64"/>
      <c r="GT71" s="64"/>
      <c r="GU71" s="64"/>
      <c r="GV71" s="64"/>
      <c r="GW71" s="64"/>
      <c r="GX71" s="64"/>
      <c r="GY71" s="64"/>
      <c r="GZ71" s="64"/>
      <c r="HA71" s="64"/>
      <c r="HB71" s="64"/>
      <c r="HC71" s="64"/>
      <c r="HD71" s="64"/>
      <c r="HE71" s="64"/>
      <c r="HF71" s="64"/>
      <c r="HG71" s="64"/>
      <c r="HH71" s="64"/>
      <c r="HI71" s="64"/>
      <c r="HJ71" s="64"/>
      <c r="HK71" s="64"/>
      <c r="HL71" s="64"/>
      <c r="HM71" s="64"/>
      <c r="HN71" s="64"/>
      <c r="HO71" s="64"/>
      <c r="HP71" s="64"/>
      <c r="HQ71" s="64"/>
      <c r="HR71" s="64"/>
      <c r="HS71" s="64"/>
      <c r="HT71" s="64"/>
      <c r="HU71" s="64"/>
      <c r="HV71" s="64"/>
      <c r="HW71" s="64"/>
      <c r="HX71" s="64"/>
      <c r="HY71" s="64"/>
      <c r="HZ71" s="64"/>
      <c r="IA71" s="64"/>
      <c r="IB71" s="64"/>
      <c r="IC71" s="64"/>
      <c r="ID71" s="64"/>
      <c r="IE71" s="64"/>
      <c r="IF71" s="64"/>
      <c r="IG71" s="64"/>
      <c r="IH71" s="64"/>
      <c r="II71" s="64"/>
      <c r="IJ71" s="64"/>
      <c r="IK71" s="64"/>
      <c r="IL71" s="64"/>
      <c r="IM71" s="64"/>
      <c r="IN71" s="64"/>
      <c r="IO71" s="64"/>
      <c r="IP71" s="64"/>
      <c r="IQ71" s="64"/>
      <c r="IR71" s="64"/>
      <c r="IS71" s="64"/>
      <c r="IT71" s="64"/>
      <c r="IU71" s="64"/>
      <c r="IV71" s="64"/>
    </row>
    <row r="72" s="183" customFormat="1" ht="15.6">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c r="EO72" s="64"/>
      <c r="EP72" s="64"/>
      <c r="EQ72" s="64"/>
      <c r="ER72" s="64"/>
      <c r="ES72" s="64"/>
      <c r="ET72" s="64"/>
      <c r="EU72" s="64"/>
      <c r="EV72" s="64"/>
      <c r="EW72" s="64"/>
      <c r="EX72" s="64"/>
      <c r="EY72" s="64"/>
      <c r="EZ72" s="64"/>
      <c r="FA72" s="64"/>
      <c r="FB72" s="64"/>
      <c r="FC72" s="64"/>
      <c r="FD72" s="64"/>
      <c r="FE72" s="64"/>
      <c r="FF72" s="64"/>
      <c r="FG72" s="64"/>
      <c r="FH72" s="64"/>
      <c r="FI72" s="64"/>
      <c r="FJ72" s="64"/>
      <c r="FK72" s="64"/>
      <c r="FL72" s="64"/>
      <c r="FM72" s="64"/>
      <c r="FN72" s="64"/>
      <c r="FO72" s="64"/>
      <c r="FP72" s="64"/>
      <c r="FQ72" s="64"/>
      <c r="FR72" s="64"/>
      <c r="FS72" s="64"/>
      <c r="FT72" s="64"/>
      <c r="FU72" s="64"/>
      <c r="FV72" s="64"/>
      <c r="FW72" s="64"/>
      <c r="FX72" s="64"/>
      <c r="FY72" s="64"/>
      <c r="FZ72" s="64"/>
      <c r="GA72" s="64"/>
      <c r="GB72" s="64"/>
      <c r="GC72" s="64"/>
      <c r="GD72" s="64"/>
      <c r="GE72" s="64"/>
      <c r="GF72" s="64"/>
      <c r="GG72" s="64"/>
      <c r="GH72" s="64"/>
      <c r="GI72" s="64"/>
      <c r="GJ72" s="64"/>
      <c r="GK72" s="64"/>
      <c r="GL72" s="64"/>
      <c r="GM72" s="64"/>
      <c r="GN72" s="64"/>
      <c r="GO72" s="64"/>
      <c r="GP72" s="64"/>
      <c r="GQ72" s="64"/>
      <c r="GR72" s="64"/>
      <c r="GS72" s="64"/>
      <c r="GT72" s="64"/>
      <c r="GU72" s="64"/>
      <c r="GV72" s="64"/>
      <c r="GW72" s="64"/>
      <c r="GX72" s="64"/>
      <c r="GY72" s="64"/>
      <c r="GZ72" s="64"/>
      <c r="HA72" s="64"/>
      <c r="HB72" s="64"/>
      <c r="HC72" s="64"/>
      <c r="HD72" s="64"/>
      <c r="HE72" s="64"/>
      <c r="HF72" s="64"/>
      <c r="HG72" s="64"/>
      <c r="HH72" s="64"/>
      <c r="HI72" s="64"/>
      <c r="HJ72" s="64"/>
      <c r="HK72" s="64"/>
      <c r="HL72" s="64"/>
      <c r="HM72" s="64"/>
      <c r="HN72" s="64"/>
      <c r="HO72" s="64"/>
      <c r="HP72" s="64"/>
      <c r="HQ72" s="64"/>
      <c r="HR72" s="64"/>
      <c r="HS72" s="64"/>
      <c r="HT72" s="64"/>
      <c r="HU72" s="64"/>
      <c r="HV72" s="64"/>
      <c r="HW72" s="64"/>
      <c r="HX72" s="64"/>
      <c r="HY72" s="64"/>
      <c r="HZ72" s="64"/>
      <c r="IA72" s="64"/>
      <c r="IB72" s="64"/>
      <c r="IC72" s="64"/>
      <c r="ID72" s="64"/>
      <c r="IE72" s="64"/>
      <c r="IF72" s="64"/>
      <c r="IG72" s="64"/>
      <c r="IH72" s="64"/>
      <c r="II72" s="64"/>
      <c r="IJ72" s="64"/>
      <c r="IK72" s="64"/>
      <c r="IL72" s="64"/>
      <c r="IM72" s="64"/>
      <c r="IN72" s="64"/>
      <c r="IO72" s="64"/>
      <c r="IP72" s="64"/>
      <c r="IQ72" s="64"/>
      <c r="IR72" s="64"/>
      <c r="IS72" s="64"/>
      <c r="IT72" s="64"/>
      <c r="IU72" s="64"/>
      <c r="IV72" s="64"/>
    </row>
    <row r="73" s="183" customFormat="1" ht="15.6">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c r="EO73" s="64"/>
      <c r="EP73" s="64"/>
      <c r="EQ73" s="64"/>
      <c r="ER73" s="64"/>
      <c r="ES73" s="64"/>
      <c r="ET73" s="64"/>
      <c r="EU73" s="64"/>
      <c r="EV73" s="64"/>
      <c r="EW73" s="64"/>
      <c r="EX73" s="64"/>
      <c r="EY73" s="64"/>
      <c r="EZ73" s="64"/>
      <c r="FA73" s="64"/>
      <c r="FB73" s="64"/>
      <c r="FC73" s="64"/>
      <c r="FD73" s="64"/>
      <c r="FE73" s="64"/>
      <c r="FF73" s="64"/>
      <c r="FG73" s="64"/>
      <c r="FH73" s="64"/>
      <c r="FI73" s="64"/>
      <c r="FJ73" s="64"/>
      <c r="FK73" s="64"/>
      <c r="FL73" s="64"/>
      <c r="FM73" s="64"/>
      <c r="FN73" s="64"/>
      <c r="FO73" s="64"/>
      <c r="FP73" s="64"/>
      <c r="FQ73" s="64"/>
      <c r="FR73" s="64"/>
      <c r="FS73" s="64"/>
      <c r="FT73" s="64"/>
      <c r="FU73" s="64"/>
      <c r="FV73" s="64"/>
      <c r="FW73" s="64"/>
      <c r="FX73" s="64"/>
      <c r="FY73" s="64"/>
      <c r="FZ73" s="64"/>
      <c r="GA73" s="64"/>
      <c r="GB73" s="64"/>
      <c r="GC73" s="64"/>
      <c r="GD73" s="64"/>
      <c r="GE73" s="64"/>
      <c r="GF73" s="64"/>
      <c r="GG73" s="64"/>
      <c r="GH73" s="64"/>
      <c r="GI73" s="64"/>
      <c r="GJ73" s="64"/>
      <c r="GK73" s="64"/>
      <c r="GL73" s="64"/>
      <c r="GM73" s="64"/>
      <c r="GN73" s="64"/>
      <c r="GO73" s="64"/>
      <c r="GP73" s="64"/>
      <c r="GQ73" s="64"/>
      <c r="GR73" s="64"/>
      <c r="GS73" s="64"/>
      <c r="GT73" s="64"/>
      <c r="GU73" s="64"/>
      <c r="GV73" s="64"/>
      <c r="GW73" s="64"/>
      <c r="GX73" s="64"/>
      <c r="GY73" s="64"/>
      <c r="GZ73" s="64"/>
      <c r="HA73" s="64"/>
      <c r="HB73" s="64"/>
      <c r="HC73" s="64"/>
      <c r="HD73" s="64"/>
      <c r="HE73" s="64"/>
      <c r="HF73" s="64"/>
      <c r="HG73" s="64"/>
      <c r="HH73" s="64"/>
      <c r="HI73" s="64"/>
      <c r="HJ73" s="64"/>
      <c r="HK73" s="64"/>
      <c r="HL73" s="64"/>
      <c r="HM73" s="64"/>
      <c r="HN73" s="64"/>
      <c r="HO73" s="64"/>
      <c r="HP73" s="64"/>
      <c r="HQ73" s="64"/>
      <c r="HR73" s="64"/>
      <c r="HS73" s="64"/>
      <c r="HT73" s="64"/>
      <c r="HU73" s="64"/>
      <c r="HV73" s="64"/>
      <c r="HW73" s="64"/>
      <c r="HX73" s="64"/>
      <c r="HY73" s="64"/>
      <c r="HZ73" s="64"/>
      <c r="IA73" s="64"/>
      <c r="IB73" s="64"/>
      <c r="IC73" s="64"/>
      <c r="ID73" s="64"/>
      <c r="IE73" s="64"/>
      <c r="IF73" s="64"/>
      <c r="IG73" s="64"/>
      <c r="IH73" s="64"/>
      <c r="II73" s="64"/>
      <c r="IJ73" s="64"/>
      <c r="IK73" s="64"/>
      <c r="IL73" s="64"/>
      <c r="IM73" s="64"/>
      <c r="IN73" s="64"/>
      <c r="IO73" s="64"/>
      <c r="IP73" s="64"/>
      <c r="IQ73" s="64"/>
      <c r="IR73" s="64"/>
      <c r="IS73" s="64"/>
      <c r="IT73" s="64"/>
      <c r="IU73" s="64"/>
      <c r="IV73" s="64"/>
    </row>
    <row r="74" s="183" customFormat="1" ht="15.6">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c r="EO74" s="64"/>
      <c r="EP74" s="64"/>
      <c r="EQ74" s="64"/>
      <c r="ER74" s="64"/>
      <c r="ES74" s="64"/>
      <c r="ET74" s="64"/>
      <c r="EU74" s="64"/>
      <c r="EV74" s="64"/>
      <c r="EW74" s="64"/>
      <c r="EX74" s="64"/>
      <c r="EY74" s="64"/>
      <c r="EZ74" s="64"/>
      <c r="FA74" s="64"/>
      <c r="FB74" s="64"/>
      <c r="FC74" s="64"/>
      <c r="FD74" s="64"/>
      <c r="FE74" s="64"/>
      <c r="FF74" s="64"/>
      <c r="FG74" s="64"/>
      <c r="FH74" s="64"/>
      <c r="FI74" s="64"/>
      <c r="FJ74" s="64"/>
      <c r="FK74" s="64"/>
      <c r="FL74" s="64"/>
      <c r="FM74" s="64"/>
      <c r="FN74" s="64"/>
      <c r="FO74" s="64"/>
      <c r="FP74" s="64"/>
      <c r="FQ74" s="64"/>
      <c r="FR74" s="64"/>
      <c r="FS74" s="64"/>
      <c r="FT74" s="64"/>
      <c r="FU74" s="64"/>
      <c r="FV74" s="64"/>
      <c r="FW74" s="64"/>
      <c r="FX74" s="64"/>
      <c r="FY74" s="64"/>
      <c r="FZ74" s="64"/>
      <c r="GA74" s="64"/>
      <c r="GB74" s="64"/>
      <c r="GC74" s="64"/>
      <c r="GD74" s="64"/>
      <c r="GE74" s="64"/>
      <c r="GF74" s="64"/>
      <c r="GG74" s="64"/>
      <c r="GH74" s="64"/>
      <c r="GI74" s="64"/>
      <c r="GJ74" s="64"/>
      <c r="GK74" s="64"/>
      <c r="GL74" s="64"/>
      <c r="GM74" s="64"/>
      <c r="GN74" s="64"/>
      <c r="GO74" s="64"/>
      <c r="GP74" s="64"/>
      <c r="GQ74" s="64"/>
      <c r="GR74" s="64"/>
      <c r="GS74" s="64"/>
      <c r="GT74" s="64"/>
      <c r="GU74" s="64"/>
      <c r="GV74" s="64"/>
      <c r="GW74" s="64"/>
      <c r="GX74" s="64"/>
      <c r="GY74" s="64"/>
      <c r="GZ74" s="64"/>
      <c r="HA74" s="64"/>
      <c r="HB74" s="64"/>
      <c r="HC74" s="64"/>
      <c r="HD74" s="64"/>
      <c r="HE74" s="64"/>
      <c r="HF74" s="64"/>
      <c r="HG74" s="64"/>
      <c r="HH74" s="64"/>
      <c r="HI74" s="64"/>
      <c r="HJ74" s="64"/>
      <c r="HK74" s="64"/>
      <c r="HL74" s="64"/>
      <c r="HM74" s="64"/>
      <c r="HN74" s="64"/>
      <c r="HO74" s="64"/>
      <c r="HP74" s="64"/>
      <c r="HQ74" s="64"/>
      <c r="HR74" s="64"/>
      <c r="HS74" s="64"/>
      <c r="HT74" s="64"/>
      <c r="HU74" s="64"/>
      <c r="HV74" s="64"/>
      <c r="HW74" s="64"/>
      <c r="HX74" s="64"/>
      <c r="HY74" s="64"/>
      <c r="HZ74" s="64"/>
      <c r="IA74" s="64"/>
      <c r="IB74" s="64"/>
      <c r="IC74" s="64"/>
      <c r="ID74" s="64"/>
      <c r="IE74" s="64"/>
      <c r="IF74" s="64"/>
      <c r="IG74" s="64"/>
      <c r="IH74" s="64"/>
      <c r="II74" s="64"/>
      <c r="IJ74" s="64"/>
      <c r="IK74" s="64"/>
      <c r="IL74" s="64"/>
      <c r="IM74" s="64"/>
      <c r="IN74" s="64"/>
      <c r="IO74" s="64"/>
      <c r="IP74" s="64"/>
      <c r="IQ74" s="64"/>
      <c r="IR74" s="64"/>
      <c r="IS74" s="64"/>
      <c r="IT74" s="64"/>
      <c r="IU74" s="64"/>
      <c r="IV74" s="64"/>
    </row>
    <row r="75" s="183" customFormat="1" ht="15.6">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c r="GH75" s="64"/>
      <c r="GI75" s="64"/>
      <c r="GJ75" s="64"/>
      <c r="GK75" s="64"/>
      <c r="GL75" s="64"/>
      <c r="GM75" s="64"/>
      <c r="GN75" s="64"/>
      <c r="GO75" s="64"/>
      <c r="GP75" s="64"/>
      <c r="GQ75" s="64"/>
      <c r="GR75" s="64"/>
      <c r="GS75" s="64"/>
      <c r="GT75" s="64"/>
      <c r="GU75" s="64"/>
      <c r="GV75" s="64"/>
      <c r="GW75" s="64"/>
      <c r="GX75" s="64"/>
      <c r="GY75" s="64"/>
      <c r="GZ75" s="64"/>
      <c r="HA75" s="64"/>
      <c r="HB75" s="64"/>
      <c r="HC75" s="64"/>
      <c r="HD75" s="64"/>
      <c r="HE75" s="64"/>
      <c r="HF75" s="64"/>
      <c r="HG75" s="64"/>
      <c r="HH75" s="64"/>
      <c r="HI75" s="64"/>
      <c r="HJ75" s="64"/>
      <c r="HK75" s="64"/>
      <c r="HL75" s="64"/>
      <c r="HM75" s="64"/>
      <c r="HN75" s="64"/>
      <c r="HO75" s="64"/>
      <c r="HP75" s="64"/>
      <c r="HQ75" s="64"/>
      <c r="HR75" s="64"/>
      <c r="HS75" s="64"/>
      <c r="HT75" s="64"/>
      <c r="HU75" s="64"/>
      <c r="HV75" s="64"/>
      <c r="HW75" s="64"/>
      <c r="HX75" s="64"/>
      <c r="HY75" s="64"/>
      <c r="HZ75" s="64"/>
      <c r="IA75" s="64"/>
      <c r="IB75" s="64"/>
      <c r="IC75" s="64"/>
      <c r="ID75" s="64"/>
      <c r="IE75" s="64"/>
      <c r="IF75" s="64"/>
      <c r="IG75" s="64"/>
      <c r="IH75" s="64"/>
      <c r="II75" s="64"/>
      <c r="IJ75" s="64"/>
      <c r="IK75" s="64"/>
      <c r="IL75" s="64"/>
      <c r="IM75" s="64"/>
      <c r="IN75" s="64"/>
      <c r="IO75" s="64"/>
      <c r="IP75" s="64"/>
      <c r="IQ75" s="64"/>
      <c r="IR75" s="64"/>
      <c r="IS75" s="64"/>
      <c r="IT75" s="64"/>
      <c r="IU75" s="64"/>
      <c r="IV75" s="64"/>
    </row>
    <row r="76" s="183" customFormat="1" ht="15.6">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c r="DU76" s="64"/>
      <c r="DV76" s="64"/>
      <c r="DW76" s="64"/>
      <c r="DX76" s="64"/>
      <c r="DY76" s="64"/>
      <c r="DZ76" s="64"/>
      <c r="EA76" s="64"/>
      <c r="EB76" s="64"/>
      <c r="EC76" s="64"/>
      <c r="ED76" s="64"/>
      <c r="EE76" s="64"/>
      <c r="EF76" s="64"/>
      <c r="EG76" s="64"/>
      <c r="EH76" s="64"/>
      <c r="EI76" s="64"/>
      <c r="EJ76" s="64"/>
      <c r="EK76" s="64"/>
      <c r="EL76" s="64"/>
      <c r="EM76" s="64"/>
      <c r="EN76" s="64"/>
      <c r="EO76" s="64"/>
      <c r="EP76" s="64"/>
      <c r="EQ76" s="64"/>
      <c r="ER76" s="64"/>
      <c r="ES76" s="64"/>
      <c r="ET76" s="64"/>
      <c r="EU76" s="64"/>
      <c r="EV76" s="64"/>
      <c r="EW76" s="64"/>
      <c r="EX76" s="64"/>
      <c r="EY76" s="64"/>
      <c r="EZ76" s="64"/>
      <c r="FA76" s="64"/>
      <c r="FB76" s="64"/>
      <c r="FC76" s="64"/>
      <c r="FD76" s="64"/>
      <c r="FE76" s="64"/>
      <c r="FF76" s="64"/>
      <c r="FG76" s="64"/>
      <c r="FH76" s="64"/>
      <c r="FI76" s="64"/>
      <c r="FJ76" s="64"/>
      <c r="FK76" s="64"/>
      <c r="FL76" s="64"/>
      <c r="FM76" s="64"/>
      <c r="FN76" s="64"/>
      <c r="FO76" s="64"/>
      <c r="FP76" s="64"/>
      <c r="FQ76" s="64"/>
      <c r="FR76" s="64"/>
      <c r="FS76" s="64"/>
      <c r="FT76" s="64"/>
      <c r="FU76" s="64"/>
      <c r="FV76" s="64"/>
      <c r="FW76" s="64"/>
      <c r="FX76" s="64"/>
      <c r="FY76" s="64"/>
      <c r="FZ76" s="64"/>
      <c r="GA76" s="64"/>
      <c r="GB76" s="64"/>
      <c r="GC76" s="64"/>
      <c r="GD76" s="64"/>
      <c r="GE76" s="64"/>
      <c r="GF76" s="64"/>
      <c r="GG76" s="64"/>
      <c r="GH76" s="64"/>
      <c r="GI76" s="64"/>
      <c r="GJ76" s="64"/>
      <c r="GK76" s="64"/>
      <c r="GL76" s="64"/>
      <c r="GM76" s="64"/>
      <c r="GN76" s="64"/>
      <c r="GO76" s="64"/>
      <c r="GP76" s="64"/>
      <c r="GQ76" s="64"/>
      <c r="GR76" s="64"/>
      <c r="GS76" s="64"/>
      <c r="GT76" s="64"/>
      <c r="GU76" s="64"/>
      <c r="GV76" s="64"/>
      <c r="GW76" s="64"/>
      <c r="GX76" s="64"/>
      <c r="GY76" s="64"/>
      <c r="GZ76" s="64"/>
      <c r="HA76" s="64"/>
      <c r="HB76" s="64"/>
      <c r="HC76" s="64"/>
      <c r="HD76" s="64"/>
      <c r="HE76" s="64"/>
      <c r="HF76" s="64"/>
      <c r="HG76" s="64"/>
      <c r="HH76" s="64"/>
      <c r="HI76" s="64"/>
      <c r="HJ76" s="64"/>
      <c r="HK76" s="64"/>
      <c r="HL76" s="64"/>
      <c r="HM76" s="64"/>
      <c r="HN76" s="64"/>
      <c r="HO76" s="64"/>
      <c r="HP76" s="64"/>
      <c r="HQ76" s="64"/>
      <c r="HR76" s="64"/>
      <c r="HS76" s="64"/>
      <c r="HT76" s="64"/>
      <c r="HU76" s="64"/>
      <c r="HV76" s="64"/>
      <c r="HW76" s="64"/>
      <c r="HX76" s="64"/>
      <c r="HY76" s="64"/>
      <c r="HZ76" s="64"/>
      <c r="IA76" s="64"/>
      <c r="IB76" s="64"/>
      <c r="IC76" s="64"/>
      <c r="ID76" s="64"/>
      <c r="IE76" s="64"/>
      <c r="IF76" s="64"/>
      <c r="IG76" s="64"/>
      <c r="IH76" s="64"/>
      <c r="II76" s="64"/>
      <c r="IJ76" s="64"/>
      <c r="IK76" s="64"/>
      <c r="IL76" s="64"/>
      <c r="IM76" s="64"/>
      <c r="IN76" s="64"/>
      <c r="IO76" s="64"/>
      <c r="IP76" s="64"/>
      <c r="IQ76" s="64"/>
      <c r="IR76" s="64"/>
      <c r="IS76" s="64"/>
      <c r="IT76" s="64"/>
      <c r="IU76" s="64"/>
      <c r="IV76" s="64"/>
    </row>
    <row r="77" s="183" customFormat="1" ht="15.6">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c r="EO77" s="64"/>
      <c r="EP77" s="64"/>
      <c r="EQ77" s="64"/>
      <c r="ER77" s="64"/>
      <c r="ES77" s="64"/>
      <c r="ET77" s="64"/>
      <c r="EU77" s="64"/>
      <c r="EV77" s="64"/>
      <c r="EW77" s="64"/>
      <c r="EX77" s="64"/>
      <c r="EY77" s="64"/>
      <c r="EZ77" s="64"/>
      <c r="FA77" s="64"/>
      <c r="FB77" s="64"/>
      <c r="FC77" s="64"/>
      <c r="FD77" s="64"/>
      <c r="FE77" s="64"/>
      <c r="FF77" s="64"/>
      <c r="FG77" s="64"/>
      <c r="FH77" s="64"/>
      <c r="FI77" s="64"/>
      <c r="FJ77" s="64"/>
      <c r="FK77" s="64"/>
      <c r="FL77" s="64"/>
      <c r="FM77" s="64"/>
      <c r="FN77" s="64"/>
      <c r="FO77" s="64"/>
      <c r="FP77" s="64"/>
      <c r="FQ77" s="64"/>
      <c r="FR77" s="64"/>
      <c r="FS77" s="64"/>
      <c r="FT77" s="64"/>
      <c r="FU77" s="64"/>
      <c r="FV77" s="64"/>
      <c r="FW77" s="64"/>
      <c r="FX77" s="64"/>
      <c r="FY77" s="64"/>
      <c r="FZ77" s="64"/>
      <c r="GA77" s="64"/>
      <c r="GB77" s="64"/>
      <c r="GC77" s="64"/>
      <c r="GD77" s="64"/>
      <c r="GE77" s="64"/>
      <c r="GF77" s="64"/>
      <c r="GG77" s="64"/>
      <c r="GH77" s="64"/>
      <c r="GI77" s="64"/>
      <c r="GJ77" s="64"/>
      <c r="GK77" s="64"/>
      <c r="GL77" s="64"/>
      <c r="GM77" s="64"/>
      <c r="GN77" s="64"/>
      <c r="GO77" s="64"/>
      <c r="GP77" s="64"/>
      <c r="GQ77" s="64"/>
      <c r="GR77" s="64"/>
      <c r="GS77" s="64"/>
      <c r="GT77" s="64"/>
      <c r="GU77" s="64"/>
      <c r="GV77" s="64"/>
      <c r="GW77" s="64"/>
      <c r="GX77" s="64"/>
      <c r="GY77" s="64"/>
      <c r="GZ77" s="64"/>
      <c r="HA77" s="64"/>
      <c r="HB77" s="64"/>
      <c r="HC77" s="64"/>
      <c r="HD77" s="64"/>
      <c r="HE77" s="64"/>
      <c r="HF77" s="64"/>
      <c r="HG77" s="64"/>
      <c r="HH77" s="64"/>
      <c r="HI77" s="64"/>
      <c r="HJ77" s="64"/>
      <c r="HK77" s="64"/>
      <c r="HL77" s="64"/>
      <c r="HM77" s="64"/>
      <c r="HN77" s="64"/>
      <c r="HO77" s="64"/>
      <c r="HP77" s="64"/>
      <c r="HQ77" s="64"/>
      <c r="HR77" s="64"/>
      <c r="HS77" s="64"/>
      <c r="HT77" s="64"/>
      <c r="HU77" s="64"/>
      <c r="HV77" s="64"/>
      <c r="HW77" s="64"/>
      <c r="HX77" s="64"/>
      <c r="HY77" s="64"/>
      <c r="HZ77" s="64"/>
      <c r="IA77" s="64"/>
      <c r="IB77" s="64"/>
      <c r="IC77" s="64"/>
      <c r="ID77" s="64"/>
      <c r="IE77" s="64"/>
      <c r="IF77" s="64"/>
      <c r="IG77" s="64"/>
      <c r="IH77" s="64"/>
      <c r="II77" s="64"/>
      <c r="IJ77" s="64"/>
      <c r="IK77" s="64"/>
      <c r="IL77" s="64"/>
      <c r="IM77" s="64"/>
      <c r="IN77" s="64"/>
      <c r="IO77" s="64"/>
      <c r="IP77" s="64"/>
      <c r="IQ77" s="64"/>
      <c r="IR77" s="64"/>
      <c r="IS77" s="64"/>
      <c r="IT77" s="64"/>
      <c r="IU77" s="64"/>
      <c r="IV77" s="64"/>
    </row>
    <row r="78" s="183" customFormat="1" ht="15.6">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c r="EO78" s="64"/>
      <c r="EP78" s="64"/>
      <c r="EQ78" s="64"/>
      <c r="ER78" s="64"/>
      <c r="ES78" s="64"/>
      <c r="ET78" s="64"/>
      <c r="EU78" s="64"/>
      <c r="EV78" s="64"/>
      <c r="EW78" s="64"/>
      <c r="EX78" s="64"/>
      <c r="EY78" s="64"/>
      <c r="EZ78" s="64"/>
      <c r="FA78" s="64"/>
      <c r="FB78" s="64"/>
      <c r="FC78" s="64"/>
      <c r="FD78" s="64"/>
      <c r="FE78" s="64"/>
      <c r="FF78" s="64"/>
      <c r="FG78" s="64"/>
      <c r="FH78" s="64"/>
      <c r="FI78" s="64"/>
      <c r="FJ78" s="64"/>
      <c r="FK78" s="64"/>
      <c r="FL78" s="64"/>
      <c r="FM78" s="64"/>
      <c r="FN78" s="64"/>
      <c r="FO78" s="64"/>
      <c r="FP78" s="64"/>
      <c r="FQ78" s="64"/>
      <c r="FR78" s="64"/>
      <c r="FS78" s="64"/>
      <c r="FT78" s="64"/>
      <c r="FU78" s="64"/>
      <c r="FV78" s="64"/>
      <c r="FW78" s="64"/>
      <c r="FX78" s="64"/>
      <c r="FY78" s="64"/>
      <c r="FZ78" s="64"/>
      <c r="GA78" s="64"/>
      <c r="GB78" s="64"/>
      <c r="GC78" s="64"/>
      <c r="GD78" s="64"/>
      <c r="GE78" s="64"/>
      <c r="GF78" s="64"/>
      <c r="GG78" s="64"/>
      <c r="GH78" s="64"/>
      <c r="GI78" s="64"/>
      <c r="GJ78" s="64"/>
      <c r="GK78" s="64"/>
      <c r="GL78" s="64"/>
      <c r="GM78" s="64"/>
      <c r="GN78" s="64"/>
      <c r="GO78" s="64"/>
      <c r="GP78" s="64"/>
      <c r="GQ78" s="64"/>
      <c r="GR78" s="64"/>
      <c r="GS78" s="64"/>
      <c r="GT78" s="64"/>
      <c r="GU78" s="64"/>
      <c r="GV78" s="64"/>
      <c r="GW78" s="64"/>
      <c r="GX78" s="64"/>
      <c r="GY78" s="64"/>
      <c r="GZ78" s="64"/>
      <c r="HA78" s="64"/>
      <c r="HB78" s="64"/>
      <c r="HC78" s="64"/>
      <c r="HD78" s="64"/>
      <c r="HE78" s="64"/>
      <c r="HF78" s="64"/>
      <c r="HG78" s="64"/>
      <c r="HH78" s="64"/>
      <c r="HI78" s="64"/>
      <c r="HJ78" s="64"/>
      <c r="HK78" s="64"/>
      <c r="HL78" s="64"/>
      <c r="HM78" s="64"/>
      <c r="HN78" s="64"/>
      <c r="HO78" s="64"/>
      <c r="HP78" s="64"/>
      <c r="HQ78" s="64"/>
      <c r="HR78" s="64"/>
      <c r="HS78" s="64"/>
      <c r="HT78" s="64"/>
      <c r="HU78" s="64"/>
      <c r="HV78" s="64"/>
      <c r="HW78" s="64"/>
      <c r="HX78" s="64"/>
      <c r="HY78" s="64"/>
      <c r="HZ78" s="64"/>
      <c r="IA78" s="64"/>
      <c r="IB78" s="64"/>
      <c r="IC78" s="64"/>
      <c r="ID78" s="64"/>
      <c r="IE78" s="64"/>
      <c r="IF78" s="64"/>
      <c r="IG78" s="64"/>
      <c r="IH78" s="64"/>
      <c r="II78" s="64"/>
      <c r="IJ78" s="64"/>
      <c r="IK78" s="64"/>
      <c r="IL78" s="64"/>
      <c r="IM78" s="64"/>
      <c r="IN78" s="64"/>
      <c r="IO78" s="64"/>
      <c r="IP78" s="64"/>
      <c r="IQ78" s="64"/>
      <c r="IR78" s="64"/>
      <c r="IS78" s="64"/>
      <c r="IT78" s="64"/>
      <c r="IU78" s="64"/>
      <c r="IV78" s="64"/>
    </row>
    <row r="79" s="183" customFormat="1" ht="15.6">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c r="EO79" s="64"/>
      <c r="EP79" s="64"/>
      <c r="EQ79" s="64"/>
      <c r="ER79" s="64"/>
      <c r="ES79" s="64"/>
      <c r="ET79" s="64"/>
      <c r="EU79" s="64"/>
      <c r="EV79" s="64"/>
      <c r="EW79" s="64"/>
      <c r="EX79" s="64"/>
      <c r="EY79" s="64"/>
      <c r="EZ79" s="64"/>
      <c r="FA79" s="64"/>
      <c r="FB79" s="64"/>
      <c r="FC79" s="64"/>
      <c r="FD79" s="64"/>
      <c r="FE79" s="64"/>
      <c r="FF79" s="64"/>
      <c r="FG79" s="64"/>
      <c r="FH79" s="64"/>
      <c r="FI79" s="64"/>
      <c r="FJ79" s="64"/>
      <c r="FK79" s="64"/>
      <c r="FL79" s="64"/>
      <c r="FM79" s="64"/>
      <c r="FN79" s="64"/>
      <c r="FO79" s="64"/>
      <c r="FP79" s="64"/>
      <c r="FQ79" s="64"/>
      <c r="FR79" s="64"/>
      <c r="FS79" s="64"/>
      <c r="FT79" s="64"/>
      <c r="FU79" s="64"/>
      <c r="FV79" s="64"/>
      <c r="FW79" s="64"/>
      <c r="FX79" s="64"/>
      <c r="FY79" s="64"/>
      <c r="FZ79" s="64"/>
      <c r="GA79" s="64"/>
      <c r="GB79" s="64"/>
      <c r="GC79" s="64"/>
      <c r="GD79" s="64"/>
      <c r="GE79" s="64"/>
      <c r="GF79" s="64"/>
      <c r="GG79" s="64"/>
      <c r="GH79" s="64"/>
      <c r="GI79" s="64"/>
      <c r="GJ79" s="64"/>
      <c r="GK79" s="64"/>
      <c r="GL79" s="64"/>
      <c r="GM79" s="64"/>
      <c r="GN79" s="64"/>
      <c r="GO79" s="64"/>
      <c r="GP79" s="64"/>
      <c r="GQ79" s="64"/>
      <c r="GR79" s="64"/>
      <c r="GS79" s="64"/>
      <c r="GT79" s="64"/>
      <c r="GU79" s="64"/>
      <c r="GV79" s="64"/>
      <c r="GW79" s="64"/>
      <c r="GX79" s="64"/>
      <c r="GY79" s="64"/>
      <c r="GZ79" s="64"/>
      <c r="HA79" s="64"/>
      <c r="HB79" s="64"/>
      <c r="HC79" s="64"/>
      <c r="HD79" s="64"/>
      <c r="HE79" s="64"/>
      <c r="HF79" s="64"/>
      <c r="HG79" s="64"/>
      <c r="HH79" s="64"/>
      <c r="HI79" s="64"/>
      <c r="HJ79" s="64"/>
      <c r="HK79" s="64"/>
      <c r="HL79" s="64"/>
      <c r="HM79" s="64"/>
      <c r="HN79" s="64"/>
      <c r="HO79" s="64"/>
      <c r="HP79" s="64"/>
      <c r="HQ79" s="64"/>
      <c r="HR79" s="64"/>
      <c r="HS79" s="64"/>
      <c r="HT79" s="64"/>
      <c r="HU79" s="64"/>
      <c r="HV79" s="64"/>
      <c r="HW79" s="64"/>
      <c r="HX79" s="64"/>
      <c r="HY79" s="64"/>
      <c r="HZ79" s="64"/>
      <c r="IA79" s="64"/>
      <c r="IB79" s="64"/>
      <c r="IC79" s="64"/>
      <c r="ID79" s="64"/>
      <c r="IE79" s="64"/>
      <c r="IF79" s="64"/>
      <c r="IG79" s="64"/>
      <c r="IH79" s="64"/>
      <c r="II79" s="64"/>
      <c r="IJ79" s="64"/>
      <c r="IK79" s="64"/>
      <c r="IL79" s="64"/>
      <c r="IM79" s="64"/>
      <c r="IN79" s="64"/>
      <c r="IO79" s="64"/>
      <c r="IP79" s="64"/>
      <c r="IQ79" s="64"/>
      <c r="IR79" s="64"/>
      <c r="IS79" s="64"/>
      <c r="IT79" s="64"/>
      <c r="IU79" s="64"/>
      <c r="IV79" s="64"/>
    </row>
    <row r="80" s="183" customFormat="1" ht="15.6">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c r="EO80" s="64"/>
      <c r="EP80" s="64"/>
      <c r="EQ80" s="64"/>
      <c r="ER80" s="64"/>
      <c r="ES80" s="64"/>
      <c r="ET80" s="64"/>
      <c r="EU80" s="64"/>
      <c r="EV80" s="64"/>
      <c r="EW80" s="64"/>
      <c r="EX80" s="64"/>
      <c r="EY80" s="64"/>
      <c r="EZ80" s="64"/>
      <c r="FA80" s="64"/>
      <c r="FB80" s="64"/>
      <c r="FC80" s="64"/>
      <c r="FD80" s="64"/>
      <c r="FE80" s="64"/>
      <c r="FF80" s="64"/>
      <c r="FG80" s="64"/>
      <c r="FH80" s="64"/>
      <c r="FI80" s="64"/>
      <c r="FJ80" s="64"/>
      <c r="FK80" s="64"/>
      <c r="FL80" s="64"/>
      <c r="FM80" s="64"/>
      <c r="FN80" s="64"/>
      <c r="FO80" s="64"/>
      <c r="FP80" s="64"/>
      <c r="FQ80" s="64"/>
      <c r="FR80" s="64"/>
      <c r="FS80" s="64"/>
      <c r="FT80" s="64"/>
      <c r="FU80" s="64"/>
      <c r="FV80" s="64"/>
      <c r="FW80" s="64"/>
      <c r="FX80" s="64"/>
      <c r="FY80" s="64"/>
      <c r="FZ80" s="64"/>
      <c r="GA80" s="64"/>
      <c r="GB80" s="64"/>
      <c r="GC80" s="64"/>
      <c r="GD80" s="64"/>
      <c r="GE80" s="64"/>
      <c r="GF80" s="64"/>
      <c r="GG80" s="64"/>
      <c r="GH80" s="64"/>
      <c r="GI80" s="64"/>
      <c r="GJ80" s="64"/>
      <c r="GK80" s="64"/>
      <c r="GL80" s="64"/>
      <c r="GM80" s="64"/>
      <c r="GN80" s="64"/>
      <c r="GO80" s="64"/>
      <c r="GP80" s="64"/>
      <c r="GQ80" s="64"/>
      <c r="GR80" s="64"/>
      <c r="GS80" s="64"/>
      <c r="GT80" s="64"/>
      <c r="GU80" s="64"/>
      <c r="GV80" s="64"/>
      <c r="GW80" s="64"/>
      <c r="GX80" s="64"/>
      <c r="GY80" s="64"/>
      <c r="GZ80" s="64"/>
      <c r="HA80" s="64"/>
      <c r="HB80" s="64"/>
      <c r="HC80" s="64"/>
      <c r="HD80" s="64"/>
      <c r="HE80" s="64"/>
      <c r="HF80" s="64"/>
      <c r="HG80" s="64"/>
      <c r="HH80" s="64"/>
      <c r="HI80" s="64"/>
      <c r="HJ80" s="64"/>
      <c r="HK80" s="64"/>
      <c r="HL80" s="64"/>
      <c r="HM80" s="64"/>
      <c r="HN80" s="64"/>
      <c r="HO80" s="64"/>
      <c r="HP80" s="64"/>
      <c r="HQ80" s="64"/>
      <c r="HR80" s="64"/>
      <c r="HS80" s="64"/>
      <c r="HT80" s="64"/>
      <c r="HU80" s="64"/>
      <c r="HV80" s="64"/>
      <c r="HW80" s="64"/>
      <c r="HX80" s="64"/>
      <c r="HY80" s="64"/>
      <c r="HZ80" s="64"/>
      <c r="IA80" s="64"/>
      <c r="IB80" s="64"/>
      <c r="IC80" s="64"/>
      <c r="ID80" s="64"/>
      <c r="IE80" s="64"/>
      <c r="IF80" s="64"/>
      <c r="IG80" s="64"/>
      <c r="IH80" s="64"/>
      <c r="II80" s="64"/>
      <c r="IJ80" s="64"/>
      <c r="IK80" s="64"/>
      <c r="IL80" s="64"/>
      <c r="IM80" s="64"/>
      <c r="IN80" s="64"/>
      <c r="IO80" s="64"/>
      <c r="IP80" s="64"/>
      <c r="IQ80" s="64"/>
      <c r="IR80" s="64"/>
      <c r="IS80" s="64"/>
      <c r="IT80" s="64"/>
      <c r="IU80" s="64"/>
      <c r="IV80" s="64"/>
    </row>
    <row r="81" s="183" customFormat="1" ht="15.6">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c r="EO81" s="64"/>
      <c r="EP81" s="64"/>
      <c r="EQ81" s="64"/>
      <c r="ER81" s="64"/>
      <c r="ES81" s="64"/>
      <c r="ET81" s="64"/>
      <c r="EU81" s="64"/>
      <c r="EV81" s="64"/>
      <c r="EW81" s="64"/>
      <c r="EX81" s="64"/>
      <c r="EY81" s="64"/>
      <c r="EZ81" s="64"/>
      <c r="FA81" s="64"/>
      <c r="FB81" s="64"/>
      <c r="FC81" s="64"/>
      <c r="FD81" s="64"/>
      <c r="FE81" s="64"/>
      <c r="FF81" s="64"/>
      <c r="FG81" s="64"/>
      <c r="FH81" s="64"/>
      <c r="FI81" s="64"/>
      <c r="FJ81" s="64"/>
      <c r="FK81" s="64"/>
      <c r="FL81" s="64"/>
      <c r="FM81" s="64"/>
      <c r="FN81" s="64"/>
      <c r="FO81" s="64"/>
      <c r="FP81" s="64"/>
      <c r="FQ81" s="64"/>
      <c r="FR81" s="64"/>
      <c r="FS81" s="64"/>
      <c r="FT81" s="64"/>
      <c r="FU81" s="64"/>
      <c r="FV81" s="64"/>
      <c r="FW81" s="64"/>
      <c r="FX81" s="64"/>
      <c r="FY81" s="64"/>
      <c r="FZ81" s="64"/>
      <c r="GA81" s="64"/>
      <c r="GB81" s="64"/>
      <c r="GC81" s="64"/>
      <c r="GD81" s="64"/>
      <c r="GE81" s="64"/>
      <c r="GF81" s="64"/>
      <c r="GG81" s="64"/>
      <c r="GH81" s="64"/>
      <c r="GI81" s="64"/>
      <c r="GJ81" s="64"/>
      <c r="GK81" s="64"/>
      <c r="GL81" s="64"/>
      <c r="GM81" s="64"/>
      <c r="GN81" s="64"/>
      <c r="GO81" s="64"/>
      <c r="GP81" s="64"/>
      <c r="GQ81" s="64"/>
      <c r="GR81" s="64"/>
      <c r="GS81" s="64"/>
      <c r="GT81" s="64"/>
      <c r="GU81" s="64"/>
      <c r="GV81" s="64"/>
      <c r="GW81" s="64"/>
      <c r="GX81" s="64"/>
      <c r="GY81" s="64"/>
      <c r="GZ81" s="64"/>
      <c r="HA81" s="64"/>
      <c r="HB81" s="64"/>
      <c r="HC81" s="64"/>
      <c r="HD81" s="64"/>
      <c r="HE81" s="64"/>
      <c r="HF81" s="64"/>
      <c r="HG81" s="64"/>
      <c r="HH81" s="64"/>
      <c r="HI81" s="64"/>
      <c r="HJ81" s="64"/>
      <c r="HK81" s="64"/>
      <c r="HL81" s="64"/>
      <c r="HM81" s="64"/>
      <c r="HN81" s="64"/>
      <c r="HO81" s="64"/>
      <c r="HP81" s="64"/>
      <c r="HQ81" s="64"/>
      <c r="HR81" s="64"/>
      <c r="HS81" s="64"/>
      <c r="HT81" s="64"/>
      <c r="HU81" s="64"/>
      <c r="HV81" s="64"/>
      <c r="HW81" s="64"/>
      <c r="HX81" s="64"/>
      <c r="HY81" s="64"/>
      <c r="HZ81" s="64"/>
      <c r="IA81" s="64"/>
      <c r="IB81" s="64"/>
      <c r="IC81" s="64"/>
      <c r="ID81" s="64"/>
      <c r="IE81" s="64"/>
      <c r="IF81" s="64"/>
      <c r="IG81" s="64"/>
      <c r="IH81" s="64"/>
      <c r="II81" s="64"/>
      <c r="IJ81" s="64"/>
      <c r="IK81" s="64"/>
      <c r="IL81" s="64"/>
      <c r="IM81" s="64"/>
      <c r="IN81" s="64"/>
      <c r="IO81" s="64"/>
      <c r="IP81" s="64"/>
      <c r="IQ81" s="64"/>
      <c r="IR81" s="64"/>
      <c r="IS81" s="64"/>
      <c r="IT81" s="64"/>
      <c r="IU81" s="64"/>
      <c r="IV81" s="64"/>
    </row>
    <row r="82" s="183" customFormat="1" ht="15.6">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c r="ES82" s="64"/>
      <c r="ET82" s="64"/>
      <c r="EU82" s="64"/>
      <c r="EV82" s="64"/>
      <c r="EW82" s="64"/>
      <c r="EX82" s="64"/>
      <c r="EY82" s="64"/>
      <c r="EZ82" s="64"/>
      <c r="FA82" s="64"/>
      <c r="FB82" s="64"/>
      <c r="FC82" s="64"/>
      <c r="FD82" s="64"/>
      <c r="FE82" s="64"/>
      <c r="FF82" s="64"/>
      <c r="FG82" s="64"/>
      <c r="FH82" s="64"/>
      <c r="FI82" s="64"/>
      <c r="FJ82" s="64"/>
      <c r="FK82" s="64"/>
      <c r="FL82" s="64"/>
      <c r="FM82" s="64"/>
      <c r="FN82" s="64"/>
      <c r="FO82" s="64"/>
      <c r="FP82" s="64"/>
      <c r="FQ82" s="64"/>
      <c r="FR82" s="64"/>
      <c r="FS82" s="64"/>
      <c r="FT82" s="64"/>
      <c r="FU82" s="64"/>
      <c r="FV82" s="64"/>
      <c r="FW82" s="64"/>
      <c r="FX82" s="64"/>
      <c r="FY82" s="64"/>
      <c r="FZ82" s="64"/>
      <c r="GA82" s="64"/>
      <c r="GB82" s="64"/>
      <c r="GC82" s="64"/>
      <c r="GD82" s="64"/>
      <c r="GE82" s="64"/>
      <c r="GF82" s="64"/>
      <c r="GG82" s="64"/>
      <c r="GH82" s="64"/>
      <c r="GI82" s="64"/>
      <c r="GJ82" s="64"/>
      <c r="GK82" s="64"/>
      <c r="GL82" s="64"/>
      <c r="GM82" s="64"/>
      <c r="GN82" s="64"/>
      <c r="GO82" s="64"/>
      <c r="GP82" s="64"/>
      <c r="GQ82" s="64"/>
      <c r="GR82" s="64"/>
      <c r="GS82" s="64"/>
      <c r="GT82" s="64"/>
      <c r="GU82" s="64"/>
      <c r="GV82" s="64"/>
      <c r="GW82" s="64"/>
      <c r="GX82" s="64"/>
      <c r="GY82" s="64"/>
      <c r="GZ82" s="64"/>
      <c r="HA82" s="64"/>
      <c r="HB82" s="64"/>
      <c r="HC82" s="64"/>
      <c r="HD82" s="64"/>
      <c r="HE82" s="64"/>
      <c r="HF82" s="64"/>
      <c r="HG82" s="64"/>
      <c r="HH82" s="64"/>
      <c r="HI82" s="64"/>
      <c r="HJ82" s="64"/>
      <c r="HK82" s="64"/>
      <c r="HL82" s="64"/>
      <c r="HM82" s="64"/>
      <c r="HN82" s="64"/>
      <c r="HO82" s="64"/>
      <c r="HP82" s="64"/>
      <c r="HQ82" s="64"/>
      <c r="HR82" s="64"/>
      <c r="HS82" s="64"/>
      <c r="HT82" s="64"/>
      <c r="HU82" s="64"/>
      <c r="HV82" s="64"/>
      <c r="HW82" s="64"/>
      <c r="HX82" s="64"/>
      <c r="HY82" s="64"/>
      <c r="HZ82" s="64"/>
      <c r="IA82" s="64"/>
      <c r="IB82" s="64"/>
      <c r="IC82" s="64"/>
      <c r="ID82" s="64"/>
      <c r="IE82" s="64"/>
      <c r="IF82" s="64"/>
      <c r="IG82" s="64"/>
      <c r="IH82" s="64"/>
      <c r="II82" s="64"/>
      <c r="IJ82" s="64"/>
      <c r="IK82" s="64"/>
      <c r="IL82" s="64"/>
      <c r="IM82" s="64"/>
      <c r="IN82" s="64"/>
      <c r="IO82" s="64"/>
      <c r="IP82" s="64"/>
      <c r="IQ82" s="64"/>
      <c r="IR82" s="64"/>
      <c r="IS82" s="64"/>
      <c r="IT82" s="64"/>
      <c r="IU82" s="64"/>
      <c r="IV82" s="64"/>
    </row>
    <row r="83" s="183" customFormat="1" ht="15.6">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c r="DU83" s="64"/>
      <c r="DV83" s="64"/>
      <c r="DW83" s="64"/>
      <c r="DX83" s="64"/>
      <c r="DY83" s="64"/>
      <c r="DZ83" s="64"/>
      <c r="EA83" s="64"/>
      <c r="EB83" s="64"/>
      <c r="EC83" s="64"/>
      <c r="ED83" s="64"/>
      <c r="EE83" s="64"/>
      <c r="EF83" s="64"/>
      <c r="EG83" s="64"/>
      <c r="EH83" s="64"/>
      <c r="EI83" s="64"/>
      <c r="EJ83" s="64"/>
      <c r="EK83" s="64"/>
      <c r="EL83" s="64"/>
      <c r="EM83" s="64"/>
      <c r="EN83" s="64"/>
      <c r="EO83" s="64"/>
      <c r="EP83" s="64"/>
      <c r="EQ83" s="64"/>
      <c r="ER83" s="64"/>
      <c r="ES83" s="64"/>
      <c r="ET83" s="64"/>
      <c r="EU83" s="64"/>
      <c r="EV83" s="64"/>
      <c r="EW83" s="64"/>
      <c r="EX83" s="64"/>
      <c r="EY83" s="64"/>
      <c r="EZ83" s="64"/>
      <c r="FA83" s="64"/>
      <c r="FB83" s="64"/>
      <c r="FC83" s="64"/>
      <c r="FD83" s="64"/>
      <c r="FE83" s="64"/>
      <c r="FF83" s="64"/>
      <c r="FG83" s="64"/>
      <c r="FH83" s="64"/>
      <c r="FI83" s="64"/>
      <c r="FJ83" s="64"/>
      <c r="FK83" s="64"/>
      <c r="FL83" s="64"/>
      <c r="FM83" s="64"/>
      <c r="FN83" s="64"/>
      <c r="FO83" s="64"/>
      <c r="FP83" s="64"/>
      <c r="FQ83" s="64"/>
      <c r="FR83" s="64"/>
      <c r="FS83" s="64"/>
      <c r="FT83" s="64"/>
      <c r="FU83" s="64"/>
      <c r="FV83" s="64"/>
      <c r="FW83" s="64"/>
      <c r="FX83" s="64"/>
      <c r="FY83" s="64"/>
      <c r="FZ83" s="64"/>
      <c r="GA83" s="64"/>
      <c r="GB83" s="64"/>
      <c r="GC83" s="64"/>
      <c r="GD83" s="64"/>
      <c r="GE83" s="64"/>
      <c r="GF83" s="64"/>
      <c r="GG83" s="64"/>
      <c r="GH83" s="64"/>
      <c r="GI83" s="64"/>
      <c r="GJ83" s="64"/>
      <c r="GK83" s="64"/>
      <c r="GL83" s="64"/>
      <c r="GM83" s="64"/>
      <c r="GN83" s="64"/>
      <c r="GO83" s="64"/>
      <c r="GP83" s="64"/>
      <c r="GQ83" s="64"/>
      <c r="GR83" s="64"/>
      <c r="GS83" s="64"/>
      <c r="GT83" s="64"/>
      <c r="GU83" s="64"/>
      <c r="GV83" s="64"/>
      <c r="GW83" s="64"/>
      <c r="GX83" s="64"/>
      <c r="GY83" s="64"/>
      <c r="GZ83" s="64"/>
      <c r="HA83" s="64"/>
      <c r="HB83" s="64"/>
      <c r="HC83" s="64"/>
      <c r="HD83" s="64"/>
      <c r="HE83" s="64"/>
      <c r="HF83" s="64"/>
      <c r="HG83" s="64"/>
      <c r="HH83" s="64"/>
      <c r="HI83" s="64"/>
      <c r="HJ83" s="64"/>
      <c r="HK83" s="64"/>
      <c r="HL83" s="64"/>
      <c r="HM83" s="64"/>
      <c r="HN83" s="64"/>
      <c r="HO83" s="64"/>
      <c r="HP83" s="64"/>
      <c r="HQ83" s="64"/>
      <c r="HR83" s="64"/>
      <c r="HS83" s="64"/>
      <c r="HT83" s="64"/>
      <c r="HU83" s="64"/>
      <c r="HV83" s="64"/>
      <c r="HW83" s="64"/>
      <c r="HX83" s="64"/>
      <c r="HY83" s="64"/>
      <c r="HZ83" s="64"/>
      <c r="IA83" s="64"/>
      <c r="IB83" s="64"/>
      <c r="IC83" s="64"/>
      <c r="ID83" s="64"/>
      <c r="IE83" s="64"/>
      <c r="IF83" s="64"/>
      <c r="IG83" s="64"/>
      <c r="IH83" s="64"/>
      <c r="II83" s="64"/>
      <c r="IJ83" s="64"/>
      <c r="IK83" s="64"/>
      <c r="IL83" s="64"/>
      <c r="IM83" s="64"/>
      <c r="IN83" s="64"/>
      <c r="IO83" s="64"/>
      <c r="IP83" s="64"/>
      <c r="IQ83" s="64"/>
      <c r="IR83" s="64"/>
      <c r="IS83" s="64"/>
      <c r="IT83" s="64"/>
      <c r="IU83" s="64"/>
      <c r="IV83" s="64"/>
    </row>
    <row r="84" s="183" customFormat="1" ht="15.6">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c r="DU84" s="64"/>
      <c r="DV84" s="64"/>
      <c r="DW84" s="64"/>
      <c r="DX84" s="64"/>
      <c r="DY84" s="64"/>
      <c r="DZ84" s="64"/>
      <c r="EA84" s="64"/>
      <c r="EB84" s="64"/>
      <c r="EC84" s="64"/>
      <c r="ED84" s="64"/>
      <c r="EE84" s="64"/>
      <c r="EF84" s="64"/>
      <c r="EG84" s="64"/>
      <c r="EH84" s="64"/>
      <c r="EI84" s="64"/>
      <c r="EJ84" s="64"/>
      <c r="EK84" s="64"/>
      <c r="EL84" s="64"/>
      <c r="EM84" s="64"/>
      <c r="EN84" s="64"/>
      <c r="EO84" s="64"/>
      <c r="EP84" s="64"/>
      <c r="EQ84" s="64"/>
      <c r="ER84" s="64"/>
      <c r="ES84" s="64"/>
      <c r="ET84" s="64"/>
      <c r="EU84" s="64"/>
      <c r="EV84" s="64"/>
      <c r="EW84" s="64"/>
      <c r="EX84" s="64"/>
      <c r="EY84" s="64"/>
      <c r="EZ84" s="64"/>
      <c r="FA84" s="64"/>
      <c r="FB84" s="64"/>
      <c r="FC84" s="64"/>
      <c r="FD84" s="64"/>
      <c r="FE84" s="64"/>
      <c r="FF84" s="64"/>
      <c r="FG84" s="64"/>
      <c r="FH84" s="64"/>
      <c r="FI84" s="64"/>
      <c r="FJ84" s="64"/>
      <c r="FK84" s="64"/>
      <c r="FL84" s="64"/>
      <c r="FM84" s="64"/>
      <c r="FN84" s="64"/>
      <c r="FO84" s="64"/>
      <c r="FP84" s="64"/>
      <c r="FQ84" s="64"/>
      <c r="FR84" s="64"/>
      <c r="FS84" s="64"/>
      <c r="FT84" s="64"/>
      <c r="FU84" s="64"/>
      <c r="FV84" s="64"/>
      <c r="FW84" s="64"/>
      <c r="FX84" s="64"/>
      <c r="FY84" s="64"/>
      <c r="FZ84" s="64"/>
      <c r="GA84" s="64"/>
      <c r="GB84" s="64"/>
      <c r="GC84" s="64"/>
      <c r="GD84" s="64"/>
      <c r="GE84" s="64"/>
      <c r="GF84" s="64"/>
      <c r="GG84" s="64"/>
      <c r="GH84" s="64"/>
      <c r="GI84" s="64"/>
      <c r="GJ84" s="64"/>
      <c r="GK84" s="64"/>
      <c r="GL84" s="64"/>
      <c r="GM84" s="64"/>
      <c r="GN84" s="64"/>
      <c r="GO84" s="64"/>
      <c r="GP84" s="64"/>
      <c r="GQ84" s="64"/>
      <c r="GR84" s="64"/>
      <c r="GS84" s="64"/>
      <c r="GT84" s="64"/>
      <c r="GU84" s="64"/>
      <c r="GV84" s="64"/>
      <c r="GW84" s="64"/>
      <c r="GX84" s="64"/>
      <c r="GY84" s="64"/>
      <c r="GZ84" s="64"/>
      <c r="HA84" s="64"/>
      <c r="HB84" s="64"/>
      <c r="HC84" s="64"/>
      <c r="HD84" s="64"/>
      <c r="HE84" s="64"/>
      <c r="HF84" s="64"/>
      <c r="HG84" s="64"/>
      <c r="HH84" s="64"/>
      <c r="HI84" s="64"/>
      <c r="HJ84" s="64"/>
      <c r="HK84" s="64"/>
      <c r="HL84" s="64"/>
      <c r="HM84" s="64"/>
      <c r="HN84" s="64"/>
      <c r="HO84" s="64"/>
      <c r="HP84" s="64"/>
      <c r="HQ84" s="64"/>
      <c r="HR84" s="64"/>
      <c r="HS84" s="64"/>
      <c r="HT84" s="64"/>
      <c r="HU84" s="64"/>
      <c r="HV84" s="64"/>
      <c r="HW84" s="64"/>
      <c r="HX84" s="64"/>
      <c r="HY84" s="64"/>
      <c r="HZ84" s="64"/>
      <c r="IA84" s="64"/>
      <c r="IB84" s="64"/>
      <c r="IC84" s="64"/>
      <c r="ID84" s="64"/>
      <c r="IE84" s="64"/>
      <c r="IF84" s="64"/>
      <c r="IG84" s="64"/>
      <c r="IH84" s="64"/>
      <c r="II84" s="64"/>
      <c r="IJ84" s="64"/>
      <c r="IK84" s="64"/>
      <c r="IL84" s="64"/>
      <c r="IM84" s="64"/>
      <c r="IN84" s="64"/>
      <c r="IO84" s="64"/>
      <c r="IP84" s="64"/>
      <c r="IQ84" s="64"/>
      <c r="IR84" s="64"/>
      <c r="IS84" s="64"/>
      <c r="IT84" s="64"/>
      <c r="IU84" s="64"/>
      <c r="IV84" s="64"/>
    </row>
    <row r="85" s="183" customFormat="1" ht="15.6">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row>
    <row r="86" s="183" customFormat="1" ht="15.6">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c r="DA86" s="64"/>
      <c r="DB86" s="64"/>
      <c r="DC86" s="64"/>
      <c r="DD86" s="64"/>
      <c r="DE86" s="64"/>
      <c r="DF86" s="64"/>
      <c r="DG86" s="64"/>
      <c r="DH86" s="64"/>
      <c r="DI86" s="64"/>
      <c r="DJ86" s="64"/>
      <c r="DK86" s="64"/>
      <c r="DL86" s="64"/>
      <c r="DM86" s="64"/>
      <c r="DN86" s="64"/>
      <c r="DO86" s="64"/>
      <c r="DP86" s="64"/>
      <c r="DQ86" s="64"/>
      <c r="DR86" s="64"/>
      <c r="DS86" s="64"/>
      <c r="DT86" s="64"/>
      <c r="DU86" s="64"/>
      <c r="DV86" s="64"/>
      <c r="DW86" s="64"/>
      <c r="DX86" s="64"/>
      <c r="DY86" s="64"/>
      <c r="DZ86" s="64"/>
      <c r="EA86" s="64"/>
      <c r="EB86" s="64"/>
      <c r="EC86" s="64"/>
      <c r="ED86" s="64"/>
      <c r="EE86" s="64"/>
      <c r="EF86" s="64"/>
      <c r="EG86" s="64"/>
      <c r="EH86" s="64"/>
      <c r="EI86" s="64"/>
      <c r="EJ86" s="64"/>
      <c r="EK86" s="64"/>
      <c r="EL86" s="64"/>
      <c r="EM86" s="64"/>
      <c r="EN86" s="64"/>
      <c r="EO86" s="64"/>
      <c r="EP86" s="64"/>
      <c r="EQ86" s="64"/>
      <c r="ER86" s="64"/>
      <c r="ES86" s="64"/>
      <c r="ET86" s="64"/>
      <c r="EU86" s="64"/>
      <c r="EV86" s="64"/>
      <c r="EW86" s="64"/>
      <c r="EX86" s="64"/>
      <c r="EY86" s="64"/>
      <c r="EZ86" s="64"/>
      <c r="FA86" s="64"/>
      <c r="FB86" s="64"/>
      <c r="FC86" s="64"/>
      <c r="FD86" s="64"/>
      <c r="FE86" s="64"/>
      <c r="FF86" s="64"/>
      <c r="FG86" s="64"/>
      <c r="FH86" s="64"/>
      <c r="FI86" s="64"/>
      <c r="FJ86" s="64"/>
      <c r="FK86" s="64"/>
      <c r="FL86" s="64"/>
      <c r="FM86" s="64"/>
      <c r="FN86" s="64"/>
      <c r="FO86" s="64"/>
      <c r="FP86" s="64"/>
      <c r="FQ86" s="64"/>
      <c r="FR86" s="64"/>
      <c r="FS86" s="64"/>
      <c r="FT86" s="64"/>
      <c r="FU86" s="64"/>
      <c r="FV86" s="64"/>
      <c r="FW86" s="64"/>
      <c r="FX86" s="64"/>
      <c r="FY86" s="64"/>
      <c r="FZ86" s="64"/>
      <c r="GA86" s="64"/>
      <c r="GB86" s="64"/>
      <c r="GC86" s="64"/>
      <c r="GD86" s="64"/>
      <c r="GE86" s="64"/>
      <c r="GF86" s="64"/>
      <c r="GG86" s="64"/>
      <c r="GH86" s="64"/>
      <c r="GI86" s="64"/>
      <c r="GJ86" s="64"/>
      <c r="GK86" s="64"/>
      <c r="GL86" s="64"/>
      <c r="GM86" s="64"/>
      <c r="GN86" s="64"/>
      <c r="GO86" s="64"/>
      <c r="GP86" s="64"/>
      <c r="GQ86" s="64"/>
      <c r="GR86" s="64"/>
      <c r="GS86" s="64"/>
      <c r="GT86" s="64"/>
      <c r="GU86" s="64"/>
      <c r="GV86" s="64"/>
      <c r="GW86" s="64"/>
      <c r="GX86" s="64"/>
      <c r="GY86" s="64"/>
      <c r="GZ86" s="64"/>
      <c r="HA86" s="64"/>
      <c r="HB86" s="64"/>
      <c r="HC86" s="64"/>
      <c r="HD86" s="64"/>
      <c r="HE86" s="64"/>
      <c r="HF86" s="64"/>
      <c r="HG86" s="64"/>
      <c r="HH86" s="64"/>
      <c r="HI86" s="64"/>
      <c r="HJ86" s="64"/>
      <c r="HK86" s="64"/>
      <c r="HL86" s="64"/>
      <c r="HM86" s="64"/>
      <c r="HN86" s="64"/>
      <c r="HO86" s="64"/>
      <c r="HP86" s="64"/>
      <c r="HQ86" s="64"/>
      <c r="HR86" s="64"/>
      <c r="HS86" s="64"/>
      <c r="HT86" s="64"/>
      <c r="HU86" s="64"/>
      <c r="HV86" s="64"/>
      <c r="HW86" s="64"/>
      <c r="HX86" s="64"/>
      <c r="HY86" s="64"/>
      <c r="HZ86" s="64"/>
      <c r="IA86" s="64"/>
      <c r="IB86" s="64"/>
      <c r="IC86" s="64"/>
      <c r="ID86" s="64"/>
      <c r="IE86" s="64"/>
      <c r="IF86" s="64"/>
      <c r="IG86" s="64"/>
      <c r="IH86" s="64"/>
      <c r="II86" s="64"/>
      <c r="IJ86" s="64"/>
      <c r="IK86" s="64"/>
      <c r="IL86" s="64"/>
      <c r="IM86" s="64"/>
      <c r="IN86" s="64"/>
      <c r="IO86" s="64"/>
      <c r="IP86" s="64"/>
      <c r="IQ86" s="64"/>
      <c r="IR86" s="64"/>
      <c r="IS86" s="64"/>
      <c r="IT86" s="64"/>
      <c r="IU86" s="64"/>
      <c r="IV86" s="64"/>
    </row>
    <row r="87" s="183" customFormat="1" ht="16.5" customHeight="1">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c r="DU87" s="64"/>
      <c r="DV87" s="64"/>
      <c r="DW87" s="64"/>
      <c r="DX87" s="64"/>
      <c r="DY87" s="64"/>
      <c r="DZ87" s="64"/>
      <c r="EA87" s="64"/>
      <c r="EB87" s="64"/>
      <c r="EC87" s="64"/>
      <c r="ED87" s="64"/>
      <c r="EE87" s="64"/>
      <c r="EF87" s="64"/>
      <c r="EG87" s="64"/>
      <c r="EH87" s="64"/>
      <c r="EI87" s="64"/>
      <c r="EJ87" s="64"/>
      <c r="EK87" s="64"/>
      <c r="EL87" s="64"/>
      <c r="EM87" s="64"/>
      <c r="EN87" s="64"/>
      <c r="EO87" s="64"/>
      <c r="EP87" s="64"/>
      <c r="EQ87" s="64"/>
      <c r="ER87" s="64"/>
      <c r="ES87" s="64"/>
      <c r="ET87" s="64"/>
      <c r="EU87" s="64"/>
      <c r="EV87" s="64"/>
      <c r="EW87" s="64"/>
      <c r="EX87" s="64"/>
      <c r="EY87" s="64"/>
      <c r="EZ87" s="64"/>
      <c r="FA87" s="64"/>
      <c r="FB87" s="64"/>
      <c r="FC87" s="64"/>
      <c r="FD87" s="64"/>
      <c r="FE87" s="64"/>
      <c r="FF87" s="64"/>
      <c r="FG87" s="64"/>
      <c r="FH87" s="64"/>
      <c r="FI87" s="64"/>
      <c r="FJ87" s="64"/>
      <c r="FK87" s="64"/>
      <c r="FL87" s="64"/>
      <c r="FM87" s="64"/>
      <c r="FN87" s="64"/>
      <c r="FO87" s="64"/>
      <c r="FP87" s="64"/>
      <c r="FQ87" s="64"/>
      <c r="FR87" s="64"/>
      <c r="FS87" s="64"/>
      <c r="FT87" s="64"/>
      <c r="FU87" s="64"/>
      <c r="FV87" s="64"/>
      <c r="FW87" s="64"/>
      <c r="FX87" s="64"/>
      <c r="FY87" s="64"/>
      <c r="FZ87" s="64"/>
      <c r="GA87" s="64"/>
      <c r="GB87" s="64"/>
      <c r="GC87" s="64"/>
      <c r="GD87" s="64"/>
      <c r="GE87" s="64"/>
      <c r="GF87" s="64"/>
      <c r="GG87" s="64"/>
      <c r="GH87" s="64"/>
      <c r="GI87" s="64"/>
      <c r="GJ87" s="64"/>
      <c r="GK87" s="64"/>
      <c r="GL87" s="64"/>
      <c r="GM87" s="64"/>
      <c r="GN87" s="64"/>
      <c r="GO87" s="64"/>
      <c r="GP87" s="64"/>
      <c r="GQ87" s="64"/>
      <c r="GR87" s="64"/>
      <c r="GS87" s="64"/>
      <c r="GT87" s="64"/>
      <c r="GU87" s="64"/>
      <c r="GV87" s="64"/>
      <c r="GW87" s="64"/>
      <c r="GX87" s="64"/>
      <c r="GY87" s="64"/>
      <c r="GZ87" s="64"/>
      <c r="HA87" s="64"/>
      <c r="HB87" s="64"/>
      <c r="HC87" s="64"/>
      <c r="HD87" s="64"/>
      <c r="HE87" s="64"/>
      <c r="HF87" s="64"/>
      <c r="HG87" s="64"/>
      <c r="HH87" s="64"/>
      <c r="HI87" s="64"/>
      <c r="HJ87" s="64"/>
      <c r="HK87" s="64"/>
      <c r="HL87" s="64"/>
      <c r="HM87" s="64"/>
      <c r="HN87" s="64"/>
      <c r="HO87" s="64"/>
      <c r="HP87" s="64"/>
      <c r="HQ87" s="64"/>
      <c r="HR87" s="64"/>
      <c r="HS87" s="64"/>
      <c r="HT87" s="64"/>
      <c r="HU87" s="64"/>
      <c r="HV87" s="64"/>
      <c r="HW87" s="64"/>
      <c r="HX87" s="64"/>
      <c r="HY87" s="64"/>
      <c r="HZ87" s="64"/>
      <c r="IA87" s="64"/>
      <c r="IB87" s="64"/>
      <c r="IC87" s="64"/>
      <c r="ID87" s="64"/>
      <c r="IE87" s="64"/>
      <c r="IF87" s="64"/>
      <c r="IG87" s="64"/>
      <c r="IH87" s="64"/>
      <c r="II87" s="64"/>
      <c r="IJ87" s="64"/>
      <c r="IK87" s="64"/>
      <c r="IL87" s="64"/>
      <c r="IM87" s="64"/>
      <c r="IN87" s="64"/>
      <c r="IO87" s="64"/>
      <c r="IP87" s="64"/>
      <c r="IQ87" s="64"/>
      <c r="IR87" s="64"/>
      <c r="IS87" s="64"/>
      <c r="IT87" s="64"/>
      <c r="IU87" s="64"/>
      <c r="IV87" s="64"/>
    </row>
    <row r="88" s="183" customFormat="1" ht="15.6">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c r="DB88" s="64"/>
      <c r="DC88" s="64"/>
      <c r="DD88" s="64"/>
      <c r="DE88" s="64"/>
      <c r="DF88" s="64"/>
      <c r="DG88" s="64"/>
      <c r="DH88" s="64"/>
      <c r="DI88" s="64"/>
      <c r="DJ88" s="64"/>
      <c r="DK88" s="64"/>
      <c r="DL88" s="64"/>
      <c r="DM88" s="64"/>
      <c r="DN88" s="64"/>
      <c r="DO88" s="64"/>
      <c r="DP88" s="64"/>
      <c r="DQ88" s="64"/>
      <c r="DR88" s="64"/>
      <c r="DS88" s="64"/>
      <c r="DT88" s="64"/>
      <c r="DU88" s="64"/>
      <c r="DV88" s="64"/>
      <c r="DW88" s="64"/>
      <c r="DX88" s="64"/>
      <c r="DY88" s="64"/>
      <c r="DZ88" s="64"/>
      <c r="EA88" s="64"/>
      <c r="EB88" s="64"/>
      <c r="EC88" s="64"/>
      <c r="ED88" s="64"/>
      <c r="EE88" s="64"/>
      <c r="EF88" s="64"/>
      <c r="EG88" s="64"/>
      <c r="EH88" s="64"/>
      <c r="EI88" s="64"/>
      <c r="EJ88" s="64"/>
      <c r="EK88" s="64"/>
      <c r="EL88" s="64"/>
      <c r="EM88" s="64"/>
      <c r="EN88" s="64"/>
      <c r="EO88" s="64"/>
      <c r="EP88" s="64"/>
      <c r="EQ88" s="64"/>
      <c r="ER88" s="64"/>
      <c r="ES88" s="64"/>
      <c r="ET88" s="64"/>
      <c r="EU88" s="64"/>
      <c r="EV88" s="64"/>
      <c r="EW88" s="64"/>
      <c r="EX88" s="64"/>
      <c r="EY88" s="64"/>
      <c r="EZ88" s="64"/>
      <c r="FA88" s="64"/>
      <c r="FB88" s="64"/>
      <c r="FC88" s="64"/>
      <c r="FD88" s="64"/>
      <c r="FE88" s="64"/>
      <c r="FF88" s="64"/>
      <c r="FG88" s="64"/>
      <c r="FH88" s="64"/>
      <c r="FI88" s="64"/>
      <c r="FJ88" s="64"/>
      <c r="FK88" s="64"/>
      <c r="FL88" s="64"/>
      <c r="FM88" s="64"/>
      <c r="FN88" s="64"/>
      <c r="FO88" s="64"/>
      <c r="FP88" s="64"/>
      <c r="FQ88" s="64"/>
      <c r="FR88" s="64"/>
      <c r="FS88" s="64"/>
      <c r="FT88" s="64"/>
      <c r="FU88" s="64"/>
      <c r="FV88" s="64"/>
      <c r="FW88" s="64"/>
      <c r="FX88" s="64"/>
      <c r="FY88" s="64"/>
      <c r="FZ88" s="64"/>
      <c r="GA88" s="64"/>
      <c r="GB88" s="64"/>
      <c r="GC88" s="64"/>
      <c r="GD88" s="64"/>
      <c r="GE88" s="64"/>
      <c r="GF88" s="64"/>
      <c r="GG88" s="64"/>
      <c r="GH88" s="64"/>
      <c r="GI88" s="64"/>
      <c r="GJ88" s="64"/>
      <c r="GK88" s="64"/>
      <c r="GL88" s="64"/>
      <c r="GM88" s="64"/>
      <c r="GN88" s="64"/>
      <c r="GO88" s="64"/>
      <c r="GP88" s="64"/>
      <c r="GQ88" s="64"/>
      <c r="GR88" s="64"/>
      <c r="GS88" s="64"/>
      <c r="GT88" s="64"/>
      <c r="GU88" s="64"/>
      <c r="GV88" s="64"/>
      <c r="GW88" s="64"/>
      <c r="GX88" s="64"/>
      <c r="GY88" s="64"/>
      <c r="GZ88" s="64"/>
      <c r="HA88" s="64"/>
      <c r="HB88" s="64"/>
      <c r="HC88" s="64"/>
      <c r="HD88" s="64"/>
      <c r="HE88" s="64"/>
      <c r="HF88" s="64"/>
      <c r="HG88" s="64"/>
      <c r="HH88" s="64"/>
      <c r="HI88" s="64"/>
      <c r="HJ88" s="64"/>
      <c r="HK88" s="64"/>
      <c r="HL88" s="64"/>
      <c r="HM88" s="64"/>
      <c r="HN88" s="64"/>
      <c r="HO88" s="64"/>
      <c r="HP88" s="64"/>
      <c r="HQ88" s="64"/>
      <c r="HR88" s="64"/>
      <c r="HS88" s="64"/>
      <c r="HT88" s="64"/>
      <c r="HU88" s="64"/>
      <c r="HV88" s="64"/>
      <c r="HW88" s="64"/>
      <c r="HX88" s="64"/>
      <c r="HY88" s="64"/>
      <c r="HZ88" s="64"/>
      <c r="IA88" s="64"/>
      <c r="IB88" s="64"/>
      <c r="IC88" s="64"/>
      <c r="ID88" s="64"/>
      <c r="IE88" s="64"/>
      <c r="IF88" s="64"/>
      <c r="IG88" s="64"/>
      <c r="IH88" s="64"/>
      <c r="II88" s="64"/>
      <c r="IJ88" s="64"/>
      <c r="IK88" s="64"/>
      <c r="IL88" s="64"/>
      <c r="IM88" s="64"/>
      <c r="IN88" s="64"/>
      <c r="IO88" s="64"/>
      <c r="IP88" s="64"/>
      <c r="IQ88" s="64"/>
      <c r="IR88" s="64"/>
      <c r="IS88" s="64"/>
      <c r="IT88" s="64"/>
      <c r="IU88" s="64"/>
      <c r="IV88" s="64"/>
    </row>
    <row r="89" s="183" customFormat="1" ht="15.6">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64"/>
      <c r="DT89" s="64"/>
      <c r="DU89" s="64"/>
      <c r="DV89" s="64"/>
      <c r="DW89" s="64"/>
      <c r="DX89" s="64"/>
      <c r="DY89" s="64"/>
      <c r="DZ89" s="64"/>
      <c r="EA89" s="64"/>
      <c r="EB89" s="64"/>
      <c r="EC89" s="64"/>
      <c r="ED89" s="64"/>
      <c r="EE89" s="64"/>
      <c r="EF89" s="64"/>
      <c r="EG89" s="64"/>
      <c r="EH89" s="64"/>
      <c r="EI89" s="64"/>
      <c r="EJ89" s="64"/>
      <c r="EK89" s="64"/>
      <c r="EL89" s="64"/>
      <c r="EM89" s="64"/>
      <c r="EN89" s="64"/>
      <c r="EO89" s="64"/>
      <c r="EP89" s="64"/>
      <c r="EQ89" s="64"/>
      <c r="ER89" s="64"/>
      <c r="ES89" s="64"/>
      <c r="ET89" s="64"/>
      <c r="EU89" s="64"/>
      <c r="EV89" s="64"/>
      <c r="EW89" s="64"/>
      <c r="EX89" s="64"/>
      <c r="EY89" s="64"/>
      <c r="EZ89" s="64"/>
      <c r="FA89" s="64"/>
      <c r="FB89" s="64"/>
      <c r="FC89" s="64"/>
      <c r="FD89" s="64"/>
      <c r="FE89" s="64"/>
      <c r="FF89" s="64"/>
      <c r="FG89" s="64"/>
      <c r="FH89" s="64"/>
      <c r="FI89" s="64"/>
      <c r="FJ89" s="64"/>
      <c r="FK89" s="64"/>
      <c r="FL89" s="64"/>
      <c r="FM89" s="64"/>
      <c r="FN89" s="64"/>
      <c r="FO89" s="64"/>
      <c r="FP89" s="64"/>
      <c r="FQ89" s="64"/>
      <c r="FR89" s="64"/>
      <c r="FS89" s="64"/>
      <c r="FT89" s="64"/>
      <c r="FU89" s="64"/>
      <c r="FV89" s="64"/>
      <c r="FW89" s="64"/>
      <c r="FX89" s="64"/>
      <c r="FY89" s="64"/>
      <c r="FZ89" s="64"/>
      <c r="GA89" s="64"/>
      <c r="GB89" s="64"/>
      <c r="GC89" s="64"/>
      <c r="GD89" s="64"/>
      <c r="GE89" s="64"/>
      <c r="GF89" s="64"/>
      <c r="GG89" s="64"/>
      <c r="GH89" s="64"/>
      <c r="GI89" s="64"/>
      <c r="GJ89" s="64"/>
      <c r="GK89" s="64"/>
      <c r="GL89" s="64"/>
      <c r="GM89" s="64"/>
      <c r="GN89" s="64"/>
      <c r="GO89" s="64"/>
      <c r="GP89" s="64"/>
      <c r="GQ89" s="64"/>
      <c r="GR89" s="64"/>
      <c r="GS89" s="64"/>
      <c r="GT89" s="64"/>
      <c r="GU89" s="64"/>
      <c r="GV89" s="64"/>
      <c r="GW89" s="64"/>
      <c r="GX89" s="64"/>
      <c r="GY89" s="64"/>
      <c r="GZ89" s="64"/>
      <c r="HA89" s="64"/>
      <c r="HB89" s="64"/>
      <c r="HC89" s="64"/>
      <c r="HD89" s="64"/>
      <c r="HE89" s="64"/>
      <c r="HF89" s="64"/>
      <c r="HG89" s="64"/>
      <c r="HH89" s="64"/>
      <c r="HI89" s="64"/>
      <c r="HJ89" s="64"/>
      <c r="HK89" s="64"/>
      <c r="HL89" s="64"/>
      <c r="HM89" s="64"/>
      <c r="HN89" s="64"/>
      <c r="HO89" s="64"/>
      <c r="HP89" s="64"/>
      <c r="HQ89" s="64"/>
      <c r="HR89" s="64"/>
      <c r="HS89" s="64"/>
      <c r="HT89" s="64"/>
      <c r="HU89" s="64"/>
      <c r="HV89" s="64"/>
      <c r="HW89" s="64"/>
      <c r="HX89" s="64"/>
      <c r="HY89" s="64"/>
      <c r="HZ89" s="64"/>
      <c r="IA89" s="64"/>
      <c r="IB89" s="64"/>
      <c r="IC89" s="64"/>
      <c r="ID89" s="64"/>
      <c r="IE89" s="64"/>
      <c r="IF89" s="64"/>
      <c r="IG89" s="64"/>
      <c r="IH89" s="64"/>
      <c r="II89" s="64"/>
      <c r="IJ89" s="64"/>
      <c r="IK89" s="64"/>
      <c r="IL89" s="64"/>
      <c r="IM89" s="64"/>
      <c r="IN89" s="64"/>
      <c r="IO89" s="64"/>
      <c r="IP89" s="64"/>
      <c r="IQ89" s="64"/>
      <c r="IR89" s="64"/>
      <c r="IS89" s="64"/>
      <c r="IT89" s="64"/>
      <c r="IU89" s="64"/>
      <c r="IV89" s="64"/>
    </row>
    <row r="90" s="183" customFormat="1" ht="15.6">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c r="DB90" s="64"/>
      <c r="DC90" s="64"/>
      <c r="DD90" s="64"/>
      <c r="DE90" s="64"/>
      <c r="DF90" s="64"/>
      <c r="DG90" s="64"/>
      <c r="DH90" s="64"/>
      <c r="DI90" s="64"/>
      <c r="DJ90" s="64"/>
      <c r="DK90" s="64"/>
      <c r="DL90" s="64"/>
      <c r="DM90" s="64"/>
      <c r="DN90" s="64"/>
      <c r="DO90" s="64"/>
      <c r="DP90" s="64"/>
      <c r="DQ90" s="64"/>
      <c r="DR90" s="64"/>
      <c r="DS90" s="64"/>
      <c r="DT90" s="64"/>
      <c r="DU90" s="64"/>
      <c r="DV90" s="64"/>
      <c r="DW90" s="64"/>
      <c r="DX90" s="64"/>
      <c r="DY90" s="64"/>
      <c r="DZ90" s="64"/>
      <c r="EA90" s="64"/>
      <c r="EB90" s="64"/>
      <c r="EC90" s="64"/>
      <c r="ED90" s="64"/>
      <c r="EE90" s="64"/>
      <c r="EF90" s="64"/>
      <c r="EG90" s="64"/>
      <c r="EH90" s="64"/>
      <c r="EI90" s="64"/>
      <c r="EJ90" s="64"/>
      <c r="EK90" s="64"/>
      <c r="EL90" s="64"/>
      <c r="EM90" s="64"/>
      <c r="EN90" s="64"/>
      <c r="EO90" s="64"/>
      <c r="EP90" s="64"/>
      <c r="EQ90" s="64"/>
      <c r="ER90" s="64"/>
      <c r="ES90" s="64"/>
      <c r="ET90" s="64"/>
      <c r="EU90" s="64"/>
      <c r="EV90" s="64"/>
      <c r="EW90" s="64"/>
      <c r="EX90" s="64"/>
      <c r="EY90" s="64"/>
      <c r="EZ90" s="64"/>
      <c r="FA90" s="64"/>
      <c r="FB90" s="64"/>
      <c r="FC90" s="64"/>
      <c r="FD90" s="64"/>
      <c r="FE90" s="64"/>
      <c r="FF90" s="64"/>
      <c r="FG90" s="64"/>
      <c r="FH90" s="64"/>
      <c r="FI90" s="64"/>
      <c r="FJ90" s="64"/>
      <c r="FK90" s="64"/>
      <c r="FL90" s="64"/>
      <c r="FM90" s="64"/>
      <c r="FN90" s="64"/>
      <c r="FO90" s="64"/>
      <c r="FP90" s="64"/>
      <c r="FQ90" s="64"/>
      <c r="FR90" s="64"/>
      <c r="FS90" s="64"/>
      <c r="FT90" s="64"/>
      <c r="FU90" s="64"/>
      <c r="FV90" s="64"/>
      <c r="FW90" s="64"/>
      <c r="FX90" s="64"/>
      <c r="FY90" s="64"/>
      <c r="FZ90" s="64"/>
      <c r="GA90" s="64"/>
      <c r="GB90" s="64"/>
      <c r="GC90" s="64"/>
      <c r="GD90" s="64"/>
      <c r="GE90" s="64"/>
      <c r="GF90" s="64"/>
      <c r="GG90" s="64"/>
      <c r="GH90" s="64"/>
      <c r="GI90" s="64"/>
      <c r="GJ90" s="64"/>
      <c r="GK90" s="64"/>
      <c r="GL90" s="64"/>
      <c r="GM90" s="64"/>
      <c r="GN90" s="64"/>
      <c r="GO90" s="64"/>
      <c r="GP90" s="64"/>
      <c r="GQ90" s="64"/>
      <c r="GR90" s="64"/>
      <c r="GS90" s="64"/>
      <c r="GT90" s="64"/>
      <c r="GU90" s="64"/>
      <c r="GV90" s="64"/>
      <c r="GW90" s="64"/>
      <c r="GX90" s="64"/>
      <c r="GY90" s="64"/>
      <c r="GZ90" s="64"/>
      <c r="HA90" s="64"/>
      <c r="HB90" s="64"/>
      <c r="HC90" s="64"/>
      <c r="HD90" s="64"/>
      <c r="HE90" s="64"/>
      <c r="HF90" s="64"/>
      <c r="HG90" s="64"/>
      <c r="HH90" s="64"/>
      <c r="HI90" s="64"/>
      <c r="HJ90" s="64"/>
      <c r="HK90" s="64"/>
      <c r="HL90" s="64"/>
      <c r="HM90" s="64"/>
      <c r="HN90" s="64"/>
      <c r="HO90" s="64"/>
      <c r="HP90" s="64"/>
      <c r="HQ90" s="64"/>
      <c r="HR90" s="64"/>
      <c r="HS90" s="64"/>
      <c r="HT90" s="64"/>
      <c r="HU90" s="64"/>
      <c r="HV90" s="64"/>
      <c r="HW90" s="64"/>
      <c r="HX90" s="64"/>
      <c r="HY90" s="64"/>
      <c r="HZ90" s="64"/>
      <c r="IA90" s="64"/>
      <c r="IB90" s="64"/>
      <c r="IC90" s="64"/>
      <c r="ID90" s="64"/>
      <c r="IE90" s="64"/>
      <c r="IF90" s="64"/>
      <c r="IG90" s="64"/>
      <c r="IH90" s="64"/>
      <c r="II90" s="64"/>
      <c r="IJ90" s="64"/>
      <c r="IK90" s="64"/>
      <c r="IL90" s="64"/>
      <c r="IM90" s="64"/>
      <c r="IN90" s="64"/>
      <c r="IO90" s="64"/>
      <c r="IP90" s="64"/>
      <c r="IQ90" s="64"/>
      <c r="IR90" s="64"/>
      <c r="IS90" s="64"/>
      <c r="IT90" s="64"/>
      <c r="IU90" s="64"/>
      <c r="IV90" s="64"/>
    </row>
    <row r="91" s="183" customFormat="1" ht="15.6">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c r="ES91" s="64"/>
      <c r="ET91" s="64"/>
      <c r="EU91" s="64"/>
      <c r="EV91" s="64"/>
      <c r="EW91" s="64"/>
      <c r="EX91" s="64"/>
      <c r="EY91" s="64"/>
      <c r="EZ91" s="64"/>
      <c r="FA91" s="64"/>
      <c r="FB91" s="64"/>
      <c r="FC91" s="64"/>
      <c r="FD91" s="64"/>
      <c r="FE91" s="64"/>
      <c r="FF91" s="64"/>
      <c r="FG91" s="64"/>
      <c r="FH91" s="64"/>
      <c r="FI91" s="64"/>
      <c r="FJ91" s="64"/>
      <c r="FK91" s="64"/>
      <c r="FL91" s="64"/>
      <c r="FM91" s="64"/>
      <c r="FN91" s="64"/>
      <c r="FO91" s="64"/>
      <c r="FP91" s="64"/>
      <c r="FQ91" s="64"/>
      <c r="FR91" s="64"/>
      <c r="FS91" s="64"/>
      <c r="FT91" s="64"/>
      <c r="FU91" s="64"/>
      <c r="FV91" s="64"/>
      <c r="FW91" s="64"/>
      <c r="FX91" s="64"/>
      <c r="FY91" s="64"/>
      <c r="FZ91" s="64"/>
      <c r="GA91" s="64"/>
      <c r="GB91" s="64"/>
      <c r="GC91" s="64"/>
      <c r="GD91" s="64"/>
      <c r="GE91" s="64"/>
      <c r="GF91" s="64"/>
      <c r="GG91" s="64"/>
      <c r="GH91" s="64"/>
      <c r="GI91" s="64"/>
      <c r="GJ91" s="64"/>
      <c r="GK91" s="64"/>
      <c r="GL91" s="64"/>
      <c r="GM91" s="64"/>
      <c r="GN91" s="64"/>
      <c r="GO91" s="64"/>
      <c r="GP91" s="64"/>
      <c r="GQ91" s="64"/>
      <c r="GR91" s="64"/>
      <c r="GS91" s="64"/>
      <c r="GT91" s="64"/>
      <c r="GU91" s="64"/>
      <c r="GV91" s="64"/>
      <c r="GW91" s="64"/>
      <c r="GX91" s="64"/>
      <c r="GY91" s="64"/>
      <c r="GZ91" s="64"/>
      <c r="HA91" s="64"/>
      <c r="HB91" s="64"/>
      <c r="HC91" s="64"/>
      <c r="HD91" s="64"/>
      <c r="HE91" s="64"/>
      <c r="HF91" s="64"/>
      <c r="HG91" s="64"/>
      <c r="HH91" s="64"/>
      <c r="HI91" s="64"/>
      <c r="HJ91" s="64"/>
      <c r="HK91" s="64"/>
      <c r="HL91" s="64"/>
      <c r="HM91" s="64"/>
      <c r="HN91" s="64"/>
      <c r="HO91" s="64"/>
      <c r="HP91" s="64"/>
      <c r="HQ91" s="64"/>
      <c r="HR91" s="64"/>
      <c r="HS91" s="64"/>
      <c r="HT91" s="64"/>
      <c r="HU91" s="64"/>
      <c r="HV91" s="64"/>
      <c r="HW91" s="64"/>
      <c r="HX91" s="64"/>
      <c r="HY91" s="64"/>
      <c r="HZ91" s="64"/>
      <c r="IA91" s="64"/>
      <c r="IB91" s="64"/>
      <c r="IC91" s="64"/>
      <c r="ID91" s="64"/>
      <c r="IE91" s="64"/>
      <c r="IF91" s="64"/>
      <c r="IG91" s="64"/>
      <c r="IH91" s="64"/>
      <c r="II91" s="64"/>
      <c r="IJ91" s="64"/>
      <c r="IK91" s="64"/>
      <c r="IL91" s="64"/>
      <c r="IM91" s="64"/>
      <c r="IN91" s="64"/>
      <c r="IO91" s="64"/>
      <c r="IP91" s="64"/>
      <c r="IQ91" s="64"/>
      <c r="IR91" s="64"/>
      <c r="IS91" s="64"/>
      <c r="IT91" s="64"/>
      <c r="IU91" s="64"/>
      <c r="IV91" s="64"/>
    </row>
    <row r="92" s="183" customFormat="1" ht="15.6">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c r="CY92" s="64"/>
      <c r="CZ92" s="64"/>
      <c r="DA92" s="64"/>
      <c r="DB92" s="64"/>
      <c r="DC92" s="64"/>
      <c r="DD92" s="64"/>
      <c r="DE92" s="64"/>
      <c r="DF92" s="64"/>
      <c r="DG92" s="64"/>
      <c r="DH92" s="64"/>
      <c r="DI92" s="64"/>
      <c r="DJ92" s="64"/>
      <c r="DK92" s="64"/>
      <c r="DL92" s="64"/>
      <c r="DM92" s="64"/>
      <c r="DN92" s="64"/>
      <c r="DO92" s="64"/>
      <c r="DP92" s="64"/>
      <c r="DQ92" s="64"/>
      <c r="DR92" s="64"/>
      <c r="DS92" s="64"/>
      <c r="DT92" s="64"/>
      <c r="DU92" s="64"/>
      <c r="DV92" s="64"/>
      <c r="DW92" s="64"/>
      <c r="DX92" s="64"/>
      <c r="DY92" s="64"/>
      <c r="DZ92" s="64"/>
      <c r="EA92" s="64"/>
      <c r="EB92" s="64"/>
      <c r="EC92" s="64"/>
      <c r="ED92" s="64"/>
      <c r="EE92" s="64"/>
      <c r="EF92" s="64"/>
      <c r="EG92" s="64"/>
      <c r="EH92" s="64"/>
      <c r="EI92" s="64"/>
      <c r="EJ92" s="64"/>
      <c r="EK92" s="64"/>
      <c r="EL92" s="64"/>
      <c r="EM92" s="64"/>
      <c r="EN92" s="64"/>
      <c r="EO92" s="64"/>
      <c r="EP92" s="64"/>
      <c r="EQ92" s="64"/>
      <c r="ER92" s="64"/>
      <c r="ES92" s="64"/>
      <c r="ET92" s="64"/>
      <c r="EU92" s="64"/>
      <c r="EV92" s="64"/>
      <c r="EW92" s="64"/>
      <c r="EX92" s="64"/>
      <c r="EY92" s="64"/>
      <c r="EZ92" s="64"/>
      <c r="FA92" s="64"/>
      <c r="FB92" s="64"/>
      <c r="FC92" s="64"/>
      <c r="FD92" s="64"/>
      <c r="FE92" s="64"/>
      <c r="FF92" s="64"/>
      <c r="FG92" s="64"/>
      <c r="FH92" s="64"/>
      <c r="FI92" s="64"/>
      <c r="FJ92" s="64"/>
      <c r="FK92" s="64"/>
      <c r="FL92" s="64"/>
      <c r="FM92" s="64"/>
      <c r="FN92" s="64"/>
      <c r="FO92" s="64"/>
      <c r="FP92" s="64"/>
      <c r="FQ92" s="64"/>
      <c r="FR92" s="64"/>
      <c r="FS92" s="64"/>
      <c r="FT92" s="64"/>
      <c r="FU92" s="64"/>
      <c r="FV92" s="64"/>
      <c r="FW92" s="64"/>
      <c r="FX92" s="64"/>
      <c r="FY92" s="64"/>
      <c r="FZ92" s="64"/>
      <c r="GA92" s="64"/>
      <c r="GB92" s="64"/>
      <c r="GC92" s="64"/>
      <c r="GD92" s="64"/>
      <c r="GE92" s="64"/>
      <c r="GF92" s="64"/>
      <c r="GG92" s="64"/>
      <c r="GH92" s="64"/>
      <c r="GI92" s="64"/>
      <c r="GJ92" s="64"/>
      <c r="GK92" s="64"/>
      <c r="GL92" s="64"/>
      <c r="GM92" s="64"/>
      <c r="GN92" s="64"/>
      <c r="GO92" s="64"/>
      <c r="GP92" s="64"/>
      <c r="GQ92" s="64"/>
      <c r="GR92" s="64"/>
      <c r="GS92" s="64"/>
      <c r="GT92" s="64"/>
      <c r="GU92" s="64"/>
      <c r="GV92" s="64"/>
      <c r="GW92" s="64"/>
      <c r="GX92" s="64"/>
      <c r="GY92" s="64"/>
      <c r="GZ92" s="64"/>
      <c r="HA92" s="64"/>
      <c r="HB92" s="64"/>
      <c r="HC92" s="64"/>
      <c r="HD92" s="64"/>
      <c r="HE92" s="64"/>
      <c r="HF92" s="64"/>
      <c r="HG92" s="64"/>
      <c r="HH92" s="64"/>
      <c r="HI92" s="64"/>
      <c r="HJ92" s="64"/>
      <c r="HK92" s="64"/>
      <c r="HL92" s="64"/>
      <c r="HM92" s="64"/>
      <c r="HN92" s="64"/>
      <c r="HO92" s="64"/>
      <c r="HP92" s="64"/>
      <c r="HQ92" s="64"/>
      <c r="HR92" s="64"/>
      <c r="HS92" s="64"/>
      <c r="HT92" s="64"/>
      <c r="HU92" s="64"/>
      <c r="HV92" s="64"/>
      <c r="HW92" s="64"/>
      <c r="HX92" s="64"/>
      <c r="HY92" s="64"/>
      <c r="HZ92" s="64"/>
      <c r="IA92" s="64"/>
      <c r="IB92" s="64"/>
      <c r="IC92" s="64"/>
      <c r="ID92" s="64"/>
      <c r="IE92" s="64"/>
      <c r="IF92" s="64"/>
      <c r="IG92" s="64"/>
      <c r="IH92" s="64"/>
      <c r="II92" s="64"/>
      <c r="IJ92" s="64"/>
      <c r="IK92" s="64"/>
      <c r="IL92" s="64"/>
      <c r="IM92" s="64"/>
      <c r="IN92" s="64"/>
      <c r="IO92" s="64"/>
      <c r="IP92" s="64"/>
      <c r="IQ92" s="64"/>
      <c r="IR92" s="64"/>
      <c r="IS92" s="64"/>
      <c r="IT92" s="64"/>
      <c r="IU92" s="64"/>
      <c r="IV92" s="64"/>
    </row>
    <row r="93" s="183" customFormat="1" ht="15.6">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c r="CY93" s="64"/>
      <c r="CZ93" s="64"/>
      <c r="DA93" s="64"/>
      <c r="DB93" s="64"/>
      <c r="DC93" s="64"/>
      <c r="DD93" s="64"/>
      <c r="DE93" s="64"/>
      <c r="DF93" s="64"/>
      <c r="DG93" s="64"/>
      <c r="DH93" s="64"/>
      <c r="DI93" s="64"/>
      <c r="DJ93" s="64"/>
      <c r="DK93" s="64"/>
      <c r="DL93" s="64"/>
      <c r="DM93" s="64"/>
      <c r="DN93" s="64"/>
      <c r="DO93" s="64"/>
      <c r="DP93" s="64"/>
      <c r="DQ93" s="64"/>
      <c r="DR93" s="64"/>
      <c r="DS93" s="64"/>
      <c r="DT93" s="64"/>
      <c r="DU93" s="64"/>
      <c r="DV93" s="64"/>
      <c r="DW93" s="64"/>
      <c r="DX93" s="64"/>
      <c r="DY93" s="64"/>
      <c r="DZ93" s="64"/>
      <c r="EA93" s="64"/>
      <c r="EB93" s="64"/>
      <c r="EC93" s="64"/>
      <c r="ED93" s="64"/>
      <c r="EE93" s="64"/>
      <c r="EF93" s="64"/>
      <c r="EG93" s="64"/>
      <c r="EH93" s="64"/>
      <c r="EI93" s="64"/>
      <c r="EJ93" s="64"/>
      <c r="EK93" s="64"/>
      <c r="EL93" s="64"/>
      <c r="EM93" s="64"/>
      <c r="EN93" s="64"/>
      <c r="EO93" s="64"/>
      <c r="EP93" s="64"/>
      <c r="EQ93" s="64"/>
      <c r="ER93" s="64"/>
      <c r="ES93" s="64"/>
      <c r="ET93" s="64"/>
      <c r="EU93" s="64"/>
      <c r="EV93" s="64"/>
      <c r="EW93" s="64"/>
      <c r="EX93" s="64"/>
      <c r="EY93" s="64"/>
      <c r="EZ93" s="64"/>
      <c r="FA93" s="64"/>
      <c r="FB93" s="64"/>
      <c r="FC93" s="64"/>
      <c r="FD93" s="64"/>
      <c r="FE93" s="64"/>
      <c r="FF93" s="64"/>
      <c r="FG93" s="64"/>
      <c r="FH93" s="64"/>
      <c r="FI93" s="64"/>
      <c r="FJ93" s="64"/>
      <c r="FK93" s="64"/>
      <c r="FL93" s="64"/>
      <c r="FM93" s="64"/>
      <c r="FN93" s="64"/>
      <c r="FO93" s="64"/>
      <c r="FP93" s="64"/>
      <c r="FQ93" s="64"/>
      <c r="FR93" s="64"/>
      <c r="FS93" s="64"/>
      <c r="FT93" s="64"/>
      <c r="FU93" s="64"/>
      <c r="FV93" s="64"/>
      <c r="FW93" s="64"/>
      <c r="FX93" s="64"/>
      <c r="FY93" s="64"/>
      <c r="FZ93" s="64"/>
      <c r="GA93" s="64"/>
      <c r="GB93" s="64"/>
      <c r="GC93" s="64"/>
      <c r="GD93" s="64"/>
      <c r="GE93" s="64"/>
      <c r="GF93" s="64"/>
      <c r="GG93" s="64"/>
      <c r="GH93" s="64"/>
      <c r="GI93" s="64"/>
      <c r="GJ93" s="64"/>
      <c r="GK93" s="64"/>
      <c r="GL93" s="64"/>
      <c r="GM93" s="64"/>
      <c r="GN93" s="64"/>
      <c r="GO93" s="64"/>
      <c r="GP93" s="64"/>
      <c r="GQ93" s="64"/>
      <c r="GR93" s="64"/>
      <c r="GS93" s="64"/>
      <c r="GT93" s="64"/>
      <c r="GU93" s="64"/>
      <c r="GV93" s="64"/>
      <c r="GW93" s="64"/>
      <c r="GX93" s="64"/>
      <c r="GY93" s="64"/>
      <c r="GZ93" s="64"/>
      <c r="HA93" s="64"/>
      <c r="HB93" s="64"/>
      <c r="HC93" s="64"/>
      <c r="HD93" s="64"/>
      <c r="HE93" s="64"/>
      <c r="HF93" s="64"/>
      <c r="HG93" s="64"/>
      <c r="HH93" s="64"/>
      <c r="HI93" s="64"/>
      <c r="HJ93" s="64"/>
      <c r="HK93" s="64"/>
      <c r="HL93" s="64"/>
      <c r="HM93" s="64"/>
      <c r="HN93" s="64"/>
      <c r="HO93" s="64"/>
      <c r="HP93" s="64"/>
      <c r="HQ93" s="64"/>
      <c r="HR93" s="64"/>
      <c r="HS93" s="64"/>
      <c r="HT93" s="64"/>
      <c r="HU93" s="64"/>
      <c r="HV93" s="64"/>
      <c r="HW93" s="64"/>
      <c r="HX93" s="64"/>
      <c r="HY93" s="64"/>
      <c r="HZ93" s="64"/>
      <c r="IA93" s="64"/>
      <c r="IB93" s="64"/>
      <c r="IC93" s="64"/>
      <c r="ID93" s="64"/>
      <c r="IE93" s="64"/>
      <c r="IF93" s="64"/>
      <c r="IG93" s="64"/>
      <c r="IH93" s="64"/>
      <c r="II93" s="64"/>
      <c r="IJ93" s="64"/>
      <c r="IK93" s="64"/>
      <c r="IL93" s="64"/>
      <c r="IM93" s="64"/>
      <c r="IN93" s="64"/>
      <c r="IO93" s="64"/>
      <c r="IP93" s="64"/>
      <c r="IQ93" s="64"/>
      <c r="IR93" s="64"/>
      <c r="IS93" s="64"/>
      <c r="IT93" s="64"/>
      <c r="IU93" s="64"/>
      <c r="IV93" s="64"/>
    </row>
    <row r="94" s="183" customFormat="1" ht="15.6">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c r="DA94" s="64"/>
      <c r="DB94" s="64"/>
      <c r="DC94" s="64"/>
      <c r="DD94" s="64"/>
      <c r="DE94" s="64"/>
      <c r="DF94" s="64"/>
      <c r="DG94" s="64"/>
      <c r="DH94" s="64"/>
      <c r="DI94" s="64"/>
      <c r="DJ94" s="64"/>
      <c r="DK94" s="64"/>
      <c r="DL94" s="64"/>
      <c r="DM94" s="64"/>
      <c r="DN94" s="64"/>
      <c r="DO94" s="64"/>
      <c r="DP94" s="64"/>
      <c r="DQ94" s="64"/>
      <c r="DR94" s="64"/>
      <c r="DS94" s="64"/>
      <c r="DT94" s="64"/>
      <c r="DU94" s="64"/>
      <c r="DV94" s="64"/>
      <c r="DW94" s="64"/>
      <c r="DX94" s="64"/>
      <c r="DY94" s="64"/>
      <c r="DZ94" s="64"/>
      <c r="EA94" s="64"/>
      <c r="EB94" s="64"/>
      <c r="EC94" s="64"/>
      <c r="ED94" s="64"/>
      <c r="EE94" s="64"/>
      <c r="EF94" s="64"/>
      <c r="EG94" s="64"/>
      <c r="EH94" s="64"/>
      <c r="EI94" s="64"/>
      <c r="EJ94" s="64"/>
      <c r="EK94" s="64"/>
      <c r="EL94" s="64"/>
      <c r="EM94" s="64"/>
      <c r="EN94" s="64"/>
      <c r="EO94" s="64"/>
      <c r="EP94" s="64"/>
      <c r="EQ94" s="64"/>
      <c r="ER94" s="64"/>
      <c r="ES94" s="64"/>
      <c r="ET94" s="64"/>
      <c r="EU94" s="64"/>
      <c r="EV94" s="64"/>
      <c r="EW94" s="64"/>
      <c r="EX94" s="64"/>
      <c r="EY94" s="64"/>
      <c r="EZ94" s="64"/>
      <c r="FA94" s="64"/>
      <c r="FB94" s="64"/>
      <c r="FC94" s="64"/>
      <c r="FD94" s="64"/>
      <c r="FE94" s="64"/>
      <c r="FF94" s="64"/>
      <c r="FG94" s="64"/>
      <c r="FH94" s="64"/>
      <c r="FI94" s="64"/>
      <c r="FJ94" s="64"/>
      <c r="FK94" s="64"/>
      <c r="FL94" s="64"/>
      <c r="FM94" s="64"/>
      <c r="FN94" s="64"/>
      <c r="FO94" s="64"/>
      <c r="FP94" s="64"/>
      <c r="FQ94" s="64"/>
      <c r="FR94" s="64"/>
      <c r="FS94" s="64"/>
      <c r="FT94" s="64"/>
      <c r="FU94" s="64"/>
      <c r="FV94" s="64"/>
      <c r="FW94" s="64"/>
      <c r="FX94" s="64"/>
      <c r="FY94" s="64"/>
      <c r="FZ94" s="64"/>
      <c r="GA94" s="64"/>
      <c r="GB94" s="64"/>
      <c r="GC94" s="64"/>
      <c r="GD94" s="64"/>
      <c r="GE94" s="64"/>
      <c r="GF94" s="64"/>
      <c r="GG94" s="64"/>
      <c r="GH94" s="64"/>
      <c r="GI94" s="64"/>
      <c r="GJ94" s="64"/>
      <c r="GK94" s="64"/>
      <c r="GL94" s="64"/>
      <c r="GM94" s="64"/>
      <c r="GN94" s="64"/>
      <c r="GO94" s="64"/>
      <c r="GP94" s="64"/>
      <c r="GQ94" s="64"/>
      <c r="GR94" s="64"/>
      <c r="GS94" s="64"/>
      <c r="GT94" s="64"/>
      <c r="GU94" s="64"/>
      <c r="GV94" s="64"/>
      <c r="GW94" s="64"/>
      <c r="GX94" s="64"/>
      <c r="GY94" s="64"/>
      <c r="GZ94" s="64"/>
      <c r="HA94" s="64"/>
      <c r="HB94" s="64"/>
      <c r="HC94" s="64"/>
      <c r="HD94" s="64"/>
      <c r="HE94" s="64"/>
      <c r="HF94" s="64"/>
      <c r="HG94" s="64"/>
      <c r="HH94" s="64"/>
      <c r="HI94" s="64"/>
      <c r="HJ94" s="64"/>
      <c r="HK94" s="64"/>
      <c r="HL94" s="64"/>
      <c r="HM94" s="64"/>
      <c r="HN94" s="64"/>
      <c r="HO94" s="64"/>
      <c r="HP94" s="64"/>
      <c r="HQ94" s="64"/>
      <c r="HR94" s="64"/>
      <c r="HS94" s="64"/>
      <c r="HT94" s="64"/>
      <c r="HU94" s="64"/>
      <c r="HV94" s="64"/>
      <c r="HW94" s="64"/>
      <c r="HX94" s="64"/>
      <c r="HY94" s="64"/>
      <c r="HZ94" s="64"/>
      <c r="IA94" s="64"/>
      <c r="IB94" s="64"/>
      <c r="IC94" s="64"/>
      <c r="ID94" s="64"/>
      <c r="IE94" s="64"/>
      <c r="IF94" s="64"/>
      <c r="IG94" s="64"/>
      <c r="IH94" s="64"/>
      <c r="II94" s="64"/>
      <c r="IJ94" s="64"/>
      <c r="IK94" s="64"/>
      <c r="IL94" s="64"/>
      <c r="IM94" s="64"/>
      <c r="IN94" s="64"/>
      <c r="IO94" s="64"/>
      <c r="IP94" s="64"/>
      <c r="IQ94" s="64"/>
      <c r="IR94" s="64"/>
      <c r="IS94" s="64"/>
      <c r="IT94" s="64"/>
      <c r="IU94" s="64"/>
      <c r="IV94" s="64"/>
    </row>
    <row r="95" s="183" customFormat="1" ht="15.6">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c r="GH95" s="64"/>
      <c r="GI95" s="64"/>
      <c r="GJ95" s="64"/>
      <c r="GK95" s="64"/>
      <c r="GL95" s="64"/>
      <c r="GM95" s="64"/>
      <c r="GN95" s="64"/>
      <c r="GO95" s="64"/>
      <c r="GP95" s="64"/>
      <c r="GQ95" s="64"/>
      <c r="GR95" s="64"/>
      <c r="GS95" s="64"/>
      <c r="GT95" s="64"/>
      <c r="GU95" s="64"/>
      <c r="GV95" s="64"/>
      <c r="GW95" s="64"/>
      <c r="GX95" s="64"/>
      <c r="GY95" s="64"/>
      <c r="GZ95" s="64"/>
      <c r="HA95" s="64"/>
      <c r="HB95" s="64"/>
      <c r="HC95" s="64"/>
      <c r="HD95" s="64"/>
      <c r="HE95" s="64"/>
      <c r="HF95" s="64"/>
      <c r="HG95" s="64"/>
      <c r="HH95" s="64"/>
      <c r="HI95" s="64"/>
      <c r="HJ95" s="64"/>
      <c r="HK95" s="64"/>
      <c r="HL95" s="64"/>
      <c r="HM95" s="64"/>
      <c r="HN95" s="64"/>
      <c r="HO95" s="64"/>
      <c r="HP95" s="64"/>
      <c r="HQ95" s="64"/>
      <c r="HR95" s="64"/>
      <c r="HS95" s="64"/>
      <c r="HT95" s="64"/>
      <c r="HU95" s="64"/>
      <c r="HV95" s="64"/>
      <c r="HW95" s="64"/>
      <c r="HX95" s="64"/>
      <c r="HY95" s="64"/>
      <c r="HZ95" s="64"/>
      <c r="IA95" s="64"/>
      <c r="IB95" s="64"/>
      <c r="IC95" s="64"/>
      <c r="ID95" s="64"/>
      <c r="IE95" s="64"/>
      <c r="IF95" s="64"/>
      <c r="IG95" s="64"/>
      <c r="IH95" s="64"/>
      <c r="II95" s="64"/>
      <c r="IJ95" s="64"/>
      <c r="IK95" s="64"/>
      <c r="IL95" s="64"/>
      <c r="IM95" s="64"/>
      <c r="IN95" s="64"/>
      <c r="IO95" s="64"/>
      <c r="IP95" s="64"/>
      <c r="IQ95" s="64"/>
      <c r="IR95" s="64"/>
      <c r="IS95" s="64"/>
      <c r="IT95" s="64"/>
      <c r="IU95" s="64"/>
      <c r="IV95" s="64"/>
    </row>
    <row r="96" s="183" customFormat="1" ht="15.6">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4"/>
      <c r="CA96" s="64"/>
      <c r="CB96" s="64"/>
      <c r="CC96" s="64"/>
      <c r="CD96" s="64"/>
      <c r="CE96" s="64"/>
      <c r="CF96" s="64"/>
      <c r="CG96" s="64"/>
      <c r="CH96" s="64"/>
      <c r="CI96" s="64"/>
      <c r="CJ96" s="64"/>
      <c r="CK96" s="64"/>
      <c r="CL96" s="64"/>
      <c r="CM96" s="64"/>
      <c r="CN96" s="64"/>
      <c r="CO96" s="64"/>
      <c r="CP96" s="64"/>
      <c r="CQ96" s="64"/>
      <c r="CR96" s="64"/>
      <c r="CS96" s="64"/>
      <c r="CT96" s="64"/>
      <c r="CU96" s="64"/>
      <c r="CV96" s="64"/>
      <c r="CW96" s="64"/>
      <c r="CX96" s="64"/>
      <c r="CY96" s="64"/>
      <c r="CZ96" s="64"/>
      <c r="DA96" s="64"/>
      <c r="DB96" s="64"/>
      <c r="DC96" s="64"/>
      <c r="DD96" s="64"/>
      <c r="DE96" s="64"/>
      <c r="DF96" s="64"/>
      <c r="DG96" s="64"/>
      <c r="DH96" s="64"/>
      <c r="DI96" s="64"/>
      <c r="DJ96" s="64"/>
      <c r="DK96" s="64"/>
      <c r="DL96" s="64"/>
      <c r="DM96" s="64"/>
      <c r="DN96" s="64"/>
      <c r="DO96" s="64"/>
      <c r="DP96" s="64"/>
      <c r="DQ96" s="64"/>
      <c r="DR96" s="64"/>
      <c r="DS96" s="64"/>
      <c r="DT96" s="64"/>
      <c r="DU96" s="64"/>
      <c r="DV96" s="64"/>
      <c r="DW96" s="64"/>
      <c r="DX96" s="64"/>
      <c r="DY96" s="64"/>
      <c r="DZ96" s="64"/>
      <c r="EA96" s="64"/>
      <c r="EB96" s="64"/>
      <c r="EC96" s="64"/>
      <c r="ED96" s="64"/>
      <c r="EE96" s="64"/>
      <c r="EF96" s="64"/>
      <c r="EG96" s="64"/>
      <c r="EH96" s="64"/>
      <c r="EI96" s="64"/>
      <c r="EJ96" s="64"/>
      <c r="EK96" s="64"/>
      <c r="EL96" s="64"/>
      <c r="EM96" s="64"/>
      <c r="EN96" s="64"/>
      <c r="EO96" s="64"/>
      <c r="EP96" s="64"/>
      <c r="EQ96" s="64"/>
      <c r="ER96" s="64"/>
      <c r="ES96" s="64"/>
      <c r="ET96" s="64"/>
      <c r="EU96" s="64"/>
      <c r="EV96" s="64"/>
      <c r="EW96" s="64"/>
      <c r="EX96" s="64"/>
      <c r="EY96" s="64"/>
      <c r="EZ96" s="64"/>
      <c r="FA96" s="64"/>
      <c r="FB96" s="64"/>
      <c r="FC96" s="64"/>
      <c r="FD96" s="64"/>
      <c r="FE96" s="64"/>
      <c r="FF96" s="64"/>
      <c r="FG96" s="64"/>
      <c r="FH96" s="64"/>
      <c r="FI96" s="64"/>
      <c r="FJ96" s="64"/>
      <c r="FK96" s="64"/>
      <c r="FL96" s="64"/>
      <c r="FM96" s="64"/>
      <c r="FN96" s="64"/>
      <c r="FO96" s="64"/>
      <c r="FP96" s="64"/>
      <c r="FQ96" s="64"/>
      <c r="FR96" s="64"/>
      <c r="FS96" s="64"/>
      <c r="FT96" s="64"/>
      <c r="FU96" s="64"/>
      <c r="FV96" s="64"/>
      <c r="FW96" s="64"/>
      <c r="FX96" s="64"/>
      <c r="FY96" s="64"/>
      <c r="FZ96" s="64"/>
      <c r="GA96" s="64"/>
      <c r="GB96" s="64"/>
      <c r="GC96" s="64"/>
      <c r="GD96" s="64"/>
      <c r="GE96" s="64"/>
      <c r="GF96" s="64"/>
      <c r="GG96" s="64"/>
      <c r="GH96" s="64"/>
      <c r="GI96" s="64"/>
      <c r="GJ96" s="64"/>
      <c r="GK96" s="64"/>
      <c r="GL96" s="64"/>
      <c r="GM96" s="64"/>
      <c r="GN96" s="64"/>
      <c r="GO96" s="64"/>
      <c r="GP96" s="64"/>
      <c r="GQ96" s="64"/>
      <c r="GR96" s="64"/>
      <c r="GS96" s="64"/>
      <c r="GT96" s="64"/>
      <c r="GU96" s="64"/>
      <c r="GV96" s="64"/>
      <c r="GW96" s="64"/>
      <c r="GX96" s="64"/>
      <c r="GY96" s="64"/>
      <c r="GZ96" s="64"/>
      <c r="HA96" s="64"/>
      <c r="HB96" s="64"/>
      <c r="HC96" s="64"/>
      <c r="HD96" s="64"/>
      <c r="HE96" s="64"/>
      <c r="HF96" s="64"/>
      <c r="HG96" s="64"/>
      <c r="HH96" s="64"/>
      <c r="HI96" s="64"/>
      <c r="HJ96" s="64"/>
      <c r="HK96" s="64"/>
      <c r="HL96" s="64"/>
      <c r="HM96" s="64"/>
      <c r="HN96" s="64"/>
      <c r="HO96" s="64"/>
      <c r="HP96" s="64"/>
      <c r="HQ96" s="64"/>
      <c r="HR96" s="64"/>
      <c r="HS96" s="64"/>
      <c r="HT96" s="64"/>
      <c r="HU96" s="64"/>
      <c r="HV96" s="64"/>
      <c r="HW96" s="64"/>
      <c r="HX96" s="64"/>
      <c r="HY96" s="64"/>
      <c r="HZ96" s="64"/>
      <c r="IA96" s="64"/>
      <c r="IB96" s="64"/>
      <c r="IC96" s="64"/>
      <c r="ID96" s="64"/>
      <c r="IE96" s="64"/>
      <c r="IF96" s="64"/>
      <c r="IG96" s="64"/>
      <c r="IH96" s="64"/>
      <c r="II96" s="64"/>
      <c r="IJ96" s="64"/>
      <c r="IK96" s="64"/>
      <c r="IL96" s="64"/>
      <c r="IM96" s="64"/>
      <c r="IN96" s="64"/>
      <c r="IO96" s="64"/>
      <c r="IP96" s="64"/>
      <c r="IQ96" s="64"/>
      <c r="IR96" s="64"/>
      <c r="IS96" s="64"/>
      <c r="IT96" s="64"/>
      <c r="IU96" s="64"/>
      <c r="IV96" s="64"/>
    </row>
    <row r="97" s="183" customFormat="1" ht="15.6">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64"/>
      <c r="CC97" s="64"/>
      <c r="CD97" s="64"/>
      <c r="CE97" s="64"/>
      <c r="CF97" s="64"/>
      <c r="CG97" s="64"/>
      <c r="CH97" s="64"/>
      <c r="CI97" s="64"/>
      <c r="CJ97" s="64"/>
      <c r="CK97" s="64"/>
      <c r="CL97" s="64"/>
      <c r="CM97" s="64"/>
      <c r="CN97" s="64"/>
      <c r="CO97" s="64"/>
      <c r="CP97" s="64"/>
      <c r="CQ97" s="64"/>
      <c r="CR97" s="64"/>
      <c r="CS97" s="64"/>
      <c r="CT97" s="64"/>
      <c r="CU97" s="64"/>
      <c r="CV97" s="64"/>
      <c r="CW97" s="64"/>
      <c r="CX97" s="64"/>
      <c r="CY97" s="64"/>
      <c r="CZ97" s="64"/>
      <c r="DA97" s="64"/>
      <c r="DB97" s="64"/>
      <c r="DC97" s="64"/>
      <c r="DD97" s="64"/>
      <c r="DE97" s="64"/>
      <c r="DF97" s="64"/>
      <c r="DG97" s="64"/>
      <c r="DH97" s="64"/>
      <c r="DI97" s="64"/>
      <c r="DJ97" s="64"/>
      <c r="DK97" s="64"/>
      <c r="DL97" s="64"/>
      <c r="DM97" s="64"/>
      <c r="DN97" s="64"/>
      <c r="DO97" s="64"/>
      <c r="DP97" s="64"/>
      <c r="DQ97" s="64"/>
      <c r="DR97" s="64"/>
      <c r="DS97" s="64"/>
      <c r="DT97" s="64"/>
      <c r="DU97" s="64"/>
      <c r="DV97" s="64"/>
      <c r="DW97" s="64"/>
      <c r="DX97" s="64"/>
      <c r="DY97" s="64"/>
      <c r="DZ97" s="64"/>
      <c r="EA97" s="64"/>
      <c r="EB97" s="64"/>
      <c r="EC97" s="64"/>
      <c r="ED97" s="64"/>
      <c r="EE97" s="64"/>
      <c r="EF97" s="64"/>
      <c r="EG97" s="64"/>
      <c r="EH97" s="64"/>
      <c r="EI97" s="64"/>
      <c r="EJ97" s="64"/>
      <c r="EK97" s="64"/>
      <c r="EL97" s="64"/>
      <c r="EM97" s="64"/>
      <c r="EN97" s="64"/>
      <c r="EO97" s="64"/>
      <c r="EP97" s="64"/>
      <c r="EQ97" s="64"/>
      <c r="ER97" s="64"/>
      <c r="ES97" s="64"/>
      <c r="ET97" s="64"/>
      <c r="EU97" s="64"/>
      <c r="EV97" s="64"/>
      <c r="EW97" s="64"/>
      <c r="EX97" s="64"/>
      <c r="EY97" s="64"/>
      <c r="EZ97" s="64"/>
      <c r="FA97" s="64"/>
      <c r="FB97" s="64"/>
      <c r="FC97" s="64"/>
      <c r="FD97" s="64"/>
      <c r="FE97" s="64"/>
      <c r="FF97" s="64"/>
      <c r="FG97" s="64"/>
      <c r="FH97" s="64"/>
      <c r="FI97" s="64"/>
      <c r="FJ97" s="64"/>
      <c r="FK97" s="64"/>
      <c r="FL97" s="64"/>
      <c r="FM97" s="64"/>
      <c r="FN97" s="64"/>
      <c r="FO97" s="64"/>
      <c r="FP97" s="64"/>
      <c r="FQ97" s="64"/>
      <c r="FR97" s="64"/>
      <c r="FS97" s="64"/>
      <c r="FT97" s="64"/>
      <c r="FU97" s="64"/>
      <c r="FV97" s="64"/>
      <c r="FW97" s="64"/>
      <c r="FX97" s="64"/>
      <c r="FY97" s="64"/>
      <c r="FZ97" s="64"/>
      <c r="GA97" s="64"/>
      <c r="GB97" s="64"/>
      <c r="GC97" s="64"/>
      <c r="GD97" s="64"/>
      <c r="GE97" s="64"/>
      <c r="GF97" s="64"/>
      <c r="GG97" s="64"/>
      <c r="GH97" s="64"/>
      <c r="GI97" s="64"/>
      <c r="GJ97" s="64"/>
      <c r="GK97" s="64"/>
      <c r="GL97" s="64"/>
      <c r="GM97" s="64"/>
      <c r="GN97" s="64"/>
      <c r="GO97" s="64"/>
      <c r="GP97" s="64"/>
      <c r="GQ97" s="64"/>
      <c r="GR97" s="64"/>
      <c r="GS97" s="64"/>
      <c r="GT97" s="64"/>
      <c r="GU97" s="64"/>
      <c r="GV97" s="64"/>
      <c r="GW97" s="64"/>
      <c r="GX97" s="64"/>
      <c r="GY97" s="64"/>
      <c r="GZ97" s="64"/>
      <c r="HA97" s="64"/>
      <c r="HB97" s="64"/>
      <c r="HC97" s="64"/>
      <c r="HD97" s="64"/>
      <c r="HE97" s="64"/>
      <c r="HF97" s="64"/>
      <c r="HG97" s="64"/>
      <c r="HH97" s="64"/>
      <c r="HI97" s="64"/>
      <c r="HJ97" s="64"/>
      <c r="HK97" s="64"/>
      <c r="HL97" s="64"/>
      <c r="HM97" s="64"/>
      <c r="HN97" s="64"/>
      <c r="HO97" s="64"/>
      <c r="HP97" s="64"/>
      <c r="HQ97" s="64"/>
      <c r="HR97" s="64"/>
      <c r="HS97" s="64"/>
      <c r="HT97" s="64"/>
      <c r="HU97" s="64"/>
      <c r="HV97" s="64"/>
      <c r="HW97" s="64"/>
      <c r="HX97" s="64"/>
      <c r="HY97" s="64"/>
      <c r="HZ97" s="64"/>
      <c r="IA97" s="64"/>
      <c r="IB97" s="64"/>
      <c r="IC97" s="64"/>
      <c r="ID97" s="64"/>
      <c r="IE97" s="64"/>
      <c r="IF97" s="64"/>
      <c r="IG97" s="64"/>
      <c r="IH97" s="64"/>
      <c r="II97" s="64"/>
      <c r="IJ97" s="64"/>
      <c r="IK97" s="64"/>
      <c r="IL97" s="64"/>
      <c r="IM97" s="64"/>
      <c r="IN97" s="64"/>
      <c r="IO97" s="64"/>
      <c r="IP97" s="64"/>
      <c r="IQ97" s="64"/>
      <c r="IR97" s="64"/>
      <c r="IS97" s="64"/>
      <c r="IT97" s="64"/>
      <c r="IU97" s="64"/>
      <c r="IV97" s="64"/>
    </row>
    <row r="98" s="183" customFormat="1" ht="15.6">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c r="CY98" s="64"/>
      <c r="CZ98" s="64"/>
      <c r="DA98" s="64"/>
      <c r="DB98" s="64"/>
      <c r="DC98" s="64"/>
      <c r="DD98" s="64"/>
      <c r="DE98" s="64"/>
      <c r="DF98" s="64"/>
      <c r="DG98" s="64"/>
      <c r="DH98" s="64"/>
      <c r="DI98" s="64"/>
      <c r="DJ98" s="64"/>
      <c r="DK98" s="64"/>
      <c r="DL98" s="64"/>
      <c r="DM98" s="64"/>
      <c r="DN98" s="64"/>
      <c r="DO98" s="64"/>
      <c r="DP98" s="64"/>
      <c r="DQ98" s="64"/>
      <c r="DR98" s="64"/>
      <c r="DS98" s="64"/>
      <c r="DT98" s="64"/>
      <c r="DU98" s="64"/>
      <c r="DV98" s="64"/>
      <c r="DW98" s="64"/>
      <c r="DX98" s="64"/>
      <c r="DY98" s="64"/>
      <c r="DZ98" s="64"/>
      <c r="EA98" s="64"/>
      <c r="EB98" s="64"/>
      <c r="EC98" s="64"/>
      <c r="ED98" s="64"/>
      <c r="EE98" s="64"/>
      <c r="EF98" s="64"/>
      <c r="EG98" s="64"/>
      <c r="EH98" s="64"/>
      <c r="EI98" s="64"/>
      <c r="EJ98" s="64"/>
      <c r="EK98" s="64"/>
      <c r="EL98" s="64"/>
      <c r="EM98" s="64"/>
      <c r="EN98" s="64"/>
      <c r="EO98" s="64"/>
      <c r="EP98" s="64"/>
      <c r="EQ98" s="64"/>
      <c r="ER98" s="64"/>
      <c r="ES98" s="64"/>
      <c r="ET98" s="64"/>
      <c r="EU98" s="64"/>
      <c r="EV98" s="64"/>
      <c r="EW98" s="64"/>
      <c r="EX98" s="64"/>
      <c r="EY98" s="64"/>
      <c r="EZ98" s="64"/>
      <c r="FA98" s="64"/>
      <c r="FB98" s="64"/>
      <c r="FC98" s="64"/>
      <c r="FD98" s="64"/>
      <c r="FE98" s="64"/>
      <c r="FF98" s="64"/>
      <c r="FG98" s="64"/>
      <c r="FH98" s="64"/>
      <c r="FI98" s="64"/>
      <c r="FJ98" s="64"/>
      <c r="FK98" s="64"/>
      <c r="FL98" s="64"/>
      <c r="FM98" s="64"/>
      <c r="FN98" s="64"/>
      <c r="FO98" s="64"/>
      <c r="FP98" s="64"/>
      <c r="FQ98" s="64"/>
      <c r="FR98" s="64"/>
      <c r="FS98" s="64"/>
      <c r="FT98" s="64"/>
      <c r="FU98" s="64"/>
      <c r="FV98" s="64"/>
      <c r="FW98" s="64"/>
      <c r="FX98" s="64"/>
      <c r="FY98" s="64"/>
      <c r="FZ98" s="64"/>
      <c r="GA98" s="64"/>
      <c r="GB98" s="64"/>
      <c r="GC98" s="64"/>
      <c r="GD98" s="64"/>
      <c r="GE98" s="64"/>
      <c r="GF98" s="64"/>
      <c r="GG98" s="64"/>
      <c r="GH98" s="64"/>
      <c r="GI98" s="64"/>
      <c r="GJ98" s="64"/>
      <c r="GK98" s="64"/>
      <c r="GL98" s="64"/>
      <c r="GM98" s="64"/>
      <c r="GN98" s="64"/>
      <c r="GO98" s="64"/>
      <c r="GP98" s="64"/>
      <c r="GQ98" s="64"/>
      <c r="GR98" s="64"/>
      <c r="GS98" s="64"/>
      <c r="GT98" s="64"/>
      <c r="GU98" s="64"/>
      <c r="GV98" s="64"/>
      <c r="GW98" s="64"/>
      <c r="GX98" s="64"/>
      <c r="GY98" s="64"/>
      <c r="GZ98" s="64"/>
      <c r="HA98" s="64"/>
      <c r="HB98" s="64"/>
      <c r="HC98" s="64"/>
      <c r="HD98" s="64"/>
      <c r="HE98" s="64"/>
      <c r="HF98" s="64"/>
      <c r="HG98" s="64"/>
      <c r="HH98" s="64"/>
      <c r="HI98" s="64"/>
      <c r="HJ98" s="64"/>
      <c r="HK98" s="64"/>
      <c r="HL98" s="64"/>
      <c r="HM98" s="64"/>
      <c r="HN98" s="64"/>
      <c r="HO98" s="64"/>
      <c r="HP98" s="64"/>
      <c r="HQ98" s="64"/>
      <c r="HR98" s="64"/>
      <c r="HS98" s="64"/>
      <c r="HT98" s="64"/>
      <c r="HU98" s="64"/>
      <c r="HV98" s="64"/>
      <c r="HW98" s="64"/>
      <c r="HX98" s="64"/>
      <c r="HY98" s="64"/>
      <c r="HZ98" s="64"/>
      <c r="IA98" s="64"/>
      <c r="IB98" s="64"/>
      <c r="IC98" s="64"/>
      <c r="ID98" s="64"/>
      <c r="IE98" s="64"/>
      <c r="IF98" s="64"/>
      <c r="IG98" s="64"/>
      <c r="IH98" s="64"/>
      <c r="II98" s="64"/>
      <c r="IJ98" s="64"/>
      <c r="IK98" s="64"/>
      <c r="IL98" s="64"/>
      <c r="IM98" s="64"/>
      <c r="IN98" s="64"/>
      <c r="IO98" s="64"/>
      <c r="IP98" s="64"/>
      <c r="IQ98" s="64"/>
      <c r="IR98" s="64"/>
      <c r="IS98" s="64"/>
      <c r="IT98" s="64"/>
      <c r="IU98" s="64"/>
      <c r="IV98" s="64"/>
    </row>
    <row r="99" s="183" customFormat="1" ht="15.75" customHeight="1">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4"/>
      <c r="CR99" s="64"/>
      <c r="CS99" s="64"/>
      <c r="CT99" s="64"/>
      <c r="CU99" s="64"/>
      <c r="CV99" s="64"/>
      <c r="CW99" s="64"/>
      <c r="CX99" s="64"/>
      <c r="CY99" s="64"/>
      <c r="CZ99" s="64"/>
      <c r="DA99" s="64"/>
      <c r="DB99" s="64"/>
      <c r="DC99" s="64"/>
      <c r="DD99" s="64"/>
      <c r="DE99" s="64"/>
      <c r="DF99" s="64"/>
      <c r="DG99" s="64"/>
      <c r="DH99" s="64"/>
      <c r="DI99" s="64"/>
      <c r="DJ99" s="64"/>
      <c r="DK99" s="64"/>
      <c r="DL99" s="64"/>
      <c r="DM99" s="64"/>
      <c r="DN99" s="64"/>
      <c r="DO99" s="64"/>
      <c r="DP99" s="64"/>
      <c r="DQ99" s="64"/>
      <c r="DR99" s="64"/>
      <c r="DS99" s="64"/>
      <c r="DT99" s="64"/>
      <c r="DU99" s="64"/>
      <c r="DV99" s="64"/>
      <c r="DW99" s="64"/>
      <c r="DX99" s="64"/>
      <c r="DY99" s="64"/>
      <c r="DZ99" s="64"/>
      <c r="EA99" s="64"/>
      <c r="EB99" s="64"/>
      <c r="EC99" s="64"/>
      <c r="ED99" s="64"/>
      <c r="EE99" s="64"/>
      <c r="EF99" s="64"/>
      <c r="EG99" s="64"/>
      <c r="EH99" s="64"/>
      <c r="EI99" s="64"/>
      <c r="EJ99" s="64"/>
      <c r="EK99" s="64"/>
      <c r="EL99" s="64"/>
      <c r="EM99" s="64"/>
      <c r="EN99" s="64"/>
      <c r="EO99" s="64"/>
      <c r="EP99" s="64"/>
      <c r="EQ99" s="64"/>
      <c r="ER99" s="64"/>
      <c r="ES99" s="64"/>
      <c r="ET99" s="64"/>
      <c r="EU99" s="64"/>
      <c r="EV99" s="64"/>
      <c r="EW99" s="64"/>
      <c r="EX99" s="64"/>
      <c r="EY99" s="64"/>
      <c r="EZ99" s="64"/>
      <c r="FA99" s="64"/>
      <c r="FB99" s="64"/>
      <c r="FC99" s="64"/>
      <c r="FD99" s="64"/>
      <c r="FE99" s="64"/>
      <c r="FF99" s="64"/>
      <c r="FG99" s="64"/>
      <c r="FH99" s="64"/>
      <c r="FI99" s="64"/>
      <c r="FJ99" s="64"/>
      <c r="FK99" s="64"/>
      <c r="FL99" s="64"/>
      <c r="FM99" s="64"/>
      <c r="FN99" s="64"/>
      <c r="FO99" s="64"/>
      <c r="FP99" s="64"/>
      <c r="FQ99" s="64"/>
      <c r="FR99" s="64"/>
      <c r="FS99" s="64"/>
      <c r="FT99" s="64"/>
      <c r="FU99" s="64"/>
      <c r="FV99" s="64"/>
      <c r="FW99" s="64"/>
      <c r="FX99" s="64"/>
      <c r="FY99" s="64"/>
      <c r="FZ99" s="64"/>
      <c r="GA99" s="64"/>
      <c r="GB99" s="64"/>
      <c r="GC99" s="64"/>
      <c r="GD99" s="64"/>
      <c r="GE99" s="64"/>
      <c r="GF99" s="64"/>
      <c r="GG99" s="64"/>
      <c r="GH99" s="64"/>
      <c r="GI99" s="64"/>
      <c r="GJ99" s="64"/>
      <c r="GK99" s="64"/>
      <c r="GL99" s="64"/>
      <c r="GM99" s="64"/>
      <c r="GN99" s="64"/>
      <c r="GO99" s="64"/>
      <c r="GP99" s="64"/>
      <c r="GQ99" s="64"/>
      <c r="GR99" s="64"/>
      <c r="GS99" s="64"/>
      <c r="GT99" s="64"/>
      <c r="GU99" s="64"/>
      <c r="GV99" s="64"/>
      <c r="GW99" s="64"/>
      <c r="GX99" s="64"/>
      <c r="GY99" s="64"/>
      <c r="GZ99" s="64"/>
      <c r="HA99" s="64"/>
      <c r="HB99" s="64"/>
      <c r="HC99" s="64"/>
      <c r="HD99" s="64"/>
      <c r="HE99" s="64"/>
      <c r="HF99" s="64"/>
      <c r="HG99" s="64"/>
      <c r="HH99" s="64"/>
      <c r="HI99" s="64"/>
      <c r="HJ99" s="64"/>
      <c r="HK99" s="64"/>
      <c r="HL99" s="64"/>
      <c r="HM99" s="64"/>
      <c r="HN99" s="64"/>
      <c r="HO99" s="64"/>
      <c r="HP99" s="64"/>
      <c r="HQ99" s="64"/>
      <c r="HR99" s="64"/>
      <c r="HS99" s="64"/>
      <c r="HT99" s="64"/>
      <c r="HU99" s="64"/>
      <c r="HV99" s="64"/>
      <c r="HW99" s="64"/>
      <c r="HX99" s="64"/>
      <c r="HY99" s="64"/>
      <c r="HZ99" s="64"/>
      <c r="IA99" s="64"/>
      <c r="IB99" s="64"/>
      <c r="IC99" s="64"/>
      <c r="ID99" s="64"/>
      <c r="IE99" s="64"/>
      <c r="IF99" s="64"/>
      <c r="IG99" s="64"/>
      <c r="IH99" s="64"/>
      <c r="II99" s="64"/>
      <c r="IJ99" s="64"/>
      <c r="IK99" s="64"/>
      <c r="IL99" s="64"/>
      <c r="IM99" s="64"/>
      <c r="IN99" s="64"/>
      <c r="IO99" s="64"/>
      <c r="IP99" s="64"/>
      <c r="IQ99" s="64"/>
      <c r="IR99" s="64"/>
      <c r="IS99" s="64"/>
      <c r="IT99" s="64"/>
      <c r="IU99" s="64"/>
      <c r="IV99" s="64"/>
    </row>
  </sheetData>
  <mergeCells count="5">
    <mergeCell ref="B11:H11"/>
    <mergeCell ref="B31:H31"/>
    <mergeCell ref="B42:H42"/>
    <mergeCell ref="B51:G51"/>
    <mergeCell ref="B59:H59"/>
  </mergeCells>
  <printOptions headings="0" gridLines="0" horizontalCentered="0" verticalCentered="0"/>
  <pageMargins left="0.75" right="0.75" top="0.47013888888888888" bottom="0.50972222222222197"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tabColor rgb="FFF4B183"/>
    <outlinePr applyStyles="0" summaryBelow="1" summaryRight="1" showOutlineSymbols="1"/>
    <pageSetUpPr autoPageBreaks="1" fitToPage="0"/>
  </sheetPr>
  <sheetViews>
    <sheetView showFormulas="0" showGridLines="1" showRowColHeaders="1" showZeros="1" rightToLeft="0" view="normal" topLeftCell="A85" zoomScale="70" workbookViewId="0">
      <pane xSplit="1" topLeftCell="B1" activePane="topRight" state="frozen"/>
      <selection activeCell="A85" activeCellId="0" sqref="A85"/>
    </sheetView>
  </sheetViews>
  <sheetFormatPr defaultColWidth="9.109375" defaultRowHeight="12.75"/>
  <cols>
    <col customWidth="1" min="1" max="1" style="204" width="53.109999999999999"/>
    <col customWidth="1" min="2" max="2" style="204" width="15.66"/>
    <col customWidth="1" min="3" max="6" style="204" width="16.329999999999998"/>
    <col customWidth="1" min="7" max="7" style="204" width="21.879999999999999"/>
    <col customWidth="1" min="8" max="18" style="204" width="16.329999999999998"/>
    <col customWidth="1" min="19" max="24" style="204" width="16.890000000000001"/>
    <col customWidth="1" min="25" max="25" style="204" width="18.34"/>
    <col customWidth="1" min="26" max="39" style="204" width="16.890000000000001"/>
    <col customWidth="0" min="40" max="16384" style="204" width="9.1099999999999994"/>
  </cols>
  <sheetData>
    <row r="1" ht="15">
      <c r="A1" s="205" t="s">
        <v>419</v>
      </c>
    </row>
    <row r="2" ht="15.75" customHeight="1">
      <c r="A2" s="206" t="s">
        <v>177</v>
      </c>
      <c r="B2" s="207" t="s">
        <v>420</v>
      </c>
      <c r="C2" s="206" t="s">
        <v>421</v>
      </c>
      <c r="D2" s="206"/>
      <c r="E2" s="206"/>
      <c r="F2" s="206"/>
      <c r="G2" s="206"/>
      <c r="H2" s="206"/>
      <c r="I2" s="206"/>
      <c r="J2" s="206"/>
      <c r="K2" s="208" t="s">
        <v>422</v>
      </c>
      <c r="L2" s="208"/>
      <c r="M2" s="208"/>
      <c r="N2" s="208"/>
      <c r="O2" s="208"/>
      <c r="P2" s="208"/>
      <c r="Q2" s="208"/>
      <c r="R2" s="208"/>
      <c r="S2" s="209" t="s">
        <v>423</v>
      </c>
      <c r="T2" s="209"/>
      <c r="U2" s="209"/>
      <c r="V2" s="209"/>
      <c r="W2" s="209"/>
      <c r="X2" s="209"/>
      <c r="Y2" s="209"/>
      <c r="Z2" s="209"/>
      <c r="AA2" s="209"/>
      <c r="AB2" s="209"/>
      <c r="AC2" s="209"/>
      <c r="AD2" s="209"/>
      <c r="AE2" s="209"/>
      <c r="AF2" s="209"/>
      <c r="AG2" s="209"/>
      <c r="AH2" s="209"/>
      <c r="AI2" s="209"/>
      <c r="AJ2" s="209"/>
      <c r="AK2" s="209"/>
      <c r="AL2" s="209"/>
      <c r="AM2" s="209"/>
    </row>
    <row r="3" ht="15" customHeight="1">
      <c r="A3" s="206"/>
      <c r="B3" s="207"/>
      <c r="C3" s="206"/>
      <c r="D3" s="206"/>
      <c r="E3" s="206"/>
      <c r="F3" s="206"/>
      <c r="G3" s="206"/>
      <c r="H3" s="206"/>
      <c r="I3" s="206"/>
      <c r="J3" s="206"/>
      <c r="K3" s="208"/>
      <c r="L3" s="208"/>
      <c r="M3" s="208"/>
      <c r="N3" s="208"/>
      <c r="O3" s="208"/>
      <c r="P3" s="208"/>
      <c r="Q3" s="208"/>
      <c r="R3" s="208"/>
      <c r="S3" s="210" t="s">
        <v>320</v>
      </c>
      <c r="T3" s="210"/>
      <c r="U3" s="210"/>
      <c r="V3" s="211" t="s">
        <v>321</v>
      </c>
      <c r="W3" s="211"/>
      <c r="X3" s="211"/>
      <c r="Y3" s="211" t="s">
        <v>322</v>
      </c>
      <c r="Z3" s="211"/>
      <c r="AA3" s="211"/>
      <c r="AB3" s="211" t="s">
        <v>323</v>
      </c>
      <c r="AC3" s="211"/>
      <c r="AD3" s="211"/>
      <c r="AE3" s="211" t="s">
        <v>324</v>
      </c>
      <c r="AF3" s="211"/>
      <c r="AG3" s="211"/>
      <c r="AH3" s="212" t="s">
        <v>325</v>
      </c>
      <c r="AI3" s="212"/>
      <c r="AJ3" s="212"/>
      <c r="AK3" s="212" t="s">
        <v>326</v>
      </c>
      <c r="AL3" s="212"/>
      <c r="AM3" s="212"/>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r="4" ht="28.550000000000001">
      <c r="A4" s="206"/>
      <c r="B4" s="207"/>
      <c r="C4" s="214" t="s">
        <v>424</v>
      </c>
      <c r="D4" s="214" t="s">
        <v>425</v>
      </c>
      <c r="E4" s="214" t="s">
        <v>426</v>
      </c>
      <c r="F4" s="214" t="s">
        <v>427</v>
      </c>
      <c r="G4" s="214" t="s">
        <v>428</v>
      </c>
      <c r="H4" s="214" t="s">
        <v>429</v>
      </c>
      <c r="I4" s="214" t="s">
        <v>430</v>
      </c>
      <c r="J4" s="214" t="s">
        <v>431</v>
      </c>
      <c r="K4" s="215" t="str">
        <f>C4</f>
        <v>31.12.2019</v>
      </c>
      <c r="L4" s="215" t="str">
        <f>D4</f>
        <v>31.12.2018</v>
      </c>
      <c r="M4" s="215" t="str">
        <f>E4</f>
        <v>31.12.2017</v>
      </c>
      <c r="N4" s="215" t="str">
        <f>F4</f>
        <v>31.12.2016</v>
      </c>
      <c r="O4" s="215" t="str">
        <f>G4</f>
        <v>31.12.2015</v>
      </c>
      <c r="P4" s="215" t="str">
        <f>H4</f>
        <v>31.12.2014</v>
      </c>
      <c r="Q4" s="215" t="str">
        <f>I4</f>
        <v>31.12.2013</v>
      </c>
      <c r="R4" s="215" t="str">
        <f>J4</f>
        <v>31.12.2012</v>
      </c>
      <c r="S4" s="215" t="s">
        <v>432</v>
      </c>
      <c r="T4" s="215" t="s">
        <v>433</v>
      </c>
      <c r="U4" s="216" t="s">
        <v>434</v>
      </c>
      <c r="V4" s="216" t="s">
        <v>432</v>
      </c>
      <c r="W4" s="216" t="s">
        <v>433</v>
      </c>
      <c r="X4" s="216" t="s">
        <v>434</v>
      </c>
      <c r="Y4" s="216" t="str">
        <f>V4</f>
        <v xml:space="preserve">в тыс. руб.</v>
      </c>
      <c r="Z4" s="216" t="str">
        <f>W4</f>
        <v xml:space="preserve">темп прироста, %</v>
      </c>
      <c r="AA4" s="216" t="str">
        <f>X4</f>
        <v xml:space="preserve">в структуре, %</v>
      </c>
      <c r="AB4" s="216" t="str">
        <f>Y4</f>
        <v xml:space="preserve">в тыс. руб.</v>
      </c>
      <c r="AC4" s="216" t="str">
        <f>Z4</f>
        <v xml:space="preserve">темп прироста, %</v>
      </c>
      <c r="AD4" s="216" t="str">
        <f>AA4</f>
        <v xml:space="preserve">в структуре, %</v>
      </c>
      <c r="AE4" s="216" t="str">
        <f>AB4</f>
        <v xml:space="preserve">в тыс. руб.</v>
      </c>
      <c r="AF4" s="216" t="str">
        <f>AC4</f>
        <v xml:space="preserve">темп прироста, %</v>
      </c>
      <c r="AG4" s="216" t="str">
        <f>AD4</f>
        <v xml:space="preserve">в структуре, %</v>
      </c>
      <c r="AH4" s="216" t="str">
        <f>AE4</f>
        <v xml:space="preserve">в тыс. руб.</v>
      </c>
      <c r="AI4" s="216" t="str">
        <f>AF4</f>
        <v xml:space="preserve">темп прироста, %</v>
      </c>
      <c r="AJ4" s="216" t="str">
        <f>AG4</f>
        <v xml:space="preserve">в структуре, %</v>
      </c>
      <c r="AK4" s="216" t="str">
        <f>AH4</f>
        <v xml:space="preserve">в тыс. руб.</v>
      </c>
      <c r="AL4" s="216" t="str">
        <f>AI4</f>
        <v xml:space="preserve">темп прироста, %</v>
      </c>
      <c r="AM4" s="216" t="str">
        <f>AJ4</f>
        <v xml:space="preserve">в структуре, %</v>
      </c>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row>
    <row r="5" ht="15">
      <c r="A5" s="217" t="s">
        <v>6</v>
      </c>
      <c r="B5" s="218"/>
      <c r="C5" s="218"/>
      <c r="D5" s="219"/>
      <c r="E5" s="220"/>
      <c r="F5" s="220"/>
      <c r="G5" s="220"/>
      <c r="H5" s="220"/>
      <c r="I5" s="220"/>
      <c r="J5" s="220"/>
      <c r="K5" s="220"/>
      <c r="L5" s="220"/>
      <c r="M5" s="220"/>
      <c r="N5" s="220"/>
      <c r="O5" s="220"/>
      <c r="P5" s="220"/>
      <c r="Q5" s="220"/>
      <c r="R5" s="220"/>
      <c r="S5" s="220"/>
      <c r="T5" s="221"/>
      <c r="U5" s="220"/>
      <c r="V5" s="220"/>
      <c r="W5" s="220"/>
      <c r="X5" s="220"/>
      <c r="Y5" s="220"/>
      <c r="Z5" s="220"/>
      <c r="AA5" s="220"/>
      <c r="AB5" s="220"/>
      <c r="AC5" s="220"/>
      <c r="AD5" s="220"/>
      <c r="AE5" s="220"/>
      <c r="AF5" s="220"/>
      <c r="AG5" s="220"/>
      <c r="AH5" s="220"/>
      <c r="AI5" s="220"/>
      <c r="AJ5" s="220"/>
      <c r="AK5" s="220"/>
      <c r="AL5" s="220"/>
      <c r="AM5" s="220"/>
    </row>
    <row r="6" ht="15">
      <c r="A6" s="222" t="s">
        <v>435</v>
      </c>
      <c r="B6" s="223" t="s">
        <v>436</v>
      </c>
      <c r="C6" s="224">
        <f>'1'!C15+'1'!C20</f>
        <v>19653099</v>
      </c>
      <c r="D6" s="224">
        <f>'1'!D15+'1'!D20</f>
        <v>14471049</v>
      </c>
      <c r="E6" s="224">
        <f>'1'!E15+'1'!E20</f>
        <v>19315685</v>
      </c>
      <c r="F6" s="224">
        <f>'1'!F15+'1'!F20</f>
        <v>9072614</v>
      </c>
      <c r="G6" s="224">
        <f>'1'!G15+'1'!G20</f>
        <v>10739661</v>
      </c>
      <c r="H6" s="224">
        <f>'1'!H15+'1'!H20</f>
        <v>11502191</v>
      </c>
      <c r="I6" s="224">
        <f>'1'!I15+'1'!I20</f>
        <v>17901622</v>
      </c>
      <c r="J6" s="224">
        <f>'1'!J15+'1'!J20</f>
        <v>21520557</v>
      </c>
      <c r="K6" s="225">
        <f t="shared" ref="K6:K9" si="58">(C6/C$10)*100</f>
        <v>40.789630383013801</v>
      </c>
      <c r="L6" s="225">
        <f t="shared" ref="L6:L9" si="59">(D6/D$10)*100</f>
        <v>29.790207328518498</v>
      </c>
      <c r="M6" s="225">
        <f t="shared" ref="M6:M9" si="60">(E6/E$10)*100</f>
        <v>37.794493337046603</v>
      </c>
      <c r="N6" s="225">
        <f t="shared" ref="N6:N9" si="61">(F6/F$10)*100</f>
        <v>15.5157491639814</v>
      </c>
      <c r="O6" s="225">
        <f t="shared" ref="O6:O9" si="62">(G6/G$10)*100</f>
        <v>21.373345259797599</v>
      </c>
      <c r="P6" s="225">
        <f t="shared" ref="P6:P9" si="63">(H6/H$10)*100</f>
        <v>24.765670949062802</v>
      </c>
      <c r="Q6" s="225">
        <f t="shared" ref="Q6:Q9" si="64">(I6/I$10)*100</f>
        <v>53.652773985209997</v>
      </c>
      <c r="R6" s="225">
        <f t="shared" ref="R6:R9" si="65">(J6/J$10)*100</f>
        <v>72.284421491375795</v>
      </c>
      <c r="S6" s="225">
        <f t="shared" ref="S6:S9" si="66">C6-D6</f>
        <v>5182050</v>
      </c>
      <c r="T6" s="226">
        <f t="shared" ref="T6:T9" si="67">((C6-D6)/D6)*100</f>
        <v>35.809774398524901</v>
      </c>
      <c r="U6" s="225"/>
      <c r="V6" s="225">
        <f t="shared" ref="V6:V9" si="68">D6-E6</f>
        <v>-4844636</v>
      </c>
      <c r="W6" s="225">
        <f t="shared" ref="W6:W9" si="69">((D6-E6)/E6)*100</f>
        <v>-25.0813574563884</v>
      </c>
      <c r="X6" s="218"/>
      <c r="Y6" s="225">
        <f t="shared" ref="Y6:Y9" si="70">E6-F6</f>
        <v>10243071</v>
      </c>
      <c r="Z6" s="225">
        <f t="shared" ref="Z6:Z9" si="71">((E6-F6)/F6)*100</f>
        <v>112.900989725784</v>
      </c>
      <c r="AA6" s="218"/>
      <c r="AB6" s="225">
        <f t="shared" ref="AB6:AB9" si="72">F6-G6</f>
        <v>-1667047</v>
      </c>
      <c r="AC6" s="225">
        <f t="shared" ref="AC6:AC9" si="73">((F6-G6)/G6)*100</f>
        <v>-15.5223428374508</v>
      </c>
      <c r="AD6" s="218"/>
      <c r="AE6" s="225">
        <f t="shared" ref="AE6:AE9" si="74">G6-H6</f>
        <v>-762530</v>
      </c>
      <c r="AF6" s="225">
        <f t="shared" ref="AF6:AF9" si="75">((G6-H6)/H6)*100</f>
        <v>-6.6294326011453002</v>
      </c>
      <c r="AG6" s="218"/>
      <c r="AH6" s="225">
        <f t="shared" ref="AH6:AH9" si="76">H6-I6</f>
        <v>-6399431</v>
      </c>
      <c r="AI6" s="225">
        <f t="shared" ref="AI6:AI9" si="77">((H6-I6)/I6)*100</f>
        <v>-35.7477719058083</v>
      </c>
      <c r="AJ6" s="218"/>
      <c r="AK6" s="225">
        <f t="shared" ref="AK6:AK9" si="78">I6-J6</f>
        <v>-3618935</v>
      </c>
      <c r="AL6" s="225">
        <f t="shared" ref="AL6:AL9" si="79">((I6-J6)/J6)*100</f>
        <v>-16.8161772021049</v>
      </c>
      <c r="AM6" s="225"/>
    </row>
    <row r="7" ht="15">
      <c r="A7" s="222" t="s">
        <v>437</v>
      </c>
      <c r="B7" s="223" t="s">
        <v>438</v>
      </c>
      <c r="C7" s="224">
        <f>'1'!C17+'1'!C18</f>
        <v>3392526</v>
      </c>
      <c r="D7" s="224">
        <f>'1'!D17+'1'!D18</f>
        <v>2470424</v>
      </c>
      <c r="E7" s="224">
        <f>'1'!E17+'1'!E18</f>
        <v>3143913</v>
      </c>
      <c r="F7" s="224">
        <f>'1'!F17+'1'!F18</f>
        <v>2369731</v>
      </c>
      <c r="G7" s="224">
        <f>'1'!G17+'1'!G18</f>
        <v>2404485</v>
      </c>
      <c r="H7" s="224">
        <f>'1'!H17+'1'!H18</f>
        <v>1880186</v>
      </c>
      <c r="I7" s="224">
        <f>'1'!I17+'1'!I18</f>
        <v>1702409</v>
      </c>
      <c r="J7" s="224">
        <f>'1'!J17+'1'!J18</f>
        <v>1854584</v>
      </c>
      <c r="K7" s="225">
        <f t="shared" si="58"/>
        <v>7.0411227056233896</v>
      </c>
      <c r="L7" s="225">
        <f t="shared" si="59"/>
        <v>5.0856329177897202</v>
      </c>
      <c r="M7" s="225">
        <f t="shared" si="60"/>
        <v>6.1516119635805904</v>
      </c>
      <c r="N7" s="225">
        <f t="shared" si="61"/>
        <v>4.0526524970764601</v>
      </c>
      <c r="O7" s="225">
        <f t="shared" si="62"/>
        <v>4.78524304230874</v>
      </c>
      <c r="P7" s="225">
        <f t="shared" si="63"/>
        <v>4.0482780888471197</v>
      </c>
      <c r="Q7" s="225">
        <f t="shared" si="64"/>
        <v>5.1022731519740203</v>
      </c>
      <c r="R7" s="225">
        <f t="shared" si="65"/>
        <v>6.2292779665118196</v>
      </c>
      <c r="S7" s="225">
        <f t="shared" si="66"/>
        <v>922102</v>
      </c>
      <c r="T7" s="226">
        <f t="shared" si="67"/>
        <v>37.325657457990999</v>
      </c>
      <c r="U7" s="225"/>
      <c r="V7" s="225">
        <f t="shared" si="68"/>
        <v>-673489</v>
      </c>
      <c r="W7" s="225">
        <f t="shared" si="69"/>
        <v>-21.421998636730699</v>
      </c>
      <c r="X7" s="218"/>
      <c r="Y7" s="225">
        <f t="shared" si="70"/>
        <v>774182</v>
      </c>
      <c r="Z7" s="225">
        <f t="shared" si="71"/>
        <v>32.669615243249098</v>
      </c>
      <c r="AA7" s="218"/>
      <c r="AB7" s="225">
        <f t="shared" si="72"/>
        <v>-34754</v>
      </c>
      <c r="AC7" s="225">
        <f t="shared" si="73"/>
        <v>-1.4453822752065399</v>
      </c>
      <c r="AD7" s="218"/>
      <c r="AE7" s="225">
        <f t="shared" si="74"/>
        <v>524299</v>
      </c>
      <c r="AF7" s="225">
        <f t="shared" si="75"/>
        <v>27.885485797681699</v>
      </c>
      <c r="AG7" s="218"/>
      <c r="AH7" s="225">
        <f t="shared" si="76"/>
        <v>177777</v>
      </c>
      <c r="AI7" s="225">
        <f t="shared" si="77"/>
        <v>10.442672706734999</v>
      </c>
      <c r="AJ7" s="218"/>
      <c r="AK7" s="225">
        <f t="shared" si="78"/>
        <v>-152175</v>
      </c>
      <c r="AL7" s="225">
        <f t="shared" si="79"/>
        <v>-8.2053441634350399</v>
      </c>
      <c r="AM7" s="225"/>
    </row>
    <row r="8" ht="15">
      <c r="A8" s="222" t="s">
        <v>439</v>
      </c>
      <c r="B8" s="223" t="s">
        <v>440</v>
      </c>
      <c r="C8" s="224">
        <f>'1'!C24+'1'!C21</f>
        <v>3430183</v>
      </c>
      <c r="D8" s="224">
        <f>'1'!D24+'1'!D21</f>
        <v>3314283</v>
      </c>
      <c r="E8" s="224">
        <f>'1'!E24+'1'!E21</f>
        <v>3292073</v>
      </c>
      <c r="F8" s="224">
        <f>'1'!F24+'1'!F21</f>
        <v>3891957</v>
      </c>
      <c r="G8" s="224">
        <f>'1'!G24+'1'!G21</f>
        <v>5519413</v>
      </c>
      <c r="H8" s="224">
        <f>'1'!H24+'1'!H21</f>
        <v>5377106</v>
      </c>
      <c r="I8" s="224">
        <f>'1'!I24+'1'!I21</f>
        <v>2714867</v>
      </c>
      <c r="J8" s="224">
        <f>'1'!J24+'1'!J21</f>
        <v>1963265</v>
      </c>
      <c r="K8" s="225">
        <f t="shared" si="58"/>
        <v>7.1192790875422496</v>
      </c>
      <c r="L8" s="225">
        <f t="shared" si="59"/>
        <v>6.8228072280996601</v>
      </c>
      <c r="M8" s="225">
        <f t="shared" si="60"/>
        <v>6.4415127428082899</v>
      </c>
      <c r="N8" s="225">
        <f t="shared" si="61"/>
        <v>6.6559239232487597</v>
      </c>
      <c r="O8" s="225">
        <f t="shared" si="62"/>
        <v>10.984361580911701</v>
      </c>
      <c r="P8" s="225">
        <f t="shared" si="63"/>
        <v>11.5775888136644</v>
      </c>
      <c r="Q8" s="225">
        <f t="shared" si="64"/>
        <v>8.1367009956363301</v>
      </c>
      <c r="R8" s="225">
        <f t="shared" si="65"/>
        <v>6.5943216413620602</v>
      </c>
      <c r="S8" s="225">
        <f t="shared" si="66"/>
        <v>115900</v>
      </c>
      <c r="T8" s="226">
        <f t="shared" si="67"/>
        <v>3.4969856225313301</v>
      </c>
      <c r="U8" s="225"/>
      <c r="V8" s="225">
        <f t="shared" si="68"/>
        <v>22210</v>
      </c>
      <c r="W8" s="225">
        <f t="shared" si="69"/>
        <v>0.674650896258983</v>
      </c>
      <c r="X8" s="218"/>
      <c r="Y8" s="225">
        <f t="shared" si="70"/>
        <v>-599884</v>
      </c>
      <c r="Z8" s="225">
        <f t="shared" si="71"/>
        <v>-15.4134282573009</v>
      </c>
      <c r="AA8" s="218"/>
      <c r="AB8" s="225">
        <f t="shared" si="72"/>
        <v>-1627456</v>
      </c>
      <c r="AC8" s="225">
        <f t="shared" si="73"/>
        <v>-29.486034112685498</v>
      </c>
      <c r="AD8" s="218"/>
      <c r="AE8" s="225">
        <f t="shared" si="74"/>
        <v>142307</v>
      </c>
      <c r="AF8" s="225">
        <f t="shared" si="75"/>
        <v>2.6465351436255902</v>
      </c>
      <c r="AG8" s="218"/>
      <c r="AH8" s="225">
        <f t="shared" si="76"/>
        <v>2662239</v>
      </c>
      <c r="AI8" s="225">
        <f t="shared" si="77"/>
        <v>98.061488831681302</v>
      </c>
      <c r="AJ8" s="218"/>
      <c r="AK8" s="225">
        <f t="shared" si="78"/>
        <v>751602</v>
      </c>
      <c r="AL8" s="225">
        <f t="shared" si="79"/>
        <v>38.2832679235865</v>
      </c>
      <c r="AM8" s="225"/>
    </row>
    <row r="9" ht="15">
      <c r="A9" s="222" t="s">
        <v>441</v>
      </c>
      <c r="B9" s="223" t="s">
        <v>442</v>
      </c>
      <c r="C9" s="224">
        <f>'1'!C22+'1'!C23</f>
        <v>21705798</v>
      </c>
      <c r="D9" s="224">
        <f>'1'!D22+'1'!D23</f>
        <v>28320774</v>
      </c>
      <c r="E9" s="224">
        <f>'1'!E22+'1'!E23</f>
        <v>25355470</v>
      </c>
      <c r="F9" s="224">
        <f>'1'!F22+'1'!F23</f>
        <v>43139278</v>
      </c>
      <c r="G9" s="224">
        <f>'1'!G22+'1'!G23</f>
        <v>31584359</v>
      </c>
      <c r="H9" s="224">
        <f>'1'!H22+'1'!H23</f>
        <v>27684609</v>
      </c>
      <c r="I9" s="224">
        <f>'1'!I22+'1'!I23</f>
        <v>11046799</v>
      </c>
      <c r="J9" s="224">
        <f>'1'!J22+'1'!J23</f>
        <v>4433648</v>
      </c>
      <c r="K9" s="225">
        <f t="shared" si="58"/>
        <v>45.049967823820602</v>
      </c>
      <c r="L9" s="225">
        <f t="shared" si="59"/>
        <v>58.301352525592101</v>
      </c>
      <c r="M9" s="225">
        <f t="shared" si="60"/>
        <v>49.612381956564597</v>
      </c>
      <c r="N9" s="225">
        <f t="shared" si="61"/>
        <v>73.775674415693402</v>
      </c>
      <c r="O9" s="225">
        <f t="shared" si="62"/>
        <v>62.857050116982002</v>
      </c>
      <c r="P9" s="225">
        <f t="shared" si="63"/>
        <v>59.608462148425701</v>
      </c>
      <c r="Q9" s="225">
        <f t="shared" si="64"/>
        <v>33.108251867179597</v>
      </c>
      <c r="R9" s="225">
        <f t="shared" si="65"/>
        <v>14.891978900750299</v>
      </c>
      <c r="S9" s="225">
        <f t="shared" si="66"/>
        <v>-6614976</v>
      </c>
      <c r="T9" s="226">
        <f t="shared" si="67"/>
        <v>-23.357327734051299</v>
      </c>
      <c r="U9" s="225"/>
      <c r="V9" s="225">
        <f t="shared" si="68"/>
        <v>2965304</v>
      </c>
      <c r="W9" s="225">
        <f t="shared" si="69"/>
        <v>11.694928155542</v>
      </c>
      <c r="X9" s="218"/>
      <c r="Y9" s="225">
        <f t="shared" si="70"/>
        <v>-17783808</v>
      </c>
      <c r="Z9" s="225">
        <f t="shared" si="71"/>
        <v>-41.224166987681201</v>
      </c>
      <c r="AA9" s="218"/>
      <c r="AB9" s="225">
        <f t="shared" si="72"/>
        <v>11554919</v>
      </c>
      <c r="AC9" s="225">
        <f t="shared" si="73"/>
        <v>36.584307441540901</v>
      </c>
      <c r="AD9" s="218"/>
      <c r="AE9" s="225">
        <f t="shared" si="74"/>
        <v>3899750</v>
      </c>
      <c r="AF9" s="225">
        <f t="shared" si="75"/>
        <v>14.086346677318099</v>
      </c>
      <c r="AG9" s="218"/>
      <c r="AH9" s="225">
        <f t="shared" si="76"/>
        <v>16637810</v>
      </c>
      <c r="AI9" s="225">
        <f t="shared" si="77"/>
        <v>150.612046077782</v>
      </c>
      <c r="AJ9" s="218"/>
      <c r="AK9" s="225">
        <f t="shared" si="78"/>
        <v>6613151</v>
      </c>
      <c r="AL9" s="225">
        <f t="shared" si="79"/>
        <v>149.158232678823</v>
      </c>
      <c r="AM9" s="225"/>
    </row>
    <row r="10" ht="15">
      <c r="A10" s="227" t="s">
        <v>443</v>
      </c>
      <c r="B10" s="228"/>
      <c r="C10" s="229">
        <f>SUM(C6:C9)</f>
        <v>48181606</v>
      </c>
      <c r="D10" s="229">
        <f>SUM(D6:D9)</f>
        <v>48576530</v>
      </c>
      <c r="E10" s="229">
        <f>SUM(E6:E9)</f>
        <v>51107141</v>
      </c>
      <c r="F10" s="229">
        <f>SUM(F6:F9)</f>
        <v>58473580</v>
      </c>
      <c r="G10" s="229">
        <f>SUM(G6:G9)</f>
        <v>50247918</v>
      </c>
      <c r="H10" s="229">
        <f>SUM(H6:H9)</f>
        <v>46444092</v>
      </c>
      <c r="I10" s="229">
        <f>SUM(I6:I9)</f>
        <v>33365697</v>
      </c>
      <c r="J10" s="229">
        <f>SUM(J6:J9)</f>
        <v>29772054</v>
      </c>
      <c r="K10" s="225"/>
      <c r="L10" s="225"/>
      <c r="M10" s="225"/>
      <c r="N10" s="225"/>
      <c r="O10" s="225"/>
      <c r="P10" s="225"/>
      <c r="Q10" s="225"/>
      <c r="R10" s="225"/>
      <c r="S10" s="225">
        <f>C10-D10</f>
        <v>-394924</v>
      </c>
      <c r="T10" s="226">
        <f>((C10-D10)/D10)*100</f>
        <v>-0.81299343530713297</v>
      </c>
      <c r="U10" s="225"/>
      <c r="V10" s="225">
        <f>D10-E10</f>
        <v>-2530611</v>
      </c>
      <c r="W10" s="225">
        <f>((D10-E10)/E10)*100</f>
        <v>-4.9515800541454702</v>
      </c>
      <c r="X10" s="218"/>
      <c r="Y10" s="225">
        <f>E10-F10</f>
        <v>-7366439</v>
      </c>
      <c r="Z10" s="225">
        <f>((E10-F10)/F10)*100</f>
        <v>-12.5978929287381</v>
      </c>
      <c r="AA10" s="218"/>
      <c r="AB10" s="225">
        <f>F10-G10</f>
        <v>8225662</v>
      </c>
      <c r="AC10" s="225">
        <f>((F10-G10)/G10)*100</f>
        <v>16.370154878854901</v>
      </c>
      <c r="AD10" s="218"/>
      <c r="AE10" s="225">
        <f>G10-H10</f>
        <v>3803826</v>
      </c>
      <c r="AF10" s="225">
        <f>((G10-H10)/H10)*100</f>
        <v>8.1901181317098395</v>
      </c>
      <c r="AG10" s="218"/>
      <c r="AH10" s="225">
        <f>H10-I10</f>
        <v>13078395</v>
      </c>
      <c r="AI10" s="225">
        <f>((H10-I10)/I10)*100</f>
        <v>39.1971281163406</v>
      </c>
      <c r="AJ10" s="218"/>
      <c r="AK10" s="225">
        <f>I10-J10</f>
        <v>3593643</v>
      </c>
      <c r="AL10" s="225">
        <f>((I10-J10)/J10)*100</f>
        <v>12.0705242574127</v>
      </c>
      <c r="AM10" s="225"/>
      <c r="AN10" s="230"/>
      <c r="AO10" s="230"/>
      <c r="AP10" s="230"/>
      <c r="AQ10" s="230"/>
      <c r="AR10" s="230"/>
      <c r="AS10" s="230"/>
      <c r="AT10" s="230"/>
      <c r="AU10" s="230"/>
      <c r="AV10" s="230"/>
      <c r="AW10" s="230"/>
      <c r="AX10" s="230"/>
      <c r="AY10" s="230"/>
      <c r="AZ10" s="230"/>
      <c r="BA10" s="230"/>
      <c r="BB10" s="230"/>
      <c r="BC10" s="230"/>
      <c r="BD10" s="230"/>
      <c r="BE10" s="230"/>
      <c r="BF10" s="230"/>
      <c r="BG10" s="230"/>
      <c r="BH10" s="230"/>
      <c r="BI10" s="230"/>
      <c r="BJ10" s="230"/>
      <c r="BK10" s="230"/>
      <c r="BL10" s="230"/>
      <c r="BM10" s="230"/>
      <c r="BN10" s="230"/>
      <c r="BO10" s="230"/>
      <c r="BP10" s="230"/>
      <c r="BQ10" s="230"/>
      <c r="BR10" s="230"/>
      <c r="BS10" s="230"/>
      <c r="BT10" s="230"/>
      <c r="BU10" s="230"/>
      <c r="BV10" s="230"/>
      <c r="BW10" s="230"/>
      <c r="BX10" s="230"/>
      <c r="BY10" s="230"/>
      <c r="BZ10" s="230"/>
      <c r="CA10" s="230"/>
      <c r="CB10" s="230"/>
      <c r="CC10" s="230"/>
      <c r="CD10" s="230"/>
      <c r="CE10" s="230"/>
      <c r="CF10" s="230"/>
      <c r="CG10" s="230"/>
      <c r="CH10" s="230"/>
      <c r="CI10" s="230"/>
      <c r="CJ10" s="230"/>
      <c r="CK10" s="230"/>
      <c r="CL10" s="230"/>
      <c r="CM10" s="230"/>
      <c r="CN10" s="230"/>
      <c r="CO10" s="230"/>
      <c r="CP10" s="230"/>
      <c r="CQ10" s="230"/>
      <c r="CR10" s="230"/>
      <c r="CS10" s="230"/>
      <c r="CT10" s="230"/>
      <c r="CU10" s="230"/>
      <c r="CV10" s="230"/>
      <c r="CW10" s="230"/>
      <c r="CX10" s="230"/>
      <c r="CY10" s="230"/>
      <c r="CZ10" s="230"/>
      <c r="DA10" s="230"/>
      <c r="DB10" s="230"/>
      <c r="DC10" s="230"/>
      <c r="DD10" s="230"/>
      <c r="DE10" s="230"/>
      <c r="DF10" s="230"/>
      <c r="DG10" s="230"/>
      <c r="DH10" s="230"/>
      <c r="DI10" s="230"/>
      <c r="DJ10" s="230"/>
      <c r="DK10" s="230"/>
      <c r="DL10" s="230"/>
      <c r="DM10" s="230"/>
      <c r="DN10" s="230"/>
      <c r="DO10" s="230"/>
      <c r="DP10" s="230"/>
      <c r="DQ10" s="230"/>
      <c r="DR10" s="230"/>
      <c r="DS10" s="230"/>
      <c r="DT10" s="230"/>
      <c r="DU10" s="230"/>
      <c r="DV10" s="230"/>
      <c r="DW10" s="230"/>
      <c r="DX10" s="230"/>
      <c r="DY10" s="230"/>
      <c r="DZ10" s="230"/>
      <c r="EA10" s="230"/>
      <c r="EB10" s="230"/>
      <c r="EC10" s="230"/>
      <c r="ED10" s="230"/>
      <c r="EE10" s="230"/>
      <c r="EF10" s="230"/>
      <c r="EG10" s="230"/>
      <c r="EH10" s="230"/>
      <c r="EI10" s="230"/>
      <c r="EJ10" s="230"/>
      <c r="EK10" s="230"/>
      <c r="EL10" s="230"/>
      <c r="EM10" s="230"/>
      <c r="EN10" s="230"/>
      <c r="EO10" s="230"/>
      <c r="EP10" s="230"/>
      <c r="EQ10" s="230"/>
      <c r="ER10" s="230"/>
      <c r="ES10" s="230"/>
      <c r="ET10" s="230"/>
      <c r="EU10" s="230"/>
      <c r="EV10" s="230"/>
      <c r="EW10" s="230"/>
      <c r="EX10" s="230"/>
      <c r="EY10" s="230"/>
      <c r="EZ10" s="230"/>
      <c r="FA10" s="230"/>
      <c r="FB10" s="230"/>
      <c r="FC10" s="230"/>
      <c r="FD10" s="230"/>
      <c r="FE10" s="230"/>
      <c r="FF10" s="230"/>
      <c r="FG10" s="230"/>
      <c r="FH10" s="230"/>
      <c r="FI10" s="230"/>
      <c r="FJ10" s="230"/>
      <c r="FK10" s="230"/>
      <c r="FL10" s="230"/>
      <c r="FM10" s="230"/>
      <c r="FN10" s="230"/>
      <c r="FO10" s="230"/>
      <c r="FP10" s="230"/>
      <c r="FQ10" s="230"/>
      <c r="FR10" s="230"/>
      <c r="FS10" s="230"/>
      <c r="FT10" s="230"/>
      <c r="FU10" s="230"/>
      <c r="FV10" s="230"/>
      <c r="FW10" s="230"/>
      <c r="FX10" s="230"/>
      <c r="FY10" s="230"/>
      <c r="FZ10" s="230"/>
      <c r="GA10" s="230"/>
      <c r="GB10" s="230"/>
      <c r="GC10" s="230"/>
      <c r="GD10" s="230"/>
      <c r="GE10" s="230"/>
      <c r="GF10" s="230"/>
      <c r="GG10" s="230"/>
      <c r="GH10" s="230"/>
      <c r="GI10" s="230"/>
      <c r="GJ10" s="230"/>
      <c r="GK10" s="230"/>
      <c r="GL10" s="230"/>
      <c r="GM10" s="230"/>
      <c r="GN10" s="230"/>
      <c r="GO10" s="230"/>
      <c r="GP10" s="230"/>
      <c r="GQ10" s="230"/>
      <c r="GR10" s="230"/>
      <c r="GS10" s="230"/>
      <c r="GT10" s="230"/>
      <c r="GU10" s="230"/>
      <c r="GV10" s="230"/>
      <c r="GW10" s="230"/>
      <c r="GX10" s="230"/>
      <c r="GY10" s="230"/>
      <c r="GZ10" s="230"/>
      <c r="HA10" s="230"/>
      <c r="HB10" s="230"/>
      <c r="HC10" s="230"/>
      <c r="HD10" s="230"/>
      <c r="HE10" s="230"/>
      <c r="HF10" s="230"/>
      <c r="HG10" s="230"/>
      <c r="HH10" s="230"/>
      <c r="HI10" s="230"/>
      <c r="HJ10" s="230"/>
      <c r="HK10" s="230"/>
      <c r="HL10" s="230"/>
      <c r="HM10" s="230"/>
      <c r="HN10" s="230"/>
      <c r="HO10" s="230"/>
      <c r="HP10" s="230"/>
      <c r="HQ10" s="230"/>
      <c r="HR10" s="230"/>
      <c r="HS10" s="230"/>
      <c r="HT10" s="230"/>
      <c r="HU10" s="230"/>
      <c r="HV10" s="230"/>
      <c r="HW10" s="230"/>
      <c r="HX10" s="230"/>
      <c r="HY10" s="230"/>
      <c r="HZ10" s="230"/>
      <c r="IA10" s="230"/>
      <c r="IB10" s="230"/>
      <c r="IC10" s="230"/>
      <c r="ID10" s="230"/>
      <c r="IE10" s="230"/>
      <c r="IF10" s="230"/>
      <c r="IG10" s="230"/>
      <c r="IH10" s="230"/>
      <c r="II10" s="230"/>
      <c r="IJ10" s="230"/>
      <c r="IK10" s="230"/>
      <c r="IL10" s="230"/>
      <c r="IM10" s="230"/>
      <c r="IN10" s="230"/>
      <c r="IO10" s="230"/>
      <c r="IP10" s="230"/>
      <c r="IQ10" s="230"/>
      <c r="IR10" s="230"/>
      <c r="IS10" s="230"/>
      <c r="IT10" s="230"/>
      <c r="IU10" s="230"/>
      <c r="IV10" s="230"/>
    </row>
    <row r="11" ht="15">
      <c r="A11" s="217" t="s">
        <v>36</v>
      </c>
      <c r="B11" s="223"/>
      <c r="C11" s="223"/>
      <c r="D11" s="219"/>
      <c r="E11" s="220"/>
      <c r="F11" s="220"/>
      <c r="G11" s="225"/>
      <c r="H11" s="225"/>
      <c r="I11" s="225"/>
      <c r="J11" s="225"/>
      <c r="K11" s="225"/>
      <c r="L11" s="225"/>
      <c r="M11" s="225"/>
      <c r="N11" s="225"/>
      <c r="O11" s="225"/>
      <c r="P11" s="225"/>
      <c r="Q11" s="225"/>
      <c r="R11" s="225"/>
      <c r="S11" s="225"/>
      <c r="T11" s="226"/>
      <c r="U11" s="225"/>
      <c r="V11" s="225"/>
      <c r="W11" s="225"/>
      <c r="X11" s="218"/>
      <c r="Y11" s="225"/>
      <c r="Z11" s="225"/>
      <c r="AA11" s="218"/>
      <c r="AB11" s="225"/>
      <c r="AC11" s="225"/>
      <c r="AD11" s="218"/>
      <c r="AE11" s="225"/>
      <c r="AF11" s="225"/>
      <c r="AG11" s="218"/>
      <c r="AH11" s="225"/>
      <c r="AI11" s="225"/>
      <c r="AJ11" s="218"/>
      <c r="AK11" s="225"/>
      <c r="AL11" s="225"/>
      <c r="AM11" s="225"/>
    </row>
    <row r="12" ht="15">
      <c r="A12" s="222" t="s">
        <v>444</v>
      </c>
      <c r="B12" s="223" t="s">
        <v>445</v>
      </c>
      <c r="C12" s="224">
        <f>'1'!C37</f>
        <v>40418692</v>
      </c>
      <c r="D12" s="224">
        <f>'1'!D37</f>
        <v>45744034</v>
      </c>
      <c r="E12" s="224">
        <f>'1'!E37</f>
        <v>47028634</v>
      </c>
      <c r="F12" s="224">
        <f>'1'!F37</f>
        <v>41255754</v>
      </c>
      <c r="G12" s="224">
        <f>'1'!G37</f>
        <v>34910852</v>
      </c>
      <c r="H12" s="224">
        <f>'1'!H37</f>
        <v>26135480</v>
      </c>
      <c r="I12" s="224">
        <f>'1'!I37</f>
        <v>25906082</v>
      </c>
      <c r="J12" s="224">
        <f>'1'!J37</f>
        <v>22062331</v>
      </c>
      <c r="K12" s="225">
        <f t="shared" ref="K12:K15" si="80">(C12/$C$16)*100</f>
        <v>83.888220745485299</v>
      </c>
      <c r="L12" s="225">
        <f t="shared" ref="L12:L15" si="81">(D12/$C$16)*100</f>
        <v>94.940866022606201</v>
      </c>
      <c r="M12" s="225">
        <f t="shared" ref="M12:M15" si="82">(E12/$C$16)*100</f>
        <v>97.607028707179296</v>
      </c>
      <c r="N12" s="225">
        <f t="shared" ref="N12:N15" si="83">(F12/$C$16)*100</f>
        <v>85.625526886754301</v>
      </c>
      <c r="O12" s="225">
        <f t="shared" ref="O12:O15" si="84">(G12/$C$16)*100</f>
        <v>72.456804366379998</v>
      </c>
      <c r="P12" s="225">
        <f t="shared" ref="P12:P15" si="85">(H12/$C$16)*100</f>
        <v>54.243687933523802</v>
      </c>
      <c r="Q12" s="225">
        <f t="shared" ref="Q12:Q15" si="86">(I12/$C$16)*100</f>
        <v>53.7675767802344</v>
      </c>
      <c r="R12" s="225">
        <f t="shared" ref="R12:R15" si="87">(J12/$C$16)*100</f>
        <v>45.789945233456898</v>
      </c>
      <c r="S12" s="225">
        <f t="shared" ref="S12:S16" si="88">C12-D12</f>
        <v>-5325342</v>
      </c>
      <c r="T12" s="226">
        <f t="shared" ref="T12:T16" si="89">((C12-D12)/D12)*100</f>
        <v>-11.641609920104599</v>
      </c>
      <c r="U12" s="225"/>
      <c r="V12" s="225">
        <f t="shared" ref="V12:V16" si="90">D12-E12</f>
        <v>-1284600</v>
      </c>
      <c r="W12" s="225">
        <f t="shared" ref="W12:W16" si="91">((D12-E12)/E12)*100</f>
        <v>-2.7315273499119699</v>
      </c>
      <c r="X12" s="218"/>
      <c r="Y12" s="225">
        <f t="shared" ref="Y12:Y16" si="92">E12-F12</f>
        <v>5772880</v>
      </c>
      <c r="Z12" s="225">
        <f t="shared" ref="Z12:Z16" si="93">((E12-F12)/F12)*100</f>
        <v>13.992908722502101</v>
      </c>
      <c r="AA12" s="218"/>
      <c r="AB12" s="225">
        <f t="shared" ref="AB12:AB16" si="94">F12-G12</f>
        <v>6344902</v>
      </c>
      <c r="AC12" s="225">
        <f t="shared" ref="AC12:AC16" si="95">((F12-G12)/G12)*100</f>
        <v>18.174583650951899</v>
      </c>
      <c r="AD12" s="218"/>
      <c r="AE12" s="225">
        <f t="shared" ref="AE12:AE16" si="96">G12-H12</f>
        <v>8775372</v>
      </c>
      <c r="AF12" s="225">
        <f t="shared" ref="AF12:AF16" si="97">((G12-H12)/H12)*100</f>
        <v>33.576471524532899</v>
      </c>
      <c r="AG12" s="218"/>
      <c r="AH12" s="225">
        <f t="shared" ref="AH12:AH16" si="98">H12-I12</f>
        <v>229398</v>
      </c>
      <c r="AI12" s="225">
        <f t="shared" ref="AI12:AI16" si="99">((H12-I12)/I12)*100</f>
        <v>0.885498625380712</v>
      </c>
      <c r="AJ12" s="218"/>
      <c r="AK12" s="225">
        <f t="shared" ref="AK12:AK16" si="100">I12-J12</f>
        <v>3843751</v>
      </c>
      <c r="AL12" s="225">
        <f t="shared" ref="AL12:AL16" si="101">((I12-J12)/J12)*100</f>
        <v>17.422234305160199</v>
      </c>
      <c r="AM12" s="225"/>
    </row>
    <row r="13" ht="15">
      <c r="A13" s="222" t="s">
        <v>446</v>
      </c>
      <c r="B13" s="223" t="s">
        <v>447</v>
      </c>
      <c r="C13" s="224">
        <f>'1'!C43</f>
        <v>675161</v>
      </c>
      <c r="D13" s="224">
        <f>'1'!D43</f>
        <v>551941</v>
      </c>
      <c r="E13" s="224">
        <f>'1'!E43</f>
        <v>419734</v>
      </c>
      <c r="F13" s="224">
        <f>'1'!F43</f>
        <v>3261403</v>
      </c>
      <c r="G13" s="224">
        <f>'1'!G43</f>
        <v>11207763</v>
      </c>
      <c r="H13" s="224">
        <f>'1'!H43</f>
        <v>8630287</v>
      </c>
      <c r="I13" s="224">
        <f>'1'!I43</f>
        <v>5033749</v>
      </c>
      <c r="J13" s="224">
        <f>'1'!J43</f>
        <v>5568078</v>
      </c>
      <c r="K13" s="225">
        <f t="shared" si="80"/>
        <v>1.40128371810603</v>
      </c>
      <c r="L13" s="225">
        <f t="shared" si="81"/>
        <v>1.14554296924017</v>
      </c>
      <c r="M13" s="225">
        <f t="shared" si="82"/>
        <v>0.87114987408265299</v>
      </c>
      <c r="N13" s="225">
        <f t="shared" si="83"/>
        <v>6.7689794316943299</v>
      </c>
      <c r="O13" s="225">
        <f t="shared" si="84"/>
        <v>23.261497344027902</v>
      </c>
      <c r="P13" s="225">
        <f t="shared" si="85"/>
        <v>17.911995295466099</v>
      </c>
      <c r="Q13" s="225">
        <f t="shared" si="86"/>
        <v>10.4474495931082</v>
      </c>
      <c r="R13" s="225">
        <f t="shared" si="87"/>
        <v>11.556439193828499</v>
      </c>
      <c r="S13" s="225">
        <f t="shared" si="88"/>
        <v>123220</v>
      </c>
      <c r="T13" s="226">
        <f t="shared" si="89"/>
        <v>22.324849938671001</v>
      </c>
      <c r="U13" s="225"/>
      <c r="V13" s="225">
        <f t="shared" si="90"/>
        <v>132207</v>
      </c>
      <c r="W13" s="225">
        <f t="shared" si="91"/>
        <v>31.497805753167501</v>
      </c>
      <c r="X13" s="218"/>
      <c r="Y13" s="225">
        <f t="shared" si="92"/>
        <v>-2841669</v>
      </c>
      <c r="Z13" s="225">
        <f t="shared" si="93"/>
        <v>-87.130262650767193</v>
      </c>
      <c r="AA13" s="218"/>
      <c r="AB13" s="225">
        <f t="shared" si="94"/>
        <v>-7946360</v>
      </c>
      <c r="AC13" s="225">
        <f t="shared" si="95"/>
        <v>-70.900499948116305</v>
      </c>
      <c r="AD13" s="218"/>
      <c r="AE13" s="225">
        <f t="shared" si="96"/>
        <v>2577476</v>
      </c>
      <c r="AF13" s="225">
        <f t="shared" si="97"/>
        <v>29.865472608268998</v>
      </c>
      <c r="AG13" s="218"/>
      <c r="AH13" s="225">
        <f t="shared" si="98"/>
        <v>3596538</v>
      </c>
      <c r="AI13" s="225">
        <f t="shared" si="99"/>
        <v>71.448496935385506</v>
      </c>
      <c r="AJ13" s="218"/>
      <c r="AK13" s="225">
        <f t="shared" si="100"/>
        <v>-534329</v>
      </c>
      <c r="AL13" s="225">
        <f t="shared" si="101"/>
        <v>-9.5962915749384301</v>
      </c>
      <c r="AM13" s="225"/>
    </row>
    <row r="14" ht="15">
      <c r="A14" s="222" t="s">
        <v>448</v>
      </c>
      <c r="B14" s="223" t="s">
        <v>449</v>
      </c>
      <c r="C14" s="224">
        <f>'1'!C45+'1'!C47+'1'!C48</f>
        <v>257551</v>
      </c>
      <c r="D14" s="224">
        <f>'1'!D45+'1'!D47+'1'!D48</f>
        <v>209342</v>
      </c>
      <c r="E14" s="224">
        <f>'1'!E45+'1'!E47+'1'!E48</f>
        <v>1058400</v>
      </c>
      <c r="F14" s="224">
        <f>'1'!F45+'1'!F47+'1'!F48</f>
        <v>10939535</v>
      </c>
      <c r="G14" s="224">
        <f>'1'!G45+'1'!G47+'1'!G48</f>
        <v>176457</v>
      </c>
      <c r="H14" s="224">
        <f>'1'!H45+'1'!H47+'1'!H48</f>
        <v>9676314</v>
      </c>
      <c r="I14" s="224">
        <f>'1'!I45+'1'!I47+'1'!I48</f>
        <v>744803</v>
      </c>
      <c r="J14" s="224">
        <f>'1'!J45+'1'!J47+'1'!J48</f>
        <v>701405</v>
      </c>
      <c r="K14" s="225">
        <f t="shared" si="80"/>
        <v>0.53454216532342202</v>
      </c>
      <c r="L14" s="225">
        <f t="shared" si="81"/>
        <v>0.43448530960134502</v>
      </c>
      <c r="M14" s="225">
        <f t="shared" si="82"/>
        <v>2.19668891900365</v>
      </c>
      <c r="N14" s="225">
        <f t="shared" si="83"/>
        <v>22.704795269796499</v>
      </c>
      <c r="O14" s="225">
        <f t="shared" si="84"/>
        <v>0.36623312224171201</v>
      </c>
      <c r="P14" s="225">
        <f t="shared" si="85"/>
        <v>20.083004290060401</v>
      </c>
      <c r="Q14" s="225">
        <f t="shared" si="86"/>
        <v>1.5458243546302699</v>
      </c>
      <c r="R14" s="225">
        <f t="shared" si="87"/>
        <v>1.4557526372201</v>
      </c>
      <c r="S14" s="225">
        <f t="shared" si="88"/>
        <v>48209</v>
      </c>
      <c r="T14" s="226">
        <f t="shared" si="89"/>
        <v>23.028823647428599</v>
      </c>
      <c r="U14" s="225"/>
      <c r="V14" s="225">
        <f t="shared" si="90"/>
        <v>-849058</v>
      </c>
      <c r="W14" s="225">
        <f t="shared" si="91"/>
        <v>-80.220899470899496</v>
      </c>
      <c r="X14" s="218"/>
      <c r="Y14" s="225">
        <f t="shared" si="92"/>
        <v>-9881135</v>
      </c>
      <c r="Z14" s="225">
        <f t="shared" si="93"/>
        <v>-90.325000102838004</v>
      </c>
      <c r="AA14" s="218"/>
      <c r="AB14" s="225">
        <f t="shared" si="94"/>
        <v>10763078</v>
      </c>
      <c r="AC14" s="225">
        <f t="shared" si="95"/>
        <v>6099.5471984676196</v>
      </c>
      <c r="AD14" s="218"/>
      <c r="AE14" s="225">
        <f t="shared" si="96"/>
        <v>-9499857</v>
      </c>
      <c r="AF14" s="225">
        <f t="shared" si="97"/>
        <v>-98.176402708717404</v>
      </c>
      <c r="AG14" s="218"/>
      <c r="AH14" s="225">
        <f t="shared" si="98"/>
        <v>8931511</v>
      </c>
      <c r="AI14" s="225">
        <f t="shared" si="99"/>
        <v>1199.17763489137</v>
      </c>
      <c r="AJ14" s="218"/>
      <c r="AK14" s="225">
        <f t="shared" si="100"/>
        <v>43398</v>
      </c>
      <c r="AL14" s="225">
        <f t="shared" si="101"/>
        <v>6.1872954997469396</v>
      </c>
      <c r="AM14" s="225"/>
    </row>
    <row r="15" ht="15">
      <c r="A15" s="222" t="s">
        <v>450</v>
      </c>
      <c r="B15" s="223" t="s">
        <v>451</v>
      </c>
      <c r="C15" s="224">
        <f>'1'!C46+'1'!C49</f>
        <v>6830202</v>
      </c>
      <c r="D15" s="224">
        <f>'1'!D46+'1'!D49</f>
        <v>2071213</v>
      </c>
      <c r="E15" s="224">
        <f>'1'!E46+'1'!E49</f>
        <v>2600373</v>
      </c>
      <c r="F15" s="224">
        <f>'1'!F46+'1'!F49</f>
        <v>3016888</v>
      </c>
      <c r="G15" s="224">
        <f>'1'!G46+'1'!G49</f>
        <v>3952846</v>
      </c>
      <c r="H15" s="224">
        <f>'1'!H46+'1'!H49</f>
        <v>2002011</v>
      </c>
      <c r="I15" s="224">
        <f>'1'!I46+'1'!I49</f>
        <v>1681063</v>
      </c>
      <c r="J15" s="224">
        <f>'1'!J46+'1'!J49</f>
        <v>1440240</v>
      </c>
      <c r="K15" s="225">
        <f t="shared" si="80"/>
        <v>14.1759533710852</v>
      </c>
      <c r="L15" s="225">
        <f t="shared" si="81"/>
        <v>4.29876289304263</v>
      </c>
      <c r="M15" s="225">
        <f t="shared" si="82"/>
        <v>5.39702433331093</v>
      </c>
      <c r="N15" s="225">
        <f t="shared" si="83"/>
        <v>6.2614932345758696</v>
      </c>
      <c r="O15" s="225">
        <f t="shared" si="84"/>
        <v>8.2040561288056697</v>
      </c>
      <c r="P15" s="225">
        <f t="shared" si="85"/>
        <v>4.1551354680871402</v>
      </c>
      <c r="Q15" s="225">
        <f t="shared" si="86"/>
        <v>3.4890140440731701</v>
      </c>
      <c r="R15" s="225">
        <f t="shared" si="87"/>
        <v>2.9891905222088302</v>
      </c>
      <c r="S15" s="225">
        <f t="shared" si="88"/>
        <v>4758989</v>
      </c>
      <c r="T15" s="226">
        <f t="shared" si="89"/>
        <v>229.76820829146999</v>
      </c>
      <c r="U15" s="225"/>
      <c r="V15" s="225">
        <f t="shared" si="90"/>
        <v>-529160</v>
      </c>
      <c r="W15" s="225">
        <f t="shared" si="91"/>
        <v>-20.34938833775</v>
      </c>
      <c r="X15" s="218"/>
      <c r="Y15" s="225">
        <f t="shared" si="92"/>
        <v>-416515</v>
      </c>
      <c r="Z15" s="225">
        <f t="shared" si="93"/>
        <v>-13.8061141149423</v>
      </c>
      <c r="AA15" s="218"/>
      <c r="AB15" s="225">
        <f t="shared" si="94"/>
        <v>-935958</v>
      </c>
      <c r="AC15" s="225">
        <f t="shared" si="95"/>
        <v>-23.678079034700598</v>
      </c>
      <c r="AD15" s="218"/>
      <c r="AE15" s="225">
        <f t="shared" si="96"/>
        <v>1950835</v>
      </c>
      <c r="AF15" s="225">
        <f t="shared" si="97"/>
        <v>97.443770288974406</v>
      </c>
      <c r="AG15" s="218"/>
      <c r="AH15" s="225">
        <f t="shared" si="98"/>
        <v>320948</v>
      </c>
      <c r="AI15" s="225">
        <f t="shared" si="99"/>
        <v>19.091967403958101</v>
      </c>
      <c r="AJ15" s="218"/>
      <c r="AK15" s="225">
        <f t="shared" si="100"/>
        <v>240823</v>
      </c>
      <c r="AL15" s="225">
        <f t="shared" si="101"/>
        <v>16.7210326056768</v>
      </c>
      <c r="AM15" s="225"/>
    </row>
    <row r="16" ht="15">
      <c r="A16" s="227" t="s">
        <v>443</v>
      </c>
      <c r="B16" s="228"/>
      <c r="C16" s="229">
        <f>SUM(C12:C15)</f>
        <v>48181606</v>
      </c>
      <c r="D16" s="229">
        <f>SUM(D12:D15)</f>
        <v>48576530</v>
      </c>
      <c r="E16" s="229">
        <f>SUM(E12:E15)</f>
        <v>51107141</v>
      </c>
      <c r="F16" s="229">
        <f>SUM(F12:F15)</f>
        <v>58473580</v>
      </c>
      <c r="G16" s="229">
        <f>SUM(G12:G15)</f>
        <v>50247918</v>
      </c>
      <c r="H16" s="229">
        <f>SUM(H12:H15)</f>
        <v>46444092</v>
      </c>
      <c r="I16" s="229">
        <f>SUM(I12:I15)</f>
        <v>33365697</v>
      </c>
      <c r="J16" s="229">
        <f>SUM(J12:J15)</f>
        <v>29772054</v>
      </c>
      <c r="K16" s="225"/>
      <c r="L16" s="225"/>
      <c r="M16" s="225"/>
      <c r="N16" s="225"/>
      <c r="O16" s="225"/>
      <c r="P16" s="225"/>
      <c r="Q16" s="225"/>
      <c r="R16" s="225"/>
      <c r="S16" s="225">
        <f t="shared" si="88"/>
        <v>-394924</v>
      </c>
      <c r="T16" s="226">
        <f t="shared" si="89"/>
        <v>-0.81299343530713297</v>
      </c>
      <c r="U16" s="225"/>
      <c r="V16" s="225">
        <f t="shared" si="90"/>
        <v>-2530611</v>
      </c>
      <c r="W16" s="225">
        <f t="shared" si="91"/>
        <v>-4.9515800541454702</v>
      </c>
      <c r="X16" s="218"/>
      <c r="Y16" s="225">
        <f t="shared" si="92"/>
        <v>-7366439</v>
      </c>
      <c r="Z16" s="225">
        <f t="shared" si="93"/>
        <v>-12.5978929287381</v>
      </c>
      <c r="AA16" s="218"/>
      <c r="AB16" s="225">
        <f t="shared" si="94"/>
        <v>8225662</v>
      </c>
      <c r="AC16" s="225">
        <f t="shared" si="95"/>
        <v>16.370154878854901</v>
      </c>
      <c r="AD16" s="218"/>
      <c r="AE16" s="225">
        <f t="shared" si="96"/>
        <v>3803826</v>
      </c>
      <c r="AF16" s="225">
        <f t="shared" si="97"/>
        <v>8.1901181317098395</v>
      </c>
      <c r="AG16" s="218"/>
      <c r="AH16" s="225">
        <f t="shared" si="98"/>
        <v>13078395</v>
      </c>
      <c r="AI16" s="225">
        <f t="shared" si="99"/>
        <v>39.1971281163406</v>
      </c>
      <c r="AJ16" s="218"/>
      <c r="AK16" s="225">
        <f t="shared" si="100"/>
        <v>3593643</v>
      </c>
      <c r="AL16" s="225">
        <f t="shared" si="101"/>
        <v>12.0705242574127</v>
      </c>
      <c r="AM16" s="225"/>
      <c r="AN16" s="230"/>
      <c r="AO16" s="230"/>
      <c r="AP16" s="230"/>
      <c r="AQ16" s="230"/>
      <c r="AR16" s="230"/>
      <c r="AS16" s="230"/>
      <c r="AT16" s="230"/>
      <c r="AU16" s="230"/>
      <c r="AV16" s="230"/>
      <c r="AW16" s="230"/>
      <c r="AX16" s="230"/>
      <c r="AY16" s="230"/>
      <c r="AZ16" s="230"/>
      <c r="BA16" s="230"/>
      <c r="BB16" s="230"/>
      <c r="BC16" s="230"/>
      <c r="BD16" s="230"/>
      <c r="BE16" s="230"/>
      <c r="BF16" s="230"/>
      <c r="BG16" s="230"/>
      <c r="BH16" s="230"/>
      <c r="BI16" s="230"/>
      <c r="BJ16" s="230"/>
      <c r="BK16" s="230"/>
      <c r="BL16" s="230"/>
      <c r="BM16" s="230"/>
      <c r="BN16" s="230"/>
      <c r="BO16" s="230"/>
      <c r="BP16" s="230"/>
      <c r="BQ16" s="230"/>
      <c r="BR16" s="230"/>
      <c r="BS16" s="230"/>
      <c r="BT16" s="230"/>
      <c r="BU16" s="230"/>
      <c r="BV16" s="230"/>
      <c r="BW16" s="230"/>
      <c r="BX16" s="230"/>
      <c r="BY16" s="230"/>
      <c r="BZ16" s="230"/>
      <c r="CA16" s="230"/>
      <c r="CB16" s="230"/>
      <c r="CC16" s="230"/>
      <c r="CD16" s="230"/>
      <c r="CE16" s="230"/>
      <c r="CF16" s="230"/>
      <c r="CG16" s="230"/>
      <c r="CH16" s="230"/>
      <c r="CI16" s="230"/>
      <c r="CJ16" s="230"/>
      <c r="CK16" s="230"/>
      <c r="CL16" s="230"/>
      <c r="CM16" s="230"/>
      <c r="CN16" s="230"/>
      <c r="CO16" s="230"/>
      <c r="CP16" s="230"/>
      <c r="CQ16" s="230"/>
      <c r="CR16" s="230"/>
      <c r="CS16" s="230"/>
      <c r="CT16" s="230"/>
      <c r="CU16" s="230"/>
      <c r="CV16" s="230"/>
      <c r="CW16" s="230"/>
      <c r="CX16" s="230"/>
      <c r="CY16" s="230"/>
      <c r="CZ16" s="230"/>
      <c r="DA16" s="230"/>
      <c r="DB16" s="230"/>
      <c r="DC16" s="230"/>
      <c r="DD16" s="230"/>
      <c r="DE16" s="230"/>
      <c r="DF16" s="230"/>
      <c r="DG16" s="230"/>
      <c r="DH16" s="230"/>
      <c r="DI16" s="230"/>
      <c r="DJ16" s="230"/>
      <c r="DK16" s="230"/>
      <c r="DL16" s="230"/>
      <c r="DM16" s="230"/>
      <c r="DN16" s="230"/>
      <c r="DO16" s="230"/>
      <c r="DP16" s="230"/>
      <c r="DQ16" s="230"/>
      <c r="DR16" s="230"/>
      <c r="DS16" s="230"/>
      <c r="DT16" s="230"/>
      <c r="DU16" s="230"/>
      <c r="DV16" s="230"/>
      <c r="DW16" s="230"/>
      <c r="DX16" s="230"/>
      <c r="DY16" s="230"/>
      <c r="DZ16" s="230"/>
      <c r="EA16" s="230"/>
      <c r="EB16" s="230"/>
      <c r="EC16" s="230"/>
      <c r="ED16" s="230"/>
      <c r="EE16" s="230"/>
      <c r="EF16" s="230"/>
      <c r="EG16" s="230"/>
      <c r="EH16" s="230"/>
      <c r="EI16" s="230"/>
      <c r="EJ16" s="230"/>
      <c r="EK16" s="230"/>
      <c r="EL16" s="230"/>
      <c r="EM16" s="230"/>
      <c r="EN16" s="230"/>
      <c r="EO16" s="230"/>
      <c r="EP16" s="230"/>
      <c r="EQ16" s="230"/>
      <c r="ER16" s="230"/>
      <c r="ES16" s="230"/>
      <c r="ET16" s="230"/>
      <c r="EU16" s="230"/>
      <c r="EV16" s="230"/>
      <c r="EW16" s="230"/>
      <c r="EX16" s="230"/>
      <c r="EY16" s="230"/>
      <c r="EZ16" s="230"/>
      <c r="FA16" s="230"/>
      <c r="FB16" s="230"/>
      <c r="FC16" s="230"/>
      <c r="FD16" s="230"/>
      <c r="FE16" s="230"/>
      <c r="FF16" s="230"/>
      <c r="FG16" s="230"/>
      <c r="FH16" s="230"/>
      <c r="FI16" s="230"/>
      <c r="FJ16" s="230"/>
      <c r="FK16" s="230"/>
      <c r="FL16" s="230"/>
      <c r="FM16" s="230"/>
      <c r="FN16" s="230"/>
      <c r="FO16" s="230"/>
      <c r="FP16" s="230"/>
      <c r="FQ16" s="230"/>
      <c r="FR16" s="230"/>
      <c r="FS16" s="230"/>
      <c r="FT16" s="230"/>
      <c r="FU16" s="230"/>
      <c r="FV16" s="230"/>
      <c r="FW16" s="230"/>
      <c r="FX16" s="230"/>
      <c r="FY16" s="230"/>
      <c r="FZ16" s="230"/>
      <c r="GA16" s="230"/>
      <c r="GB16" s="230"/>
      <c r="GC16" s="230"/>
      <c r="GD16" s="230"/>
      <c r="GE16" s="230"/>
      <c r="GF16" s="230"/>
      <c r="GG16" s="230"/>
      <c r="GH16" s="230"/>
      <c r="GI16" s="230"/>
      <c r="GJ16" s="230"/>
      <c r="GK16" s="230"/>
      <c r="GL16" s="230"/>
      <c r="GM16" s="230"/>
      <c r="GN16" s="230"/>
      <c r="GO16" s="230"/>
      <c r="GP16" s="230"/>
      <c r="GQ16" s="230"/>
      <c r="GR16" s="230"/>
      <c r="GS16" s="230"/>
      <c r="GT16" s="230"/>
      <c r="GU16" s="230"/>
      <c r="GV16" s="230"/>
      <c r="GW16" s="230"/>
      <c r="GX16" s="230"/>
      <c r="GY16" s="230"/>
      <c r="GZ16" s="230"/>
      <c r="HA16" s="230"/>
      <c r="HB16" s="230"/>
      <c r="HC16" s="230"/>
      <c r="HD16" s="230"/>
      <c r="HE16" s="230"/>
      <c r="HF16" s="230"/>
      <c r="HG16" s="230"/>
      <c r="HH16" s="230"/>
      <c r="HI16" s="230"/>
      <c r="HJ16" s="230"/>
      <c r="HK16" s="230"/>
      <c r="HL16" s="230"/>
      <c r="HM16" s="230"/>
      <c r="HN16" s="230"/>
      <c r="HO16" s="230"/>
      <c r="HP16" s="230"/>
      <c r="HQ16" s="230"/>
      <c r="HR16" s="230"/>
      <c r="HS16" s="230"/>
      <c r="HT16" s="230"/>
      <c r="HU16" s="230"/>
      <c r="HV16" s="230"/>
      <c r="HW16" s="230"/>
      <c r="HX16" s="230"/>
      <c r="HY16" s="230"/>
      <c r="HZ16" s="230"/>
      <c r="IA16" s="230"/>
      <c r="IB16" s="230"/>
      <c r="IC16" s="230"/>
      <c r="ID16" s="230"/>
      <c r="IE16" s="230"/>
      <c r="IF16" s="230"/>
      <c r="IG16" s="230"/>
      <c r="IH16" s="230"/>
      <c r="II16" s="230"/>
      <c r="IJ16" s="230"/>
      <c r="IK16" s="230"/>
      <c r="IL16" s="230"/>
      <c r="IM16" s="230"/>
      <c r="IN16" s="230"/>
      <c r="IO16" s="230"/>
      <c r="IP16" s="230"/>
      <c r="IQ16" s="230"/>
      <c r="IR16" s="230"/>
      <c r="IS16" s="230"/>
      <c r="IT16" s="230"/>
      <c r="IU16" s="230"/>
      <c r="IV16" s="230"/>
    </row>
    <row r="17" ht="15">
      <c r="A17" s="213" t="s">
        <v>452</v>
      </c>
      <c r="C17" s="231"/>
      <c r="D17" s="231"/>
      <c r="E17" s="231"/>
      <c r="F17" s="231"/>
      <c r="G17" s="231"/>
      <c r="H17" s="232"/>
      <c r="I17" s="232"/>
      <c r="J17" s="232"/>
    </row>
    <row r="18" ht="15">
      <c r="A18" s="204" t="s">
        <v>453</v>
      </c>
      <c r="C18" s="204">
        <f>C10-C16</f>
        <v>0</v>
      </c>
      <c r="D18" s="204">
        <f>D10-D16</f>
        <v>0</v>
      </c>
      <c r="E18" s="204">
        <f>E10-E16</f>
        <v>0</v>
      </c>
      <c r="F18" s="204">
        <f>F10-F16</f>
        <v>0</v>
      </c>
    </row>
    <row r="19" ht="15">
      <c r="A19" s="205"/>
    </row>
    <row r="20" ht="15">
      <c r="A20" s="205" t="s">
        <v>454</v>
      </c>
    </row>
    <row r="21" ht="15.75" customHeight="1">
      <c r="A21" s="206" t="s">
        <v>177</v>
      </c>
      <c r="B21" s="207" t="s">
        <v>420</v>
      </c>
      <c r="C21" s="206" t="s">
        <v>421</v>
      </c>
      <c r="D21" s="206"/>
      <c r="E21" s="206"/>
      <c r="F21" s="206"/>
      <c r="G21" s="206"/>
      <c r="H21" s="206"/>
      <c r="I21" s="206"/>
      <c r="J21" s="206" t="s">
        <v>422</v>
      </c>
      <c r="K21" s="206"/>
      <c r="L21" s="206"/>
      <c r="M21" s="206"/>
      <c r="N21" s="206"/>
      <c r="O21" s="206"/>
      <c r="P21" s="206"/>
      <c r="Q21" s="209" t="s">
        <v>423</v>
      </c>
      <c r="R21" s="209"/>
      <c r="S21" s="209"/>
      <c r="T21" s="209"/>
      <c r="U21" s="209"/>
      <c r="V21" s="209"/>
      <c r="W21" s="209"/>
      <c r="X21" s="209"/>
      <c r="Y21" s="209"/>
      <c r="Z21" s="209"/>
      <c r="AA21" s="209"/>
      <c r="AB21" s="209"/>
      <c r="AC21" s="209"/>
      <c r="AD21" s="209"/>
      <c r="AE21" s="209"/>
      <c r="AF21" s="209"/>
      <c r="AG21" s="209"/>
      <c r="AH21" s="209"/>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row>
    <row r="22" ht="15.75" customHeight="1">
      <c r="A22" s="206"/>
      <c r="B22" s="207"/>
      <c r="C22" s="206"/>
      <c r="D22" s="206"/>
      <c r="E22" s="206"/>
      <c r="F22" s="206"/>
      <c r="G22" s="206"/>
      <c r="H22" s="206"/>
      <c r="I22" s="206"/>
      <c r="J22" s="206"/>
      <c r="K22" s="206"/>
      <c r="L22" s="206"/>
      <c r="M22" s="206"/>
      <c r="N22" s="206"/>
      <c r="O22" s="206"/>
      <c r="P22" s="206"/>
      <c r="Q22" s="214" t="s">
        <v>455</v>
      </c>
      <c r="R22" s="214"/>
      <c r="S22" s="214"/>
      <c r="T22" s="214" t="s">
        <v>456</v>
      </c>
      <c r="U22" s="214"/>
      <c r="V22" s="214"/>
      <c r="W22" s="214" t="s">
        <v>457</v>
      </c>
      <c r="X22" s="214"/>
      <c r="Y22" s="214"/>
      <c r="Z22" s="214" t="s">
        <v>458</v>
      </c>
      <c r="AA22" s="214"/>
      <c r="AB22" s="214"/>
      <c r="AC22" s="214" t="s">
        <v>459</v>
      </c>
      <c r="AD22" s="214"/>
      <c r="AE22" s="214"/>
      <c r="AF22" s="214" t="s">
        <v>460</v>
      </c>
      <c r="AG22" s="214"/>
      <c r="AH22" s="214"/>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c r="IQ22" s="233"/>
      <c r="IR22" s="233"/>
      <c r="IS22" s="233"/>
      <c r="IT22" s="233"/>
      <c r="IU22" s="233"/>
    </row>
    <row r="23" ht="34.5" customHeight="1">
      <c r="A23" s="206"/>
      <c r="B23" s="207"/>
      <c r="C23" s="207" t="str">
        <f>бс!C5</f>
        <v xml:space="preserve">2019 год</v>
      </c>
      <c r="D23" s="207" t="str">
        <f>бс!D5</f>
        <v xml:space="preserve">2018 год</v>
      </c>
      <c r="E23" s="207" t="str">
        <f>бс!E5</f>
        <v xml:space="preserve">2017 год</v>
      </c>
      <c r="F23" s="207" t="str">
        <f>бс!F5</f>
        <v xml:space="preserve">2016 год</v>
      </c>
      <c r="G23" s="207" t="str">
        <f>бс!G5</f>
        <v xml:space="preserve">2015 год</v>
      </c>
      <c r="H23" s="207" t="str">
        <f>бс!H5</f>
        <v xml:space="preserve">2014 год</v>
      </c>
      <c r="I23" s="207" t="str">
        <f>бс!I5</f>
        <v xml:space="preserve">2013 год</v>
      </c>
      <c r="J23" s="206" t="str">
        <f>C23</f>
        <v xml:space="preserve">2019 год</v>
      </c>
      <c r="K23" s="206" t="str">
        <f>D23</f>
        <v xml:space="preserve">2018 год</v>
      </c>
      <c r="L23" s="206" t="str">
        <f>E23</f>
        <v xml:space="preserve">2017 год</v>
      </c>
      <c r="M23" s="206" t="str">
        <f>F23</f>
        <v xml:space="preserve">2016 год</v>
      </c>
      <c r="N23" s="206" t="str">
        <f>G23</f>
        <v xml:space="preserve">2015 год</v>
      </c>
      <c r="O23" s="206" t="str">
        <f>H23</f>
        <v xml:space="preserve">2014 год</v>
      </c>
      <c r="P23" s="206" t="str">
        <f>I23</f>
        <v xml:space="preserve">2013 год</v>
      </c>
      <c r="Q23" s="234" t="str">
        <f>S4</f>
        <v xml:space="preserve">в тыс. руб.</v>
      </c>
      <c r="R23" s="234" t="str">
        <f>T4</f>
        <v xml:space="preserve">темп прироста, %</v>
      </c>
      <c r="S23" s="234" t="str">
        <f>U4</f>
        <v xml:space="preserve">в структуре, %</v>
      </c>
      <c r="T23" s="234" t="str">
        <f>V4</f>
        <v xml:space="preserve">в тыс. руб.</v>
      </c>
      <c r="U23" s="234" t="str">
        <f>W4</f>
        <v xml:space="preserve">темп прироста, %</v>
      </c>
      <c r="V23" s="234" t="str">
        <f>X4</f>
        <v xml:space="preserve">в структуре, %</v>
      </c>
      <c r="W23" s="234" t="str">
        <f>Y4</f>
        <v xml:space="preserve">в тыс. руб.</v>
      </c>
      <c r="X23" s="234" t="str">
        <f>Z4</f>
        <v xml:space="preserve">темп прироста, %</v>
      </c>
      <c r="Y23" s="234" t="str">
        <f>AA4</f>
        <v xml:space="preserve">в структуре, %</v>
      </c>
      <c r="Z23" s="234" t="str">
        <f>AB4</f>
        <v xml:space="preserve">в тыс. руб.</v>
      </c>
      <c r="AA23" s="234" t="str">
        <f>AC4</f>
        <v xml:space="preserve">темп прироста, %</v>
      </c>
      <c r="AB23" s="234" t="str">
        <f>AD4</f>
        <v xml:space="preserve">в структуре, %</v>
      </c>
      <c r="AC23" s="234" t="str">
        <f>AE4</f>
        <v xml:space="preserve">в тыс. руб.</v>
      </c>
      <c r="AD23" s="234" t="str">
        <f>AF4</f>
        <v xml:space="preserve">темп прироста, %</v>
      </c>
      <c r="AE23" s="234" t="str">
        <f>AG4</f>
        <v xml:space="preserve">в структуре, %</v>
      </c>
      <c r="AF23" s="234" t="str">
        <f>AH4</f>
        <v xml:space="preserve">в тыс. руб.</v>
      </c>
      <c r="AG23" s="234" t="str">
        <f>AI4</f>
        <v xml:space="preserve">темп прироста, %</v>
      </c>
      <c r="AH23" s="234" t="str">
        <f>AJ4</f>
        <v xml:space="preserve">в структуре, %</v>
      </c>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c r="IQ23" s="233"/>
      <c r="IR23" s="233"/>
      <c r="IS23" s="233"/>
      <c r="IT23" s="233"/>
      <c r="IU23" s="233"/>
    </row>
    <row r="24" ht="15.75" customHeight="1">
      <c r="A24" s="217" t="s">
        <v>6</v>
      </c>
      <c r="B24" s="218"/>
      <c r="C24" s="218"/>
      <c r="D24" s="218"/>
      <c r="E24" s="219"/>
      <c r="F24" s="220"/>
      <c r="G24" s="220"/>
      <c r="H24" s="220"/>
      <c r="I24" s="220"/>
      <c r="J24" s="220"/>
      <c r="K24" s="220"/>
      <c r="L24" s="220"/>
      <c r="M24" s="220"/>
      <c r="N24" s="220"/>
      <c r="O24" s="220"/>
      <c r="P24" s="221"/>
      <c r="Q24" s="220"/>
      <c r="R24" s="220"/>
      <c r="S24" s="220"/>
      <c r="T24" s="220"/>
      <c r="U24" s="220"/>
      <c r="V24" s="220"/>
      <c r="W24" s="220"/>
      <c r="X24" s="220"/>
      <c r="Y24" s="220"/>
      <c r="Z24" s="220"/>
      <c r="AA24" s="220"/>
      <c r="AB24" s="220"/>
      <c r="AC24" s="220"/>
      <c r="AD24" s="220"/>
      <c r="AE24" s="220"/>
      <c r="AF24" s="220"/>
      <c r="AG24" s="220"/>
      <c r="AH24" s="220"/>
    </row>
    <row r="25" ht="15.75" customHeight="1">
      <c r="A25" s="222" t="str">
        <f t="shared" ref="A25:A28" si="102">A6</f>
        <v xml:space="preserve">Труднореализуемые активы</v>
      </c>
      <c r="B25" s="224" t="s">
        <v>436</v>
      </c>
      <c r="C25" s="224">
        <f t="shared" ref="C25:C28" si="103">AVERAGE(C6,D6)</f>
        <v>17062074</v>
      </c>
      <c r="D25" s="224">
        <f t="shared" ref="D25:D28" si="104">AVERAGE(D6,E6)</f>
        <v>16893367</v>
      </c>
      <c r="E25" s="224">
        <f t="shared" ref="E25:E28" si="105">AVERAGE(E6,F6)</f>
        <v>14194149.5</v>
      </c>
      <c r="F25" s="224">
        <f t="shared" ref="F25:F28" si="106">AVERAGE(F6,G6)</f>
        <v>9906137.5</v>
      </c>
      <c r="G25" s="224">
        <f t="shared" ref="G25:G28" si="107">AVERAGE(G6,H6)</f>
        <v>11120926</v>
      </c>
      <c r="H25" s="224">
        <f t="shared" ref="H25:H28" si="108">AVERAGE(H6,I6)</f>
        <v>14701906.5</v>
      </c>
      <c r="I25" s="224">
        <f t="shared" ref="I25:I28" si="109">AVERAGE(I6,J6)</f>
        <v>19711089.5</v>
      </c>
      <c r="J25" s="235">
        <f t="shared" ref="J25:J28" si="110">C25/C$29*100</f>
        <v>35.267471461004597</v>
      </c>
      <c r="K25" s="235">
        <f t="shared" ref="K25:K28" si="111">D25/D$29*100</f>
        <v>33.893950394342902</v>
      </c>
      <c r="L25" s="235">
        <f t="shared" ref="L25:L28" si="112">E25/E$29*100</f>
        <v>25.906289665679399</v>
      </c>
      <c r="M25" s="235">
        <f t="shared" ref="M25:M28" si="113">F25/F$29*100</f>
        <v>18.2229599154346</v>
      </c>
      <c r="N25" s="235">
        <f t="shared" ref="N25:N28" si="114">G25/G$29*100</f>
        <v>23.002781718985901</v>
      </c>
      <c r="O25" s="235">
        <f t="shared" ref="O25:O28" si="115">H25/H$29*100</f>
        <v>36.842364036321399</v>
      </c>
      <c r="P25" s="236">
        <f t="shared" ref="P25:P28" si="116">I25/I$29*100</f>
        <v>62.438364331349099</v>
      </c>
      <c r="Q25" s="237">
        <f t="shared" ref="Q25:Q35" si="117">C25-D25</f>
        <v>168707</v>
      </c>
      <c r="R25" s="237">
        <f t="shared" ref="R25:R35" si="118">Q25/D25*100</f>
        <v>0.99865823077187599</v>
      </c>
      <c r="S25" s="218"/>
      <c r="T25" s="237">
        <f t="shared" ref="T25:T35" si="119">D25-E25</f>
        <v>2699217.5</v>
      </c>
      <c r="U25" s="237">
        <f t="shared" ref="U25:U35" si="120">T25/E25*100</f>
        <v>19.016408838021601</v>
      </c>
      <c r="V25" s="218"/>
      <c r="W25" s="237">
        <f t="shared" ref="W25:W35" si="121">E25-F25</f>
        <v>4288012</v>
      </c>
      <c r="X25" s="237">
        <f t="shared" ref="X25:X35" si="122">W25/F25*100</f>
        <v>43.2864171328129</v>
      </c>
      <c r="Y25" s="218"/>
      <c r="Z25" s="225">
        <f t="shared" ref="Z25:Z35" si="123">F25-G25</f>
        <v>-1214788.5</v>
      </c>
      <c r="AA25" s="225">
        <f t="shared" ref="AA25:AA35" si="124">Z25/G25*100</f>
        <v>-10.9234473819896</v>
      </c>
      <c r="AB25" s="218"/>
      <c r="AC25" s="225">
        <f t="shared" ref="AC25:AC35" si="125">G25-H25</f>
        <v>-3580980.5</v>
      </c>
      <c r="AD25" s="225">
        <f t="shared" ref="AD25:AD35" si="126">AC25/H25*100</f>
        <v>-24.357252578092499</v>
      </c>
      <c r="AE25" s="218"/>
      <c r="AF25" s="225">
        <f t="shared" ref="AF25:AF35" si="127">H25-I25</f>
        <v>-5009183</v>
      </c>
      <c r="AG25" s="225">
        <f t="shared" ref="AG25:AG35" si="128">AF25/I25*100</f>
        <v>-25.413019407171799</v>
      </c>
      <c r="AH25" s="225"/>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row>
    <row r="26" ht="15.75" customHeight="1">
      <c r="A26" s="222" t="str">
        <f t="shared" si="102"/>
        <v xml:space="preserve">Медленно реализуемые активы</v>
      </c>
      <c r="B26" s="224" t="s">
        <v>438</v>
      </c>
      <c r="C26" s="224">
        <f t="shared" si="103"/>
        <v>2931475</v>
      </c>
      <c r="D26" s="224">
        <f t="shared" si="104"/>
        <v>2807168.5</v>
      </c>
      <c r="E26" s="224">
        <f t="shared" si="105"/>
        <v>2756822</v>
      </c>
      <c r="F26" s="224">
        <f t="shared" si="106"/>
        <v>2387108</v>
      </c>
      <c r="G26" s="224">
        <f t="shared" si="107"/>
        <v>2142335.5</v>
      </c>
      <c r="H26" s="224">
        <f t="shared" si="108"/>
        <v>1791297.5</v>
      </c>
      <c r="I26" s="224">
        <f t="shared" si="109"/>
        <v>1778496.5</v>
      </c>
      <c r="J26" s="235">
        <f t="shared" si="110"/>
        <v>6.0593870886475099</v>
      </c>
      <c r="K26" s="235">
        <f t="shared" si="111"/>
        <v>5.63215313368626</v>
      </c>
      <c r="L26" s="235">
        <f t="shared" si="112"/>
        <v>5.0315821521196202</v>
      </c>
      <c r="M26" s="235">
        <f t="shared" si="113"/>
        <v>4.3912345652191096</v>
      </c>
      <c r="N26" s="235">
        <f t="shared" si="114"/>
        <v>4.4312565226433902</v>
      </c>
      <c r="O26" s="235">
        <f t="shared" si="115"/>
        <v>4.4889167668392203</v>
      </c>
      <c r="P26" s="236">
        <f t="shared" si="116"/>
        <v>5.6337024104643803</v>
      </c>
      <c r="Q26" s="237">
        <f t="shared" si="117"/>
        <v>124306.5</v>
      </c>
      <c r="R26" s="237">
        <f t="shared" si="118"/>
        <v>4.42818092323279</v>
      </c>
      <c r="S26" s="218"/>
      <c r="T26" s="237">
        <f t="shared" si="119"/>
        <v>50346.5</v>
      </c>
      <c r="U26" s="237">
        <f t="shared" si="120"/>
        <v>1.82625138656032</v>
      </c>
      <c r="V26" s="218"/>
      <c r="W26" s="237">
        <f t="shared" si="121"/>
        <v>369714</v>
      </c>
      <c r="X26" s="237">
        <f t="shared" si="122"/>
        <v>15.487946083713</v>
      </c>
      <c r="Y26" s="218"/>
      <c r="Z26" s="225">
        <f t="shared" si="123"/>
        <v>244772.5</v>
      </c>
      <c r="AA26" s="225">
        <f t="shared" si="124"/>
        <v>11.425498013733099</v>
      </c>
      <c r="AB26" s="218"/>
      <c r="AC26" s="225">
        <f t="shared" si="125"/>
        <v>351038</v>
      </c>
      <c r="AD26" s="225">
        <f t="shared" si="126"/>
        <v>19.596856468565399</v>
      </c>
      <c r="AE26" s="218"/>
      <c r="AF26" s="225">
        <f t="shared" si="127"/>
        <v>12801</v>
      </c>
      <c r="AG26" s="225">
        <f t="shared" si="128"/>
        <v>0.71976526240001004</v>
      </c>
      <c r="AH26" s="225"/>
    </row>
    <row r="27" ht="15.75" customHeight="1">
      <c r="A27" s="222" t="str">
        <f t="shared" si="102"/>
        <v xml:space="preserve">Быстрореализуемые активы</v>
      </c>
      <c r="B27" s="224" t="s">
        <v>440</v>
      </c>
      <c r="C27" s="224">
        <f t="shared" si="103"/>
        <v>3372233</v>
      </c>
      <c r="D27" s="224">
        <f t="shared" si="104"/>
        <v>3303178</v>
      </c>
      <c r="E27" s="224">
        <f t="shared" si="105"/>
        <v>3592015</v>
      </c>
      <c r="F27" s="224">
        <f t="shared" si="106"/>
        <v>4705685</v>
      </c>
      <c r="G27" s="224">
        <f t="shared" si="107"/>
        <v>5448259.5</v>
      </c>
      <c r="H27" s="224">
        <f t="shared" si="108"/>
        <v>4045986.5</v>
      </c>
      <c r="I27" s="224">
        <f t="shared" si="109"/>
        <v>2339066</v>
      </c>
      <c r="J27" s="235">
        <f t="shared" si="110"/>
        <v>6.9704381241903999</v>
      </c>
      <c r="K27" s="235">
        <f t="shared" si="111"/>
        <v>6.6273201355114599</v>
      </c>
      <c r="L27" s="235">
        <f t="shared" si="112"/>
        <v>6.5559251065705304</v>
      </c>
      <c r="M27" s="235">
        <f t="shared" si="113"/>
        <v>8.6564020668663009</v>
      </c>
      <c r="N27" s="235">
        <f t="shared" si="114"/>
        <v>11.2693065331872</v>
      </c>
      <c r="O27" s="235">
        <f t="shared" si="115"/>
        <v>10.1390732908716</v>
      </c>
      <c r="P27" s="236">
        <f t="shared" si="116"/>
        <v>7.4094055076494598</v>
      </c>
      <c r="Q27" s="237">
        <f t="shared" si="117"/>
        <v>69055</v>
      </c>
      <c r="R27" s="237">
        <f t="shared" si="118"/>
        <v>2.09056248255468</v>
      </c>
      <c r="S27" s="218"/>
      <c r="T27" s="237">
        <f t="shared" si="119"/>
        <v>-288837</v>
      </c>
      <c r="U27" s="237">
        <f t="shared" si="120"/>
        <v>-8.0410855745312908</v>
      </c>
      <c r="V27" s="218"/>
      <c r="W27" s="237">
        <f t="shared" si="121"/>
        <v>-1113670</v>
      </c>
      <c r="X27" s="237">
        <f t="shared" si="122"/>
        <v>-23.666480013005501</v>
      </c>
      <c r="Y27" s="218"/>
      <c r="Z27" s="225">
        <f t="shared" si="123"/>
        <v>-742574.5</v>
      </c>
      <c r="AA27" s="225">
        <f t="shared" si="124"/>
        <v>-13.629572893875601</v>
      </c>
      <c r="AB27" s="218"/>
      <c r="AC27" s="225">
        <f t="shared" si="125"/>
        <v>1402273</v>
      </c>
      <c r="AD27" s="225">
        <f t="shared" si="126"/>
        <v>34.658370708849397</v>
      </c>
      <c r="AE27" s="218"/>
      <c r="AF27" s="225">
        <f t="shared" si="127"/>
        <v>1706920.5</v>
      </c>
      <c r="AG27" s="225">
        <f t="shared" si="128"/>
        <v>72.974447920665796</v>
      </c>
      <c r="AH27" s="225"/>
    </row>
    <row r="28" ht="15.75" customHeight="1">
      <c r="A28" s="222" t="str">
        <f t="shared" si="102"/>
        <v xml:space="preserve">Наиболее ликвидные активы</v>
      </c>
      <c r="B28" s="224" t="s">
        <v>442</v>
      </c>
      <c r="C28" s="224">
        <f t="shared" si="103"/>
        <v>25013286</v>
      </c>
      <c r="D28" s="224">
        <f t="shared" si="104"/>
        <v>26838122</v>
      </c>
      <c r="E28" s="224">
        <f t="shared" si="105"/>
        <v>34247374</v>
      </c>
      <c r="F28" s="224">
        <f t="shared" si="106"/>
        <v>37361818.5</v>
      </c>
      <c r="G28" s="224">
        <f t="shared" si="107"/>
        <v>29634484</v>
      </c>
      <c r="H28" s="224">
        <f t="shared" si="108"/>
        <v>19365704</v>
      </c>
      <c r="I28" s="224">
        <f t="shared" si="109"/>
        <v>7740223.5</v>
      </c>
      <c r="J28" s="235">
        <f t="shared" si="110"/>
        <v>51.702703326157497</v>
      </c>
      <c r="K28" s="235">
        <f t="shared" si="111"/>
        <v>53.8465763364594</v>
      </c>
      <c r="L28" s="235">
        <f t="shared" si="112"/>
        <v>62.506203075630403</v>
      </c>
      <c r="M28" s="235">
        <f t="shared" si="113"/>
        <v>68.72940345248</v>
      </c>
      <c r="N28" s="235">
        <f t="shared" si="114"/>
        <v>61.296655225183599</v>
      </c>
      <c r="O28" s="235">
        <f t="shared" si="115"/>
        <v>48.529645905967797</v>
      </c>
      <c r="P28" s="236">
        <f t="shared" si="116"/>
        <v>24.5185277505371</v>
      </c>
      <c r="Q28" s="237">
        <f t="shared" si="117"/>
        <v>-1824836</v>
      </c>
      <c r="R28" s="237">
        <f t="shared" si="118"/>
        <v>-6.7994176343635404</v>
      </c>
      <c r="S28" s="218"/>
      <c r="T28" s="237">
        <f t="shared" si="119"/>
        <v>-7409252</v>
      </c>
      <c r="U28" s="237">
        <f t="shared" si="120"/>
        <v>-21.634511305888701</v>
      </c>
      <c r="V28" s="218"/>
      <c r="W28" s="237">
        <f t="shared" si="121"/>
        <v>-3114444.5</v>
      </c>
      <c r="X28" s="237">
        <f t="shared" si="122"/>
        <v>-8.3359017977136194</v>
      </c>
      <c r="Y28" s="218"/>
      <c r="Z28" s="225">
        <f t="shared" si="123"/>
        <v>7727334.5</v>
      </c>
      <c r="AA28" s="225">
        <f t="shared" si="124"/>
        <v>26.075481860929301</v>
      </c>
      <c r="AB28" s="218"/>
      <c r="AC28" s="225">
        <f t="shared" si="125"/>
        <v>10268780</v>
      </c>
      <c r="AD28" s="225">
        <f t="shared" si="126"/>
        <v>53.025596177655103</v>
      </c>
      <c r="AE28" s="218"/>
      <c r="AF28" s="225">
        <f t="shared" si="127"/>
        <v>11625480.5</v>
      </c>
      <c r="AG28" s="225">
        <f t="shared" si="128"/>
        <v>150.19566941445601</v>
      </c>
      <c r="AH28" s="225"/>
    </row>
    <row r="29" s="230" customFormat="1" ht="15.75" customHeight="1">
      <c r="A29" s="227" t="s">
        <v>443</v>
      </c>
      <c r="B29" s="228"/>
      <c r="C29" s="239">
        <f>SUM(C25:C28)</f>
        <v>48379068</v>
      </c>
      <c r="D29" s="239">
        <f>SUM(D25:D28)</f>
        <v>49841835.5</v>
      </c>
      <c r="E29" s="239">
        <f>SUM(E25:E28)</f>
        <v>54790360.5</v>
      </c>
      <c r="F29" s="239">
        <f>SUM(F25:F28)</f>
        <v>54360749</v>
      </c>
      <c r="G29" s="239">
        <f>SUM(G25:G28)</f>
        <v>48346005</v>
      </c>
      <c r="H29" s="239">
        <f>SUM(H25:H28)</f>
        <v>39904894.5</v>
      </c>
      <c r="I29" s="239">
        <f>SUM(I25:I28)</f>
        <v>31568875.5</v>
      </c>
      <c r="J29" s="240">
        <f>SUM(J25:J28)</f>
        <v>100</v>
      </c>
      <c r="K29" s="240">
        <f>SUM(K25:K28)</f>
        <v>100</v>
      </c>
      <c r="L29" s="240">
        <f>SUM(L25:L28)</f>
        <v>100</v>
      </c>
      <c r="M29" s="240">
        <f>SUM(M25:M28)</f>
        <v>100</v>
      </c>
      <c r="N29" s="240">
        <f>SUM(N25:N28)</f>
        <v>100</v>
      </c>
      <c r="O29" s="240">
        <f>SUM(O25:O28)</f>
        <v>100</v>
      </c>
      <c r="P29" s="241">
        <f>SUM(P25:P28)</f>
        <v>100</v>
      </c>
      <c r="Q29" s="237">
        <f t="shared" si="117"/>
        <v>-1462767.5</v>
      </c>
      <c r="R29" s="237">
        <f t="shared" si="118"/>
        <v>-2.9348186825904499</v>
      </c>
      <c r="S29" s="228"/>
      <c r="T29" s="237">
        <f t="shared" si="119"/>
        <v>-4948525</v>
      </c>
      <c r="U29" s="237">
        <f t="shared" si="120"/>
        <v>-9.0317438228938105</v>
      </c>
      <c r="V29" s="228"/>
      <c r="W29" s="237">
        <f t="shared" si="121"/>
        <v>429611.5</v>
      </c>
      <c r="X29" s="237">
        <f t="shared" si="122"/>
        <v>0.79029724185735595</v>
      </c>
      <c r="Y29" s="228"/>
      <c r="Z29" s="225">
        <f t="shared" si="123"/>
        <v>6014744</v>
      </c>
      <c r="AA29" s="225">
        <f t="shared" si="124"/>
        <v>12.441036234534799</v>
      </c>
      <c r="AB29" s="228"/>
      <c r="AC29" s="225">
        <f t="shared" si="125"/>
        <v>8441110.5</v>
      </c>
      <c r="AD29" s="225">
        <f t="shared" si="126"/>
        <v>21.153070583860298</v>
      </c>
      <c r="AE29" s="228"/>
      <c r="AF29" s="225">
        <f t="shared" si="127"/>
        <v>8336019</v>
      </c>
      <c r="AG29" s="225">
        <f t="shared" si="128"/>
        <v>26.405815436789901</v>
      </c>
      <c r="AH29" s="225"/>
      <c r="IV29" s="242"/>
    </row>
    <row r="30" ht="15.75" customHeight="1">
      <c r="A30" s="217" t="s">
        <v>36</v>
      </c>
      <c r="B30" s="223"/>
      <c r="C30" s="223"/>
      <c r="D30" s="223"/>
      <c r="E30" s="223"/>
      <c r="F30" s="223"/>
      <c r="G30" s="223"/>
      <c r="H30" s="223"/>
      <c r="I30" s="223"/>
      <c r="J30" s="235"/>
      <c r="K30" s="235"/>
      <c r="L30" s="235"/>
      <c r="M30" s="235"/>
      <c r="N30" s="235"/>
      <c r="O30" s="235"/>
      <c r="P30" s="236"/>
      <c r="Q30" s="237"/>
      <c r="R30" s="237"/>
      <c r="S30" s="218"/>
      <c r="T30" s="237"/>
      <c r="U30" s="237"/>
      <c r="V30" s="218"/>
      <c r="W30" s="237"/>
      <c r="X30" s="237"/>
      <c r="Y30" s="218"/>
      <c r="Z30" s="225"/>
      <c r="AA30" s="225"/>
      <c r="AB30" s="218"/>
      <c r="AC30" s="225"/>
      <c r="AD30" s="225"/>
      <c r="AE30" s="218"/>
      <c r="AF30" s="225"/>
      <c r="AG30" s="225"/>
      <c r="AH30" s="225"/>
    </row>
    <row r="31" ht="15.75" customHeight="1">
      <c r="A31" s="222" t="str">
        <f t="shared" ref="A31:A34" si="129">A12</f>
        <v xml:space="preserve">Бессрочные пассивы</v>
      </c>
      <c r="B31" s="224" t="s">
        <v>445</v>
      </c>
      <c r="C31" s="224">
        <f t="shared" ref="C31:C34" si="130">AVERAGE(C12,D12)</f>
        <v>43081363</v>
      </c>
      <c r="D31" s="224">
        <f t="shared" ref="D31:D34" si="131">AVERAGE(D12,E12)</f>
        <v>46386334</v>
      </c>
      <c r="E31" s="224">
        <f t="shared" ref="E31:E34" si="132">AVERAGE(E12,F12)</f>
        <v>44142194</v>
      </c>
      <c r="F31" s="224">
        <f t="shared" ref="F31:F34" si="133">AVERAGE(F12,G12)</f>
        <v>38083303</v>
      </c>
      <c r="G31" s="224">
        <f t="shared" ref="G31:G34" si="134">AVERAGE(G12,H12)</f>
        <v>30523166</v>
      </c>
      <c r="H31" s="224">
        <f t="shared" ref="H31:H34" si="135">AVERAGE(H12,I12)</f>
        <v>26020781</v>
      </c>
      <c r="I31" s="224">
        <f t="shared" ref="I31:I34" si="136">AVERAGE(I12,J12)</f>
        <v>23984206.5</v>
      </c>
      <c r="J31" s="235">
        <f t="shared" ref="J31:J34" si="137">C31/C$35*100</f>
        <v>89.049592687482104</v>
      </c>
      <c r="K31" s="235">
        <f t="shared" ref="K31:K34" si="138">D31/D$35*100</f>
        <v>93.067066119585405</v>
      </c>
      <c r="L31" s="235">
        <f t="shared" ref="L31:L34" si="139">E31/E$35*100</f>
        <v>80.565620662415597</v>
      </c>
      <c r="M31" s="235">
        <f t="shared" ref="M31:M34" si="140">F31/F$35*100</f>
        <v>70.056619344961604</v>
      </c>
      <c r="N31" s="235">
        <f t="shared" ref="N31:N34" si="141">G31/G$35*100</f>
        <v>63.1348257213807</v>
      </c>
      <c r="O31" s="235">
        <f t="shared" ref="O31:O34" si="142">H31/H$35*100</f>
        <v>65.206991087271305</v>
      </c>
      <c r="P31" s="235">
        <f t="shared" ref="P31:P34" si="143">I31/I$35*100</f>
        <v>75.974218657234104</v>
      </c>
      <c r="Q31" s="237">
        <f t="shared" si="117"/>
        <v>-3304971</v>
      </c>
      <c r="R31" s="237">
        <f t="shared" si="118"/>
        <v>-7.1248807892428001</v>
      </c>
      <c r="S31" s="218"/>
      <c r="T31" s="237">
        <f t="shared" si="119"/>
        <v>2244140</v>
      </c>
      <c r="U31" s="237">
        <f t="shared" si="120"/>
        <v>5.0838886712336997</v>
      </c>
      <c r="V31" s="218"/>
      <c r="W31" s="237">
        <f t="shared" si="121"/>
        <v>6058891</v>
      </c>
      <c r="X31" s="237">
        <f t="shared" si="122"/>
        <v>15.9095732846492</v>
      </c>
      <c r="Y31" s="218"/>
      <c r="Z31" s="225">
        <f t="shared" si="123"/>
        <v>7560137</v>
      </c>
      <c r="AA31" s="225">
        <f t="shared" si="124"/>
        <v>24.768521718880699</v>
      </c>
      <c r="AB31" s="218"/>
      <c r="AC31" s="225">
        <f t="shared" si="125"/>
        <v>4502385</v>
      </c>
      <c r="AD31" s="225">
        <f t="shared" si="126"/>
        <v>17.303035600660898</v>
      </c>
      <c r="AE31" s="218"/>
      <c r="AF31" s="225">
        <f t="shared" si="127"/>
        <v>2036574.5</v>
      </c>
      <c r="AG31" s="225">
        <f t="shared" si="128"/>
        <v>8.4913148992442196</v>
      </c>
      <c r="AH31" s="225"/>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row>
    <row r="32" ht="15.75" customHeight="1">
      <c r="A32" s="222" t="str">
        <f t="shared" si="129"/>
        <v xml:space="preserve">Долгосрочные пассивы</v>
      </c>
      <c r="B32" s="224" t="s">
        <v>447</v>
      </c>
      <c r="C32" s="224">
        <f t="shared" si="130"/>
        <v>613551</v>
      </c>
      <c r="D32" s="224">
        <f t="shared" si="131"/>
        <v>485837.5</v>
      </c>
      <c r="E32" s="224">
        <f t="shared" si="132"/>
        <v>1840568.5</v>
      </c>
      <c r="F32" s="224">
        <f t="shared" si="133"/>
        <v>7234583</v>
      </c>
      <c r="G32" s="224">
        <f t="shared" si="134"/>
        <v>9919025</v>
      </c>
      <c r="H32" s="224">
        <f t="shared" si="135"/>
        <v>6832018</v>
      </c>
      <c r="I32" s="224">
        <f t="shared" si="136"/>
        <v>5300913.5</v>
      </c>
      <c r="J32" s="235">
        <f t="shared" si="137"/>
        <v>1.2682158325166599</v>
      </c>
      <c r="K32" s="235">
        <f t="shared" si="138"/>
        <v>0.97475844363717301</v>
      </c>
      <c r="L32" s="235">
        <f t="shared" si="139"/>
        <v>3.35929255293</v>
      </c>
      <c r="M32" s="235">
        <f t="shared" si="140"/>
        <v>13.3084682111352</v>
      </c>
      <c r="N32" s="235">
        <f t="shared" si="141"/>
        <v>20.516741765943198</v>
      </c>
      <c r="O32" s="235">
        <f t="shared" si="142"/>
        <v>17.1207519418451</v>
      </c>
      <c r="P32" s="235">
        <f t="shared" si="143"/>
        <v>16.791581632358099</v>
      </c>
      <c r="Q32" s="237">
        <f t="shared" si="117"/>
        <v>127713.5</v>
      </c>
      <c r="R32" s="237">
        <f t="shared" si="118"/>
        <v>26.2872874160599</v>
      </c>
      <c r="S32" s="218"/>
      <c r="T32" s="237">
        <f t="shared" si="119"/>
        <v>-1354731</v>
      </c>
      <c r="U32" s="237">
        <f t="shared" si="120"/>
        <v>-73.603943564176006</v>
      </c>
      <c r="V32" s="218"/>
      <c r="W32" s="237">
        <f t="shared" si="121"/>
        <v>-5394014.5</v>
      </c>
      <c r="X32" s="237">
        <f t="shared" si="122"/>
        <v>-74.558747891896502</v>
      </c>
      <c r="Y32" s="218"/>
      <c r="Z32" s="225">
        <f t="shared" si="123"/>
        <v>-2684442</v>
      </c>
      <c r="AA32" s="225">
        <f t="shared" si="124"/>
        <v>-27.063567235691</v>
      </c>
      <c r="AB32" s="218"/>
      <c r="AC32" s="225">
        <f t="shared" si="125"/>
        <v>3087007</v>
      </c>
      <c r="AD32" s="225">
        <f t="shared" si="126"/>
        <v>45.1844096429488</v>
      </c>
      <c r="AE32" s="218"/>
      <c r="AF32" s="225">
        <f t="shared" si="127"/>
        <v>1531104.5</v>
      </c>
      <c r="AG32" s="225">
        <f t="shared" si="128"/>
        <v>28.883785785223601</v>
      </c>
      <c r="AH32" s="225"/>
    </row>
    <row r="33" ht="15.75" customHeight="1">
      <c r="A33" s="222" t="str">
        <f t="shared" si="129"/>
        <v xml:space="preserve">Краткосрочные пассивы</v>
      </c>
      <c r="B33" s="224" t="s">
        <v>449</v>
      </c>
      <c r="C33" s="224">
        <f t="shared" si="130"/>
        <v>233446.5</v>
      </c>
      <c r="D33" s="224">
        <f t="shared" si="131"/>
        <v>633871</v>
      </c>
      <c r="E33" s="224">
        <f t="shared" si="132"/>
        <v>5998967.5</v>
      </c>
      <c r="F33" s="224">
        <f t="shared" si="133"/>
        <v>5557996</v>
      </c>
      <c r="G33" s="224">
        <f t="shared" si="134"/>
        <v>4926385.5</v>
      </c>
      <c r="H33" s="224">
        <f t="shared" si="135"/>
        <v>5210558.5</v>
      </c>
      <c r="I33" s="224">
        <f t="shared" si="136"/>
        <v>723104</v>
      </c>
      <c r="J33" s="235">
        <f t="shared" si="137"/>
        <v>0.48253616626099499</v>
      </c>
      <c r="K33" s="235">
        <f t="shared" si="138"/>
        <v>1.2717649613847</v>
      </c>
      <c r="L33" s="235">
        <f t="shared" si="139"/>
        <v>10.9489469411321</v>
      </c>
      <c r="M33" s="235">
        <f t="shared" si="140"/>
        <v>10.224281493987499</v>
      </c>
      <c r="N33" s="235">
        <f t="shared" si="141"/>
        <v>10.1898502265079</v>
      </c>
      <c r="O33" s="235">
        <f t="shared" si="142"/>
        <v>13.057442114024401</v>
      </c>
      <c r="P33" s="235">
        <f t="shared" si="143"/>
        <v>2.2905598902311199</v>
      </c>
      <c r="Q33" s="237">
        <f t="shared" si="117"/>
        <v>-400424.5</v>
      </c>
      <c r="R33" s="237">
        <f t="shared" si="118"/>
        <v>-63.171291950570399</v>
      </c>
      <c r="S33" s="218"/>
      <c r="T33" s="237">
        <f t="shared" si="119"/>
        <v>-5365096.5</v>
      </c>
      <c r="U33" s="237">
        <f t="shared" si="120"/>
        <v>-89.433665043192903</v>
      </c>
      <c r="V33" s="218"/>
      <c r="W33" s="237">
        <f t="shared" si="121"/>
        <v>440971.5</v>
      </c>
      <c r="X33" s="237">
        <f t="shared" si="122"/>
        <v>7.9340017517105101</v>
      </c>
      <c r="Y33" s="218"/>
      <c r="Z33" s="225">
        <f t="shared" si="123"/>
        <v>631610.5</v>
      </c>
      <c r="AA33" s="225">
        <f t="shared" si="124"/>
        <v>12.820971886995</v>
      </c>
      <c r="AB33" s="218"/>
      <c r="AC33" s="225">
        <f t="shared" si="125"/>
        <v>-284173</v>
      </c>
      <c r="AD33" s="225">
        <f t="shared" si="126"/>
        <v>-5.4537915657217901</v>
      </c>
      <c r="AE33" s="218"/>
      <c r="AF33" s="225">
        <f t="shared" si="127"/>
        <v>4487454.5</v>
      </c>
      <c r="AG33" s="225">
        <f t="shared" si="128"/>
        <v>620.58217075275502</v>
      </c>
      <c r="AH33" s="225"/>
    </row>
    <row r="34" ht="15.75" customHeight="1">
      <c r="A34" s="222" t="str">
        <f t="shared" si="129"/>
        <v xml:space="preserve">Наиболее срочные обязательства</v>
      </c>
      <c r="B34" s="224" t="s">
        <v>451</v>
      </c>
      <c r="C34" s="224">
        <f t="shared" si="130"/>
        <v>4450707.5</v>
      </c>
      <c r="D34" s="224">
        <f t="shared" si="131"/>
        <v>2335793</v>
      </c>
      <c r="E34" s="224">
        <f t="shared" si="132"/>
        <v>2808630.5</v>
      </c>
      <c r="F34" s="224">
        <f t="shared" si="133"/>
        <v>3484867</v>
      </c>
      <c r="G34" s="224">
        <f t="shared" si="134"/>
        <v>2977428.5</v>
      </c>
      <c r="H34" s="224">
        <f t="shared" si="135"/>
        <v>1841537</v>
      </c>
      <c r="I34" s="224">
        <f t="shared" si="136"/>
        <v>1560651.5</v>
      </c>
      <c r="J34" s="235">
        <f t="shared" si="137"/>
        <v>9.1996553137402302</v>
      </c>
      <c r="K34" s="235">
        <f t="shared" si="138"/>
        <v>4.6864104753927096</v>
      </c>
      <c r="L34" s="235">
        <f t="shared" si="139"/>
        <v>5.1261398435222896</v>
      </c>
      <c r="M34" s="235">
        <f t="shared" si="140"/>
        <v>6.4106309499157197</v>
      </c>
      <c r="N34" s="235">
        <f t="shared" si="141"/>
        <v>6.1585822861682198</v>
      </c>
      <c r="O34" s="235">
        <f t="shared" si="142"/>
        <v>4.6148148568592298</v>
      </c>
      <c r="P34" s="235">
        <f t="shared" si="143"/>
        <v>4.9436398201766796</v>
      </c>
      <c r="Q34" s="237">
        <f t="shared" si="117"/>
        <v>2114914.5</v>
      </c>
      <c r="R34" s="237">
        <f t="shared" si="118"/>
        <v>90.543746813180803</v>
      </c>
      <c r="S34" s="218"/>
      <c r="T34" s="237">
        <f t="shared" si="119"/>
        <v>-472837.5</v>
      </c>
      <c r="U34" s="237">
        <f t="shared" si="120"/>
        <v>-16.835162190256099</v>
      </c>
      <c r="V34" s="218"/>
      <c r="W34" s="237">
        <f t="shared" si="121"/>
        <v>-676236.5</v>
      </c>
      <c r="X34" s="237">
        <f t="shared" si="122"/>
        <v>-19.404944291991601</v>
      </c>
      <c r="Y34" s="218"/>
      <c r="Z34" s="225">
        <f t="shared" si="123"/>
        <v>507438.5</v>
      </c>
      <c r="AA34" s="225">
        <f t="shared" si="124"/>
        <v>17.042844185846999</v>
      </c>
      <c r="AB34" s="218"/>
      <c r="AC34" s="225">
        <f t="shared" si="125"/>
        <v>1135891.5</v>
      </c>
      <c r="AD34" s="225">
        <f t="shared" si="126"/>
        <v>61.6817093547401</v>
      </c>
      <c r="AE34" s="218"/>
      <c r="AF34" s="225">
        <f t="shared" si="127"/>
        <v>280885.5</v>
      </c>
      <c r="AG34" s="225">
        <f t="shared" si="128"/>
        <v>17.997964311699299</v>
      </c>
      <c r="AH34" s="225"/>
    </row>
    <row r="35" s="230" customFormat="1" ht="15.75" customHeight="1">
      <c r="A35" s="227" t="s">
        <v>443</v>
      </c>
      <c r="B35" s="228"/>
      <c r="C35" s="239">
        <f>SUM(C31:C34)</f>
        <v>48379068</v>
      </c>
      <c r="D35" s="239">
        <f>SUM(D31:D34)</f>
        <v>49841835.5</v>
      </c>
      <c r="E35" s="239">
        <f>SUM(E31:E34)</f>
        <v>54790360.5</v>
      </c>
      <c r="F35" s="239">
        <f>SUM(F31:F34)</f>
        <v>54360749</v>
      </c>
      <c r="G35" s="239">
        <f>SUM(G31:G34)</f>
        <v>48346005</v>
      </c>
      <c r="H35" s="239">
        <f>SUM(H31:H34)</f>
        <v>39904894.5</v>
      </c>
      <c r="I35" s="239">
        <f>SUM(I31:I34)</f>
        <v>31568875.5</v>
      </c>
      <c r="J35" s="243">
        <f>SUM(J31:J34)</f>
        <v>100</v>
      </c>
      <c r="K35" s="243">
        <f>SUM(K31:K34)</f>
        <v>100</v>
      </c>
      <c r="L35" s="243">
        <f>SUM(L31:L34)</f>
        <v>100</v>
      </c>
      <c r="M35" s="243">
        <f>SUM(M31:M34)</f>
        <v>100</v>
      </c>
      <c r="N35" s="243">
        <f>SUM(N31:N34)</f>
        <v>100</v>
      </c>
      <c r="O35" s="243">
        <f>SUM(O31:O34)</f>
        <v>100</v>
      </c>
      <c r="P35" s="244">
        <f>SUM(P31:P34)</f>
        <v>100</v>
      </c>
      <c r="Q35" s="237">
        <f t="shared" si="117"/>
        <v>-1462767.5</v>
      </c>
      <c r="R35" s="237">
        <f t="shared" si="118"/>
        <v>-2.9348186825904499</v>
      </c>
      <c r="S35" s="228"/>
      <c r="T35" s="237">
        <f t="shared" si="119"/>
        <v>-4948525</v>
      </c>
      <c r="U35" s="237">
        <f t="shared" si="120"/>
        <v>-9.0317438228938105</v>
      </c>
      <c r="V35" s="228"/>
      <c r="W35" s="237">
        <f t="shared" si="121"/>
        <v>429611.5</v>
      </c>
      <c r="X35" s="237">
        <f t="shared" si="122"/>
        <v>0.79029724185735595</v>
      </c>
      <c r="Y35" s="228"/>
      <c r="Z35" s="225">
        <f t="shared" si="123"/>
        <v>6014744</v>
      </c>
      <c r="AA35" s="225">
        <f t="shared" si="124"/>
        <v>12.441036234534799</v>
      </c>
      <c r="AB35" s="228"/>
      <c r="AC35" s="225">
        <f t="shared" si="125"/>
        <v>8441110.5</v>
      </c>
      <c r="AD35" s="225">
        <f t="shared" si="126"/>
        <v>21.153070583860298</v>
      </c>
      <c r="AE35" s="228"/>
      <c r="AF35" s="225">
        <f t="shared" si="127"/>
        <v>8336019</v>
      </c>
      <c r="AG35" s="225">
        <f t="shared" si="128"/>
        <v>26.405815436789901</v>
      </c>
      <c r="AH35" s="225"/>
      <c r="IV35" s="242"/>
    </row>
    <row r="36" ht="15">
      <c r="A36" s="213" t="s">
        <v>452</v>
      </c>
      <c r="C36" s="231"/>
      <c r="D36" s="231"/>
      <c r="E36" s="231"/>
      <c r="F36" s="231"/>
      <c r="G36" s="231"/>
      <c r="H36" s="232"/>
      <c r="I36" s="232"/>
      <c r="J36" s="232"/>
    </row>
    <row r="37" ht="15">
      <c r="A37" s="204" t="s">
        <v>453</v>
      </c>
    </row>
    <row r="38" ht="15"/>
    <row r="39" ht="15">
      <c r="A39" s="205" t="s">
        <v>461</v>
      </c>
    </row>
    <row r="40" ht="15">
      <c r="A40" s="205" t="s">
        <v>462</v>
      </c>
    </row>
    <row r="41" ht="15.75" customHeight="1">
      <c r="A41" s="207" t="s">
        <v>463</v>
      </c>
      <c r="B41" s="209" t="str">
        <f>Q22</f>
        <v>2019/2018</v>
      </c>
      <c r="C41" s="209"/>
      <c r="D41" s="209"/>
      <c r="E41" s="209"/>
      <c r="F41" s="209"/>
      <c r="G41" s="245" t="s">
        <v>456</v>
      </c>
      <c r="H41" s="245"/>
      <c r="I41" s="245"/>
      <c r="J41" s="245"/>
      <c r="K41" s="245"/>
      <c r="L41" s="245" t="s">
        <v>457</v>
      </c>
      <c r="M41" s="245"/>
      <c r="N41" s="245"/>
      <c r="O41" s="245"/>
      <c r="P41" s="245"/>
      <c r="Q41" s="245" t="s">
        <v>458</v>
      </c>
      <c r="R41" s="245"/>
      <c r="S41" s="245"/>
      <c r="T41" s="245"/>
      <c r="U41" s="245"/>
      <c r="V41" s="245" t="s">
        <v>459</v>
      </c>
      <c r="W41" s="245"/>
      <c r="X41" s="245"/>
      <c r="Y41" s="245"/>
      <c r="Z41" s="245"/>
      <c r="AA41" s="245" t="s">
        <v>460</v>
      </c>
      <c r="AB41" s="245"/>
      <c r="AC41" s="245"/>
      <c r="AD41" s="245"/>
      <c r="AE41" s="245"/>
    </row>
    <row r="42" ht="42.100000000000001" customHeight="1">
      <c r="A42" s="207"/>
      <c r="B42" s="246" t="s">
        <v>464</v>
      </c>
      <c r="C42" s="246" t="s">
        <v>465</v>
      </c>
      <c r="D42" s="207" t="s">
        <v>466</v>
      </c>
      <c r="E42" s="207"/>
      <c r="F42" s="207"/>
      <c r="G42" s="246" t="s">
        <v>464</v>
      </c>
      <c r="H42" s="246" t="s">
        <v>465</v>
      </c>
      <c r="I42" s="207" t="s">
        <v>466</v>
      </c>
      <c r="J42" s="207"/>
      <c r="K42" s="207"/>
      <c r="L42" s="246" t="s">
        <v>464</v>
      </c>
      <c r="M42" s="246" t="s">
        <v>465</v>
      </c>
      <c r="N42" s="207" t="s">
        <v>466</v>
      </c>
      <c r="O42" s="207"/>
      <c r="P42" s="207"/>
      <c r="Q42" s="246" t="s">
        <v>464</v>
      </c>
      <c r="R42" s="246" t="s">
        <v>465</v>
      </c>
      <c r="S42" s="207" t="s">
        <v>466</v>
      </c>
      <c r="T42" s="207"/>
      <c r="U42" s="207"/>
      <c r="V42" s="246" t="s">
        <v>464</v>
      </c>
      <c r="W42" s="246" t="s">
        <v>465</v>
      </c>
      <c r="X42" s="207" t="s">
        <v>466</v>
      </c>
      <c r="Y42" s="207"/>
      <c r="Z42" s="207"/>
      <c r="AA42" s="246" t="s">
        <v>464</v>
      </c>
      <c r="AB42" s="246" t="s">
        <v>465</v>
      </c>
      <c r="AC42" s="207" t="s">
        <v>466</v>
      </c>
      <c r="AD42" s="207"/>
      <c r="AE42" s="207"/>
    </row>
    <row r="43" ht="15.75" customHeight="1">
      <c r="A43" s="222" t="s">
        <v>467</v>
      </c>
      <c r="B43" s="247">
        <f>R29</f>
        <v>-2.9348186825904499</v>
      </c>
      <c r="C43" s="248">
        <f>(('2'!C7-'2'!D7)/'2'!D7)*100</f>
        <v>-20.270821911941301</v>
      </c>
      <c r="D43" s="249" t="str">
        <f t="shared" ref="D43:D47" si="144">IF(B43&gt;C$43,"деятельность не эффективна","деятельность эффективна")</f>
        <v xml:space="preserve">деятельность не эффективна</v>
      </c>
      <c r="E43" s="249"/>
      <c r="F43" s="249"/>
      <c r="G43" s="247">
        <f>U29</f>
        <v>-9.0317438228938105</v>
      </c>
      <c r="H43" s="248">
        <f>(('2'!D7-'2'!E7)/'2'!E7)*100</f>
        <v>13.1418876225866</v>
      </c>
      <c r="I43" s="249" t="str">
        <f t="shared" ref="I43:I47" si="145">IF(G43&gt;H$43,"деятельность не эффективна","деятельность эффективна")</f>
        <v xml:space="preserve">деятельность эффективна</v>
      </c>
      <c r="J43" s="249"/>
      <c r="K43" s="249"/>
      <c r="L43" s="247">
        <f>X29</f>
        <v>0.79029724185735595</v>
      </c>
      <c r="M43" s="248">
        <f>(('2'!E7-'2'!F7)/'2'!F7)*100</f>
        <v>3.2126526197922098</v>
      </c>
      <c r="N43" s="249" t="str">
        <f t="shared" ref="N43:N47" si="146">IF(L43&gt;M$43,"деятельность не эффективна","деятельность эффективна")</f>
        <v xml:space="preserve">деятельность эффективна</v>
      </c>
      <c r="O43" s="249"/>
      <c r="P43" s="249"/>
      <c r="Q43" s="247">
        <f>AA29</f>
        <v>12.441036234534799</v>
      </c>
      <c r="R43" s="248">
        <f>(('2'!F7-'2'!G7)/'2'!G7)*100</f>
        <v>-12.760483385522001</v>
      </c>
      <c r="S43" s="249" t="str">
        <f t="shared" ref="S43:S47" si="147">IF(Q43&gt;R$43,"деятельность не эффективна","деятельность эффективна")</f>
        <v xml:space="preserve">деятельность не эффективна</v>
      </c>
      <c r="T43" s="249"/>
      <c r="U43" s="249"/>
      <c r="V43" s="247">
        <f>AD29</f>
        <v>21.153070583860298</v>
      </c>
      <c r="W43" s="248">
        <f>(('2'!G7-'2'!H7)/'2'!H7)*100</f>
        <v>65.239371271331194</v>
      </c>
      <c r="X43" s="249" t="str">
        <f t="shared" ref="X43:X47" si="148">IF(V43&gt;W$43,"деятельность не эффективна","деятельность эффективна")</f>
        <v xml:space="preserve">деятельность эффективна</v>
      </c>
      <c r="Y43" s="249"/>
      <c r="Z43" s="249"/>
      <c r="AA43" s="247">
        <f>AG29</f>
        <v>26.405815436789901</v>
      </c>
      <c r="AB43" s="248">
        <f>(('2'!H7-'2'!I7)/'2'!I7)*100</f>
        <v>-7.0769344561151399</v>
      </c>
      <c r="AC43" s="249" t="str">
        <f t="shared" ref="AC43:AC47" si="149">IF(AA43&gt;AB$43,"деятельность не эффективна","деятельность эффективна")</f>
        <v xml:space="preserve">деятельность не эффективна</v>
      </c>
      <c r="AD43" s="249"/>
      <c r="AE43" s="249"/>
    </row>
    <row r="44" ht="15.75" customHeight="1">
      <c r="A44" s="222" t="s">
        <v>468</v>
      </c>
      <c r="B44" s="247">
        <f t="shared" ref="B44:B47" si="150">R25</f>
        <v>0.99865823077187599</v>
      </c>
      <c r="C44" s="248"/>
      <c r="D44" s="249" t="str">
        <f t="shared" si="144"/>
        <v xml:space="preserve">деятельность не эффективна</v>
      </c>
      <c r="E44" s="249"/>
      <c r="F44" s="249"/>
      <c r="G44" s="247">
        <f t="shared" ref="G44:G47" si="151">U25</f>
        <v>19.016408838021601</v>
      </c>
      <c r="H44" s="248"/>
      <c r="I44" s="249" t="str">
        <f t="shared" si="145"/>
        <v xml:space="preserve">деятельность не эффективна</v>
      </c>
      <c r="J44" s="249"/>
      <c r="K44" s="249"/>
      <c r="L44" s="247">
        <f t="shared" ref="L44:L47" si="152">X25</f>
        <v>43.2864171328129</v>
      </c>
      <c r="M44" s="248"/>
      <c r="N44" s="249" t="str">
        <f t="shared" si="146"/>
        <v xml:space="preserve">деятельность не эффективна</v>
      </c>
      <c r="O44" s="249"/>
      <c r="P44" s="249"/>
      <c r="Q44" s="247">
        <f t="shared" ref="Q44:Q47" si="153">AA25</f>
        <v>-10.9234473819896</v>
      </c>
      <c r="R44" s="248"/>
      <c r="S44" s="249" t="str">
        <f t="shared" si="147"/>
        <v xml:space="preserve">деятельность не эффективна</v>
      </c>
      <c r="T44" s="249"/>
      <c r="U44" s="249"/>
      <c r="V44" s="247">
        <f t="shared" ref="V44:V47" si="154">AD25</f>
        <v>-24.357252578092499</v>
      </c>
      <c r="W44" s="248"/>
      <c r="X44" s="249" t="str">
        <f t="shared" si="148"/>
        <v xml:space="preserve">деятельность эффективна</v>
      </c>
      <c r="Y44" s="249"/>
      <c r="Z44" s="249"/>
      <c r="AA44" s="247">
        <f t="shared" ref="AA44:AA47" si="155">AG25</f>
        <v>-25.413019407171799</v>
      </c>
      <c r="AB44" s="248"/>
      <c r="AC44" s="249" t="str">
        <f t="shared" si="149"/>
        <v xml:space="preserve">деятельность эффективна</v>
      </c>
      <c r="AD44" s="249"/>
      <c r="AE44" s="249"/>
    </row>
    <row r="45" ht="15.75" customHeight="1">
      <c r="A45" s="222" t="s">
        <v>469</v>
      </c>
      <c r="B45" s="247">
        <f t="shared" si="150"/>
        <v>4.42818092323279</v>
      </c>
      <c r="C45" s="248"/>
      <c r="D45" s="249" t="str">
        <f t="shared" si="144"/>
        <v xml:space="preserve">деятельность не эффективна</v>
      </c>
      <c r="E45" s="249"/>
      <c r="F45" s="249"/>
      <c r="G45" s="247">
        <f t="shared" si="151"/>
        <v>1.82625138656032</v>
      </c>
      <c r="H45" s="248"/>
      <c r="I45" s="249" t="str">
        <f t="shared" si="145"/>
        <v xml:space="preserve">деятельность эффективна</v>
      </c>
      <c r="J45" s="249"/>
      <c r="K45" s="249"/>
      <c r="L45" s="247">
        <f t="shared" si="152"/>
        <v>15.487946083713</v>
      </c>
      <c r="M45" s="248"/>
      <c r="N45" s="249" t="str">
        <f t="shared" si="146"/>
        <v xml:space="preserve">деятельность не эффективна</v>
      </c>
      <c r="O45" s="249"/>
      <c r="P45" s="249"/>
      <c r="Q45" s="247">
        <f t="shared" si="153"/>
        <v>11.425498013733099</v>
      </c>
      <c r="R45" s="248"/>
      <c r="S45" s="249" t="str">
        <f t="shared" si="147"/>
        <v xml:space="preserve">деятельность не эффективна</v>
      </c>
      <c r="T45" s="249"/>
      <c r="U45" s="249"/>
      <c r="V45" s="247">
        <f t="shared" si="154"/>
        <v>19.596856468565399</v>
      </c>
      <c r="W45" s="248"/>
      <c r="X45" s="249" t="str">
        <f t="shared" si="148"/>
        <v xml:space="preserve">деятельность эффективна</v>
      </c>
      <c r="Y45" s="249"/>
      <c r="Z45" s="249"/>
      <c r="AA45" s="247">
        <f t="shared" si="155"/>
        <v>0.71976526240001004</v>
      </c>
      <c r="AB45" s="248"/>
      <c r="AC45" s="249" t="str">
        <f t="shared" si="149"/>
        <v xml:space="preserve">деятельность не эффективна</v>
      </c>
      <c r="AD45" s="249"/>
      <c r="AE45" s="249"/>
    </row>
    <row r="46" ht="15.75" customHeight="1">
      <c r="A46" s="222" t="s">
        <v>470</v>
      </c>
      <c r="B46" s="247">
        <f t="shared" si="150"/>
        <v>2.09056248255468</v>
      </c>
      <c r="C46" s="248"/>
      <c r="D46" s="249" t="str">
        <f t="shared" si="144"/>
        <v xml:space="preserve">деятельность не эффективна</v>
      </c>
      <c r="E46" s="249"/>
      <c r="F46" s="249"/>
      <c r="G46" s="247">
        <f t="shared" si="151"/>
        <v>-8.0410855745312908</v>
      </c>
      <c r="H46" s="248"/>
      <c r="I46" s="249" t="str">
        <f t="shared" si="145"/>
        <v xml:space="preserve">деятельность эффективна</v>
      </c>
      <c r="J46" s="249"/>
      <c r="K46" s="249"/>
      <c r="L46" s="247">
        <f t="shared" si="152"/>
        <v>-23.666480013005501</v>
      </c>
      <c r="M46" s="248"/>
      <c r="N46" s="249" t="str">
        <f t="shared" si="146"/>
        <v xml:space="preserve">деятельность эффективна</v>
      </c>
      <c r="O46" s="249"/>
      <c r="P46" s="249"/>
      <c r="Q46" s="247">
        <f t="shared" si="153"/>
        <v>-13.629572893875601</v>
      </c>
      <c r="R46" s="248"/>
      <c r="S46" s="249" t="str">
        <f t="shared" si="147"/>
        <v xml:space="preserve">деятельность эффективна</v>
      </c>
      <c r="T46" s="249"/>
      <c r="U46" s="249"/>
      <c r="V46" s="247">
        <f t="shared" si="154"/>
        <v>34.658370708849397</v>
      </c>
      <c r="W46" s="248"/>
      <c r="X46" s="249" t="str">
        <f t="shared" si="148"/>
        <v xml:space="preserve">деятельность эффективна</v>
      </c>
      <c r="Y46" s="249"/>
      <c r="Z46" s="249"/>
      <c r="AA46" s="247">
        <f t="shared" si="155"/>
        <v>72.974447920665796</v>
      </c>
      <c r="AB46" s="248"/>
      <c r="AC46" s="249" t="str">
        <f t="shared" si="149"/>
        <v xml:space="preserve">деятельность не эффективна</v>
      </c>
      <c r="AD46" s="249"/>
      <c r="AE46" s="249"/>
    </row>
    <row r="47" ht="15.75" customHeight="1">
      <c r="A47" s="222" t="s">
        <v>471</v>
      </c>
      <c r="B47" s="247">
        <f t="shared" si="150"/>
        <v>-6.7994176343635404</v>
      </c>
      <c r="C47" s="248"/>
      <c r="D47" s="249" t="str">
        <f t="shared" si="144"/>
        <v xml:space="preserve">деятельность не эффективна</v>
      </c>
      <c r="E47" s="249"/>
      <c r="F47" s="249"/>
      <c r="G47" s="247">
        <f t="shared" si="151"/>
        <v>-21.634511305888701</v>
      </c>
      <c r="H47" s="248"/>
      <c r="I47" s="249" t="str">
        <f t="shared" si="145"/>
        <v xml:space="preserve">деятельность эффективна</v>
      </c>
      <c r="J47" s="249"/>
      <c r="K47" s="249"/>
      <c r="L47" s="247">
        <f t="shared" si="152"/>
        <v>-8.3359017977136194</v>
      </c>
      <c r="M47" s="248"/>
      <c r="N47" s="249" t="str">
        <f t="shared" si="146"/>
        <v xml:space="preserve">деятельность эффективна</v>
      </c>
      <c r="O47" s="249"/>
      <c r="P47" s="249"/>
      <c r="Q47" s="247">
        <f t="shared" si="153"/>
        <v>26.075481860929301</v>
      </c>
      <c r="R47" s="248"/>
      <c r="S47" s="249" t="str">
        <f t="shared" si="147"/>
        <v xml:space="preserve">деятельность не эффективна</v>
      </c>
      <c r="T47" s="249"/>
      <c r="U47" s="249"/>
      <c r="V47" s="247">
        <f t="shared" si="154"/>
        <v>53.025596177655103</v>
      </c>
      <c r="W47" s="248"/>
      <c r="X47" s="249" t="str">
        <f t="shared" si="148"/>
        <v xml:space="preserve">деятельность эффективна</v>
      </c>
      <c r="Y47" s="249"/>
      <c r="Z47" s="249"/>
      <c r="AA47" s="247">
        <f t="shared" si="155"/>
        <v>150.19566941445601</v>
      </c>
      <c r="AB47" s="248"/>
      <c r="AC47" s="249" t="str">
        <f t="shared" si="149"/>
        <v xml:space="preserve">деятельность не эффективна</v>
      </c>
      <c r="AD47" s="249"/>
      <c r="AE47" s="249"/>
    </row>
    <row r="48" ht="15">
      <c r="A48" s="250"/>
      <c r="B48" s="251"/>
      <c r="C48" s="251"/>
      <c r="D48" s="251"/>
    </row>
    <row r="49" ht="15" customHeight="1">
      <c r="A49" s="252" t="s">
        <v>472</v>
      </c>
      <c r="B49" s="253" t="s">
        <v>473</v>
      </c>
      <c r="C49" s="253"/>
      <c r="D49" s="253"/>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row>
    <row r="50" ht="15">
      <c r="A50" s="252"/>
      <c r="B50" s="253"/>
      <c r="C50" s="253"/>
      <c r="D50" s="253"/>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row>
    <row r="51" ht="15">
      <c r="A51" s="252"/>
      <c r="B51" s="253"/>
      <c r="C51" s="253"/>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row>
    <row r="52" ht="15">
      <c r="A52" s="252"/>
      <c r="B52" s="253"/>
      <c r="C52" s="253"/>
      <c r="D52" s="253"/>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row>
    <row r="53" ht="15">
      <c r="A53" s="250"/>
      <c r="B53" s="251"/>
      <c r="C53" s="251"/>
      <c r="D53" s="251"/>
    </row>
    <row r="54" ht="15">
      <c r="A54" s="205" t="s">
        <v>474</v>
      </c>
    </row>
    <row r="55" ht="15.75" customHeight="1">
      <c r="A55" s="207" t="s">
        <v>475</v>
      </c>
      <c r="B55" s="208" t="str">
        <f>B41</f>
        <v>2019/2018</v>
      </c>
      <c r="C55" s="208"/>
      <c r="D55" s="208"/>
      <c r="E55" s="208"/>
      <c r="F55" s="208"/>
      <c r="G55" s="208" t="str">
        <f>G41</f>
        <v>2018/2017</v>
      </c>
      <c r="H55" s="208"/>
      <c r="I55" s="208"/>
      <c r="J55" s="208"/>
      <c r="K55" s="208"/>
      <c r="L55" s="208" t="str">
        <f>L41</f>
        <v>2017/2016</v>
      </c>
      <c r="M55" s="208"/>
      <c r="N55" s="208"/>
      <c r="O55" s="208"/>
      <c r="P55" s="208"/>
      <c r="Q55" s="208" t="str">
        <f>Q41</f>
        <v>2016/2015</v>
      </c>
      <c r="R55" s="208"/>
      <c r="S55" s="208"/>
      <c r="T55" s="208"/>
      <c r="U55" s="208"/>
      <c r="V55" s="208" t="str">
        <f>V41</f>
        <v>2015/2014</v>
      </c>
      <c r="W55" s="208"/>
      <c r="X55" s="208"/>
      <c r="Y55" s="208"/>
      <c r="Z55" s="208"/>
      <c r="AA55" s="208" t="str">
        <f>AA41</f>
        <v>2014/2013</v>
      </c>
      <c r="AB55" s="208"/>
      <c r="AC55" s="208"/>
      <c r="AD55" s="208"/>
      <c r="AE55" s="208"/>
    </row>
    <row r="56" ht="42.100000000000001" customHeight="1">
      <c r="A56" s="207"/>
      <c r="B56" s="246" t="s">
        <v>464</v>
      </c>
      <c r="C56" s="246" t="s">
        <v>476</v>
      </c>
      <c r="D56" s="246" t="s">
        <v>466</v>
      </c>
      <c r="E56" s="246"/>
      <c r="F56" s="246"/>
      <c r="G56" s="246" t="s">
        <v>464</v>
      </c>
      <c r="H56" s="246" t="s">
        <v>476</v>
      </c>
      <c r="I56" s="246" t="s">
        <v>466</v>
      </c>
      <c r="J56" s="246"/>
      <c r="K56" s="246"/>
      <c r="L56" s="246" t="s">
        <v>464</v>
      </c>
      <c r="M56" s="246" t="s">
        <v>476</v>
      </c>
      <c r="N56" s="246" t="s">
        <v>466</v>
      </c>
      <c r="O56" s="246"/>
      <c r="P56" s="246"/>
      <c r="Q56" s="246" t="s">
        <v>464</v>
      </c>
      <c r="R56" s="246" t="s">
        <v>476</v>
      </c>
      <c r="S56" s="246" t="s">
        <v>466</v>
      </c>
      <c r="T56" s="246"/>
      <c r="U56" s="246"/>
      <c r="V56" s="246" t="s">
        <v>464</v>
      </c>
      <c r="W56" s="246" t="s">
        <v>476</v>
      </c>
      <c r="X56" s="246" t="s">
        <v>466</v>
      </c>
      <c r="Y56" s="246"/>
      <c r="Z56" s="246"/>
      <c r="AA56" s="246" t="s">
        <v>464</v>
      </c>
      <c r="AB56" s="246" t="s">
        <v>476</v>
      </c>
      <c r="AC56" s="246" t="s">
        <v>466</v>
      </c>
      <c r="AD56" s="246"/>
      <c r="AE56" s="246"/>
    </row>
    <row r="57" ht="15.75" customHeight="1">
      <c r="A57" s="222" t="s">
        <v>477</v>
      </c>
      <c r="B57" s="247">
        <f>R31</f>
        <v>-7.1248807892428001</v>
      </c>
      <c r="C57" s="248">
        <f>((бс!C51-бс!D51)/бс!D51)*100</f>
        <v>-2.9348186825904499</v>
      </c>
      <c r="D57" s="249" t="str">
        <f t="shared" ref="D57:D58" si="156">IF(B57&lt;C$57,"уменьшение финансовой устойчивости","увеличение финансовой устойчивости")</f>
        <v xml:space="preserve">уменьшение финансовой устойчивости</v>
      </c>
      <c r="E57" s="249"/>
      <c r="F57" s="249"/>
      <c r="G57" s="247">
        <f>U31</f>
        <v>5.0838886712336997</v>
      </c>
      <c r="H57" s="248">
        <f>((бс!D51-бс!E51)/бс!E51)*100</f>
        <v>-9.0317438228938105</v>
      </c>
      <c r="I57" s="249" t="str">
        <f t="shared" ref="I57:I58" si="157">IF(G57&lt;H$57,"уменьшение финансовой устойчивости","увеличение финансовой устойчивости")</f>
        <v xml:space="preserve">увеличение финансовой устойчивости</v>
      </c>
      <c r="J57" s="249"/>
      <c r="K57" s="249"/>
      <c r="L57" s="247">
        <f>X31</f>
        <v>15.9095732846492</v>
      </c>
      <c r="M57" s="248">
        <f>((бс!E51-бс!F51)/бс!F51)*100</f>
        <v>0.79029724185735595</v>
      </c>
      <c r="N57" s="249" t="str">
        <f t="shared" ref="N57:N58" si="158">IF(L57&lt;M$57,"уменьшение финансовой устойчивости","увеличение финансовой устойчивости")</f>
        <v xml:space="preserve">увеличение финансовой устойчивости</v>
      </c>
      <c r="O57" s="249"/>
      <c r="P57" s="249"/>
      <c r="Q57" s="247">
        <f>AA31</f>
        <v>24.768521718880699</v>
      </c>
      <c r="R57" s="248">
        <f>((бс!F51-бс!G51)/бс!G51)*100</f>
        <v>12.441036234534799</v>
      </c>
      <c r="S57" s="249" t="str">
        <f t="shared" ref="S57:S58" si="159">IF(Q57&lt;R$57,"уменьшение финансовой устойчивости","увеличение финансовой устойчивости")</f>
        <v xml:space="preserve">увеличение финансовой устойчивости</v>
      </c>
      <c r="T57" s="249"/>
      <c r="U57" s="249"/>
      <c r="V57" s="247">
        <f>AD31</f>
        <v>17.303035600660898</v>
      </c>
      <c r="W57" s="248">
        <f>((бс!G51-бс!H51)/бс!H51)*100</f>
        <v>21.153070583860298</v>
      </c>
      <c r="X57" s="249" t="str">
        <f t="shared" ref="X57:X58" si="160">IF(V57&lt;W$57,"уменьшение финансовой устойчивости","увеличение финансовой устойчивости")</f>
        <v xml:space="preserve">уменьшение финансовой устойчивости</v>
      </c>
      <c r="Y57" s="249"/>
      <c r="Z57" s="249"/>
      <c r="AA57" s="247">
        <f>AG31</f>
        <v>8.4913148992442196</v>
      </c>
      <c r="AB57" s="248">
        <f>((бс!H51-бс!I51)/бс!I51)*100</f>
        <v>26.405815436789901</v>
      </c>
      <c r="AC57" s="249" t="str">
        <f t="shared" ref="AC57:AC58" si="161">IF(AA57&lt;AB$57,"уменьшение финансовой устойчивости","увеличение финансовой устойчивости")</f>
        <v xml:space="preserve">уменьшение финансовой устойчивости</v>
      </c>
      <c r="AD57" s="249"/>
      <c r="AE57" s="249"/>
    </row>
    <row r="58" ht="15.75" customHeight="1">
      <c r="A58" s="222" t="s">
        <v>478</v>
      </c>
      <c r="B58" s="247">
        <f>(C31+C32-D31-D32)/(D31+D32)*100</f>
        <v>-6.7785583605828901</v>
      </c>
      <c r="C58" s="248"/>
      <c r="D58" s="249" t="str">
        <f t="shared" si="156"/>
        <v xml:space="preserve">уменьшение финансовой устойчивости</v>
      </c>
      <c r="E58" s="249"/>
      <c r="F58" s="249"/>
      <c r="G58" s="247">
        <f>(D31+D32-E31-E32)/(E31+E32)*100</f>
        <v>1.93422263397072</v>
      </c>
      <c r="H58" s="248"/>
      <c r="I58" s="249" t="str">
        <f t="shared" si="157"/>
        <v xml:space="preserve">увеличение финансовой устойчивости</v>
      </c>
      <c r="J58" s="249"/>
      <c r="K58" s="249"/>
      <c r="L58" s="247">
        <f>(D31+D32-E31-E32)/(E31+E32)*100</f>
        <v>1.93422263397072</v>
      </c>
      <c r="M58" s="248"/>
      <c r="N58" s="249" t="str">
        <f t="shared" si="158"/>
        <v xml:space="preserve">увеличение финансовой устойчивости</v>
      </c>
      <c r="O58" s="249"/>
      <c r="P58" s="249"/>
      <c r="Q58" s="247">
        <f>(F31+F32-G31-G32)/(G31+G32)*100</f>
        <v>12.055961557572401</v>
      </c>
      <c r="R58" s="248"/>
      <c r="S58" s="249" t="str">
        <f t="shared" si="159"/>
        <v xml:space="preserve">уменьшение финансовой устойчивости</v>
      </c>
      <c r="T58" s="249"/>
      <c r="U58" s="249"/>
      <c r="V58" s="247">
        <f>(G31+G32-H31-H32)/(H31+H32)*100</f>
        <v>23.101203644779201</v>
      </c>
      <c r="W58" s="248"/>
      <c r="X58" s="249" t="str">
        <f t="shared" si="160"/>
        <v xml:space="preserve">увеличение финансовой устойчивости</v>
      </c>
      <c r="Y58" s="249"/>
      <c r="Z58" s="249"/>
      <c r="AA58" s="247">
        <f>(H31+H32-I31-I32)/(I31+I32)*100</f>
        <v>12.182565753529399</v>
      </c>
      <c r="AB58" s="248"/>
      <c r="AC58" s="249" t="str">
        <f t="shared" si="161"/>
        <v xml:space="preserve">уменьшение финансовой устойчивости</v>
      </c>
      <c r="AD58" s="249"/>
      <c r="AE58" s="249"/>
    </row>
    <row r="59" ht="15.75" customHeight="1">
      <c r="A59" s="222" t="s">
        <v>479</v>
      </c>
      <c r="B59" s="247">
        <f>(((бс!C43+бс!C50)-(бс!D43+бс!D50))/(бс!D43+бс!D50))*100</f>
        <v>53.312189272671397</v>
      </c>
      <c r="C59" s="248"/>
      <c r="D59" s="249" t="str">
        <f t="shared" ref="D59:D61" si="162">IF(B59&gt;C$57,"уменьшение финансовой устойчивости","увеличение финансовой устойчивости")</f>
        <v xml:space="preserve">уменьшение финансовой устойчивости</v>
      </c>
      <c r="E59" s="249"/>
      <c r="F59" s="249"/>
      <c r="G59" s="247">
        <f>(((бс!D43+бс!D50)-(бс!E43+бс!E50))/(бс!E43+бс!E50))*100</f>
        <v>-67.5483896687754</v>
      </c>
      <c r="H59" s="248"/>
      <c r="I59" s="249" t="str">
        <f t="shared" ref="I59:I61" si="163">IF(G59&gt;H$57,"уменьшение финансовой устойчивости","увеличение финансовой устойчивости")</f>
        <v xml:space="preserve">увеличение финансовой устойчивости</v>
      </c>
      <c r="J59" s="249"/>
      <c r="K59" s="249"/>
      <c r="L59" s="247">
        <f>(((бс!E43+бс!E50)-(бс!F43+бс!F50))/(бс!F43+бс!F50))*100</f>
        <v>-34.583309322604997</v>
      </c>
      <c r="M59" s="248"/>
      <c r="N59" s="249" t="str">
        <f t="shared" ref="N59:N61" si="164">IF(L59&gt;M$57,"уменьшение финансовой устойчивости","увеличение финансовой устойчивости")</f>
        <v xml:space="preserve">увеличение финансовой устойчивости</v>
      </c>
      <c r="O59" s="249"/>
      <c r="P59" s="249"/>
      <c r="Q59" s="247">
        <f>(бс!F43+бс!F50-бс!G43-бс!G50)/(бс!G43+бс!G50)*100</f>
        <v>-8.6708576562914601</v>
      </c>
      <c r="R59" s="248"/>
      <c r="S59" s="249" t="str">
        <f t="shared" ref="S59:S61" si="165">IF(Q59&gt;R$57,"уменьшение финансовой устойчивости","увеличение финансовой устойчивости")</f>
        <v xml:space="preserve">увеличение финансовой устойчивости</v>
      </c>
      <c r="T59" s="249"/>
      <c r="U59" s="249"/>
      <c r="V59" s="247">
        <f>(бс!G43+бс!G50-бс!H43-бс!H50)/(бс!H43+бс!H50)*100</f>
        <v>28.368577511268501</v>
      </c>
      <c r="W59" s="248"/>
      <c r="X59" s="249" t="str">
        <f t="shared" ref="X59:X61" si="166">IF(V59&gt;W$57,"уменьшение финансовой устойчивости","увеличение финансовой устойчивости")</f>
        <v xml:space="preserve">уменьшение финансовой устойчивости</v>
      </c>
      <c r="Y59" s="249"/>
      <c r="Z59" s="249"/>
      <c r="AA59" s="247">
        <f>(бс!H43+бс!H50-бс!I43-бс!I50)/(бс!I43+бс!I50)*100</f>
        <v>83.0549691753193</v>
      </c>
      <c r="AB59" s="248"/>
      <c r="AC59" s="249" t="str">
        <f t="shared" ref="AC59:AC61" si="167">IF(AA59&gt;AB$57,"уменьшение финансовой устойчивости","увеличение финансовой устойчивости")</f>
        <v xml:space="preserve">уменьшение финансовой устойчивости</v>
      </c>
      <c r="AD59" s="249"/>
      <c r="AE59" s="249"/>
    </row>
    <row r="60" ht="15.75" customHeight="1">
      <c r="A60" s="222" t="s">
        <v>480</v>
      </c>
      <c r="B60" s="247">
        <f>(((бс!C39+бс!C45)-(бс!D39+бс!D45))/(бс!D39+бс!D45))*100</f>
        <v>-100</v>
      </c>
      <c r="C60" s="248"/>
      <c r="D60" s="249" t="str">
        <f t="shared" si="162"/>
        <v xml:space="preserve">увеличение финансовой устойчивости</v>
      </c>
      <c r="E60" s="249"/>
      <c r="F60" s="249"/>
      <c r="G60" s="247">
        <f>(((бс!D39+бс!D45)-(бс!E39+бс!E45))/(бс!E39+бс!E45))*100</f>
        <v>-94.062001285671798</v>
      </c>
      <c r="H60" s="248"/>
      <c r="I60" s="249" t="str">
        <f t="shared" si="163"/>
        <v xml:space="preserve">увеличение финансовой устойчивости</v>
      </c>
      <c r="J60" s="249"/>
      <c r="K60" s="249"/>
      <c r="L60" s="247">
        <f>(((бс!E39+бс!E45)-(бс!F39+бс!F45))/(бс!F39+бс!F45))*100</f>
        <v>-40.857026553639201</v>
      </c>
      <c r="M60" s="248"/>
      <c r="N60" s="249" t="str">
        <f t="shared" si="164"/>
        <v xml:space="preserve">увеличение финансовой устойчивости</v>
      </c>
      <c r="O60" s="249"/>
      <c r="P60" s="249"/>
      <c r="Q60" s="247">
        <f>(бс!F39+бс!F45-бс!G39-бс!G45)/(бс!G39+бс!G45)*100</f>
        <v>-14.817665359870601</v>
      </c>
      <c r="R60" s="248"/>
      <c r="S60" s="249" t="str">
        <f t="shared" si="165"/>
        <v xml:space="preserve">увеличение финансовой устойчивости</v>
      </c>
      <c r="T60" s="249"/>
      <c r="U60" s="249"/>
      <c r="V60" s="247">
        <f>(бс!G39+бс!G45-бс!H39-бс!H45)/(бс!H39+бс!H45)*100</f>
        <v>22.812846181346298</v>
      </c>
      <c r="W60" s="248"/>
      <c r="X60" s="249" t="str">
        <f t="shared" si="166"/>
        <v xml:space="preserve">уменьшение финансовой устойчивости</v>
      </c>
      <c r="Y60" s="249"/>
      <c r="Z60" s="249"/>
      <c r="AA60" s="247">
        <f>(бс!H39+бс!H45-бс!I39-бс!I45)/(бс!I39+бс!I45)*100</f>
        <v>102.992049230549</v>
      </c>
      <c r="AB60" s="248"/>
      <c r="AC60" s="249" t="str">
        <f t="shared" si="167"/>
        <v xml:space="preserve">уменьшение финансовой устойчивости</v>
      </c>
      <c r="AD60" s="249"/>
      <c r="AE60" s="249"/>
    </row>
    <row r="61" ht="15.75" customHeight="1">
      <c r="A61" s="222" t="s">
        <v>481</v>
      </c>
      <c r="B61" s="247">
        <f>((бс!C46-бс!D46)/бс!D46)*100</f>
        <v>92.586673204767607</v>
      </c>
      <c r="C61" s="248"/>
      <c r="D61" s="249" t="str">
        <f t="shared" si="162"/>
        <v xml:space="preserve">уменьшение финансовой устойчивости</v>
      </c>
      <c r="E61" s="249"/>
      <c r="F61" s="249"/>
      <c r="G61" s="247">
        <f>((бс!D46-бс!E46)/бс!E46)*100</f>
        <v>-17.6387808888175</v>
      </c>
      <c r="H61" s="248"/>
      <c r="I61" s="249" t="str">
        <f t="shared" si="163"/>
        <v xml:space="preserve">увеличение финансовой устойчивости</v>
      </c>
      <c r="J61" s="249"/>
      <c r="K61" s="249"/>
      <c r="L61" s="247">
        <f>((бс!E46-бс!F46)/бс!F46)*100</f>
        <v>-19.912652792264002</v>
      </c>
      <c r="M61" s="248"/>
      <c r="N61" s="249" t="str">
        <f t="shared" si="164"/>
        <v xml:space="preserve">увеличение финансовой устойчивости</v>
      </c>
      <c r="O61" s="249"/>
      <c r="P61" s="249"/>
      <c r="Q61" s="247">
        <f>(бс!F46-бс!G46)/бс!G46*100</f>
        <v>16.9562369784908</v>
      </c>
      <c r="R61" s="248"/>
      <c r="S61" s="249" t="str">
        <f t="shared" si="165"/>
        <v xml:space="preserve">уменьшение финансовой устойчивости</v>
      </c>
      <c r="T61" s="249"/>
      <c r="U61" s="249"/>
      <c r="V61" s="247">
        <f>(бс!G46-бс!H46)/бс!H46*100</f>
        <v>62.033829567461098</v>
      </c>
      <c r="W61" s="248"/>
      <c r="X61" s="249" t="str">
        <f t="shared" si="166"/>
        <v xml:space="preserve">уменьшение финансовой устойчивости</v>
      </c>
      <c r="Y61" s="249"/>
      <c r="Z61" s="249"/>
      <c r="AA61" s="247">
        <f>(бс!H46-бс!I46)/бс!I46*100</f>
        <v>18.148809412787699</v>
      </c>
      <c r="AB61" s="248"/>
      <c r="AC61" s="249" t="str">
        <f t="shared" si="167"/>
        <v xml:space="preserve">увеличение финансовой устойчивости</v>
      </c>
      <c r="AD61" s="249"/>
      <c r="AE61" s="249"/>
    </row>
    <row r="62" ht="15"/>
    <row r="63" ht="15" customHeight="1">
      <c r="A63" s="252" t="s">
        <v>472</v>
      </c>
      <c r="B63" s="253" t="s">
        <v>482</v>
      </c>
      <c r="C63" s="253"/>
      <c r="D63" s="253"/>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253"/>
      <c r="AD63" s="253"/>
      <c r="AE63" s="253"/>
    </row>
    <row r="64" ht="15">
      <c r="A64" s="252"/>
      <c r="B64" s="253"/>
      <c r="C64" s="253"/>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row>
    <row r="65" ht="15">
      <c r="A65" s="252"/>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row>
    <row r="66" ht="15">
      <c r="A66" s="252"/>
      <c r="B66" s="253"/>
      <c r="C66" s="253"/>
      <c r="D66" s="253"/>
      <c r="E66" s="253"/>
      <c r="F66" s="253"/>
      <c r="G66" s="253"/>
      <c r="H66" s="253"/>
      <c r="I66" s="253"/>
      <c r="J66" s="253"/>
      <c r="K66" s="253"/>
      <c r="L66" s="253"/>
      <c r="M66" s="253"/>
      <c r="N66" s="253"/>
      <c r="O66" s="253"/>
      <c r="P66" s="253"/>
      <c r="Q66" s="253"/>
      <c r="R66" s="253"/>
      <c r="S66" s="253"/>
      <c r="T66" s="253"/>
      <c r="U66" s="253"/>
      <c r="V66" s="253"/>
      <c r="W66" s="253"/>
      <c r="X66" s="253"/>
      <c r="Y66" s="253"/>
      <c r="Z66" s="253"/>
      <c r="AA66" s="253"/>
      <c r="AB66" s="253"/>
      <c r="AC66" s="253"/>
      <c r="AD66" s="253"/>
      <c r="AE66" s="253"/>
    </row>
    <row r="67" ht="15"/>
    <row r="68" ht="15">
      <c r="A68" s="205" t="s">
        <v>474</v>
      </c>
    </row>
    <row r="69" ht="15" customHeight="1">
      <c r="A69" s="207" t="s">
        <v>475</v>
      </c>
      <c r="B69" s="209" t="str">
        <f>B55</f>
        <v>2019/2018</v>
      </c>
      <c r="C69" s="209"/>
      <c r="D69" s="209"/>
      <c r="E69" s="209"/>
      <c r="F69" s="209"/>
      <c r="G69" s="209" t="str">
        <f>G55</f>
        <v>2018/2017</v>
      </c>
      <c r="H69" s="209"/>
      <c r="I69" s="209"/>
      <c r="J69" s="209"/>
      <c r="K69" s="209"/>
      <c r="L69" s="209" t="str">
        <f>L55</f>
        <v>2017/2016</v>
      </c>
      <c r="M69" s="209"/>
      <c r="N69" s="209"/>
      <c r="O69" s="209"/>
      <c r="P69" s="209"/>
      <c r="Q69" s="209" t="str">
        <f>Q55</f>
        <v>2016/2015</v>
      </c>
      <c r="R69" s="209"/>
      <c r="S69" s="209"/>
      <c r="T69" s="209"/>
      <c r="U69" s="209"/>
      <c r="V69" s="209" t="str">
        <f>V55</f>
        <v>2015/2014</v>
      </c>
      <c r="W69" s="209"/>
      <c r="X69" s="209"/>
      <c r="Y69" s="209"/>
      <c r="Z69" s="209"/>
      <c r="AA69" s="209" t="str">
        <f>AA55</f>
        <v>2014/2013</v>
      </c>
      <c r="AB69" s="209"/>
      <c r="AC69" s="209"/>
      <c r="AD69" s="209"/>
      <c r="AE69" s="209"/>
    </row>
    <row r="70" ht="42.100000000000001" customHeight="1">
      <c r="A70" s="207"/>
      <c r="B70" s="246" t="s">
        <v>464</v>
      </c>
      <c r="C70" s="246" t="s">
        <v>465</v>
      </c>
      <c r="D70" s="246" t="s">
        <v>466</v>
      </c>
      <c r="E70" s="246"/>
      <c r="F70" s="246"/>
      <c r="G70" s="246" t="s">
        <v>464</v>
      </c>
      <c r="H70" s="246" t="s">
        <v>465</v>
      </c>
      <c r="I70" s="246" t="s">
        <v>466</v>
      </c>
      <c r="J70" s="246"/>
      <c r="K70" s="246"/>
      <c r="L70" s="246" t="s">
        <v>464</v>
      </c>
      <c r="M70" s="246" t="s">
        <v>465</v>
      </c>
      <c r="N70" s="246" t="s">
        <v>466</v>
      </c>
      <c r="O70" s="246"/>
      <c r="P70" s="246"/>
      <c r="Q70" s="246" t="s">
        <v>464</v>
      </c>
      <c r="R70" s="246" t="s">
        <v>465</v>
      </c>
      <c r="S70" s="246" t="s">
        <v>466</v>
      </c>
      <c r="T70" s="246"/>
      <c r="U70" s="246"/>
      <c r="V70" s="246" t="s">
        <v>464</v>
      </c>
      <c r="W70" s="246" t="s">
        <v>465</v>
      </c>
      <c r="X70" s="246" t="s">
        <v>466</v>
      </c>
      <c r="Y70" s="246"/>
      <c r="Z70" s="246"/>
      <c r="AA70" s="246" t="s">
        <v>464</v>
      </c>
      <c r="AB70" s="246" t="s">
        <v>465</v>
      </c>
      <c r="AC70" s="246" t="s">
        <v>466</v>
      </c>
      <c r="AD70" s="246"/>
      <c r="AE70" s="246"/>
    </row>
    <row r="71" ht="15" customHeight="1">
      <c r="A71" s="222" t="s">
        <v>478</v>
      </c>
      <c r="B71" s="247">
        <f t="shared" ref="B71:B74" si="168">B58</f>
        <v>-6.7785583605828901</v>
      </c>
      <c r="C71" s="248">
        <f>э!B48</f>
        <v>-20.270821911941301</v>
      </c>
      <c r="D71" s="249" t="s">
        <v>483</v>
      </c>
      <c r="E71" s="249"/>
      <c r="F71" s="249"/>
      <c r="G71" s="247">
        <f t="shared" ref="G71:G74" si="169">G58</f>
        <v>1.93422263397072</v>
      </c>
      <c r="H71" s="248">
        <f>э!C48</f>
        <v>13.1418876225866</v>
      </c>
      <c r="I71" s="249" t="s">
        <v>484</v>
      </c>
      <c r="J71" s="249"/>
      <c r="K71" s="249"/>
      <c r="L71" s="247">
        <f t="shared" ref="L71:L74" si="170">L58</f>
        <v>1.93422263397072</v>
      </c>
      <c r="M71" s="248">
        <f>э!D48</f>
        <v>3.2126526197922098</v>
      </c>
      <c r="N71" s="249" t="s">
        <v>484</v>
      </c>
      <c r="O71" s="249"/>
      <c r="P71" s="249"/>
      <c r="Q71" s="247">
        <f t="shared" ref="Q71:Q74" si="171">Q58</f>
        <v>12.055961557572401</v>
      </c>
      <c r="R71" s="248">
        <f>э!E48</f>
        <v>-12.760483385522001</v>
      </c>
      <c r="S71" s="249" t="s">
        <v>484</v>
      </c>
      <c r="T71" s="249"/>
      <c r="U71" s="249"/>
      <c r="V71" s="247">
        <f t="shared" ref="V71:V74" si="172">V58</f>
        <v>23.101203644779201</v>
      </c>
      <c r="W71" s="248">
        <f>э!F48</f>
        <v>65.239371271331194</v>
      </c>
      <c r="X71" s="249" t="s">
        <v>484</v>
      </c>
      <c r="Y71" s="249"/>
      <c r="Z71" s="249"/>
      <c r="AA71" s="247">
        <f t="shared" ref="AA71:AA74" si="173">AA58</f>
        <v>12.182565753529399</v>
      </c>
      <c r="AB71" s="248">
        <f>э!G48</f>
        <v>-7.0769344561151399</v>
      </c>
      <c r="AC71" s="249" t="s">
        <v>484</v>
      </c>
      <c r="AD71" s="249"/>
      <c r="AE71" s="249"/>
    </row>
    <row r="72" ht="15.75" customHeight="1">
      <c r="A72" s="222" t="s">
        <v>479</v>
      </c>
      <c r="B72" s="247">
        <f t="shared" si="168"/>
        <v>53.312189272671397</v>
      </c>
      <c r="C72" s="248"/>
      <c r="D72" s="249" t="s">
        <v>483</v>
      </c>
      <c r="E72" s="249"/>
      <c r="F72" s="249"/>
      <c r="G72" s="247">
        <f t="shared" si="169"/>
        <v>-67.5483896687754</v>
      </c>
      <c r="H72" s="248"/>
      <c r="I72" s="249" t="s">
        <v>484</v>
      </c>
      <c r="J72" s="249"/>
      <c r="K72" s="249"/>
      <c r="L72" s="247">
        <f t="shared" si="170"/>
        <v>-34.583309322604997</v>
      </c>
      <c r="M72" s="248"/>
      <c r="N72" s="249" t="s">
        <v>484</v>
      </c>
      <c r="O72" s="249"/>
      <c r="P72" s="249"/>
      <c r="Q72" s="247">
        <f t="shared" si="171"/>
        <v>-8.6708576562914601</v>
      </c>
      <c r="R72" s="248"/>
      <c r="S72" s="249" t="s">
        <v>483</v>
      </c>
      <c r="T72" s="249"/>
      <c r="U72" s="249"/>
      <c r="V72" s="247">
        <f t="shared" si="172"/>
        <v>28.368577511268501</v>
      </c>
      <c r="W72" s="248"/>
      <c r="X72" s="249" t="s">
        <v>484</v>
      </c>
      <c r="Y72" s="249"/>
      <c r="Z72" s="249"/>
      <c r="AA72" s="247">
        <f t="shared" si="173"/>
        <v>83.0549691753193</v>
      </c>
      <c r="AB72" s="248"/>
      <c r="AC72" s="249" t="s">
        <v>483</v>
      </c>
      <c r="AD72" s="249"/>
      <c r="AE72" s="249"/>
    </row>
    <row r="73" ht="15.75" customHeight="1">
      <c r="A73" s="222" t="s">
        <v>480</v>
      </c>
      <c r="B73" s="247">
        <f t="shared" si="168"/>
        <v>-100</v>
      </c>
      <c r="C73" s="248"/>
      <c r="D73" s="249" t="s">
        <v>484</v>
      </c>
      <c r="E73" s="249"/>
      <c r="F73" s="249"/>
      <c r="G73" s="247">
        <f t="shared" si="169"/>
        <v>-94.062001285671798</v>
      </c>
      <c r="H73" s="248"/>
      <c r="I73" s="249" t="s">
        <v>484</v>
      </c>
      <c r="J73" s="249"/>
      <c r="K73" s="249"/>
      <c r="L73" s="247">
        <f t="shared" si="170"/>
        <v>-40.857026553639201</v>
      </c>
      <c r="M73" s="248"/>
      <c r="N73" s="249" t="s">
        <v>484</v>
      </c>
      <c r="O73" s="249"/>
      <c r="P73" s="249"/>
      <c r="Q73" s="247">
        <f t="shared" si="171"/>
        <v>-14.817665359870601</v>
      </c>
      <c r="R73" s="248"/>
      <c r="S73" s="249" t="s">
        <v>484</v>
      </c>
      <c r="T73" s="249"/>
      <c r="U73" s="249"/>
      <c r="V73" s="247">
        <f t="shared" si="172"/>
        <v>22.812846181346298</v>
      </c>
      <c r="W73" s="248"/>
      <c r="X73" s="249" t="s">
        <v>484</v>
      </c>
      <c r="Y73" s="249"/>
      <c r="Z73" s="249"/>
      <c r="AA73" s="247">
        <f t="shared" si="173"/>
        <v>102.992049230549</v>
      </c>
      <c r="AB73" s="248"/>
      <c r="AC73" s="249" t="s">
        <v>483</v>
      </c>
      <c r="AD73" s="249"/>
      <c r="AE73" s="249"/>
    </row>
    <row r="74" ht="15.75" customHeight="1">
      <c r="A74" s="222" t="s">
        <v>481</v>
      </c>
      <c r="B74" s="247">
        <f t="shared" si="168"/>
        <v>92.586673204767607</v>
      </c>
      <c r="C74" s="248"/>
      <c r="D74" s="249" t="s">
        <v>483</v>
      </c>
      <c r="E74" s="249"/>
      <c r="F74" s="249"/>
      <c r="G74" s="247">
        <f t="shared" si="169"/>
        <v>-17.6387808888175</v>
      </c>
      <c r="H74" s="248"/>
      <c r="I74" s="249" t="s">
        <v>484</v>
      </c>
      <c r="J74" s="249"/>
      <c r="K74" s="249"/>
      <c r="L74" s="247">
        <f t="shared" si="170"/>
        <v>-19.912652792264002</v>
      </c>
      <c r="M74" s="248"/>
      <c r="N74" s="249" t="s">
        <v>484</v>
      </c>
      <c r="O74" s="249"/>
      <c r="P74" s="249"/>
      <c r="Q74" s="247">
        <f t="shared" si="171"/>
        <v>16.9562369784908</v>
      </c>
      <c r="R74" s="248"/>
      <c r="S74" s="249" t="s">
        <v>483</v>
      </c>
      <c r="T74" s="249"/>
      <c r="U74" s="249"/>
      <c r="V74" s="247">
        <f t="shared" si="172"/>
        <v>62.033829567461098</v>
      </c>
      <c r="W74" s="248"/>
      <c r="X74" s="249" t="s">
        <v>484</v>
      </c>
      <c r="Y74" s="249"/>
      <c r="Z74" s="249"/>
      <c r="AA74" s="247">
        <f t="shared" si="173"/>
        <v>18.148809412787699</v>
      </c>
      <c r="AB74" s="248"/>
      <c r="AC74" s="249" t="s">
        <v>483</v>
      </c>
      <c r="AD74" s="249"/>
      <c r="AE74" s="249"/>
    </row>
    <row r="75" ht="15"/>
    <row r="76" ht="15" customHeight="1">
      <c r="A76" s="252" t="s">
        <v>472</v>
      </c>
      <c r="B76" s="253" t="s">
        <v>485</v>
      </c>
      <c r="C76" s="253"/>
      <c r="D76" s="253"/>
      <c r="E76" s="253"/>
      <c r="F76" s="253"/>
      <c r="G76" s="253"/>
      <c r="H76" s="253"/>
      <c r="I76" s="253"/>
      <c r="J76" s="253"/>
      <c r="K76" s="253"/>
      <c r="L76" s="253"/>
      <c r="M76" s="253"/>
      <c r="N76" s="253"/>
      <c r="O76" s="253"/>
      <c r="P76" s="253"/>
      <c r="Q76" s="253"/>
      <c r="R76" s="253"/>
      <c r="S76" s="253"/>
      <c r="T76" s="253"/>
      <c r="U76" s="253"/>
      <c r="V76" s="253"/>
      <c r="W76" s="253"/>
      <c r="X76" s="253"/>
      <c r="Y76" s="253"/>
      <c r="Z76" s="253"/>
      <c r="AA76" s="253"/>
      <c r="AB76" s="253"/>
      <c r="AC76" s="253"/>
      <c r="AD76" s="253"/>
      <c r="AE76" s="253"/>
    </row>
    <row r="77" ht="15">
      <c r="A77" s="252"/>
      <c r="B77" s="253"/>
      <c r="C77" s="253"/>
      <c r="D77" s="253"/>
      <c r="E77" s="253"/>
      <c r="F77" s="253"/>
      <c r="G77" s="253"/>
      <c r="H77" s="253"/>
      <c r="I77" s="253"/>
      <c r="J77" s="253"/>
      <c r="K77" s="253"/>
      <c r="L77" s="253"/>
      <c r="M77" s="253"/>
      <c r="N77" s="253"/>
      <c r="O77" s="253"/>
      <c r="P77" s="253"/>
      <c r="Q77" s="253"/>
      <c r="R77" s="253"/>
      <c r="S77" s="253"/>
      <c r="T77" s="253"/>
      <c r="U77" s="253"/>
      <c r="V77" s="253"/>
      <c r="W77" s="253"/>
      <c r="X77" s="253"/>
      <c r="Y77" s="253"/>
      <c r="Z77" s="253"/>
      <c r="AA77" s="253"/>
      <c r="AB77" s="253"/>
      <c r="AC77" s="253"/>
      <c r="AD77" s="253"/>
      <c r="AE77" s="253"/>
    </row>
    <row r="78" ht="15">
      <c r="A78" s="252"/>
      <c r="B78" s="253"/>
      <c r="C78" s="253"/>
      <c r="D78" s="253"/>
      <c r="E78" s="253"/>
      <c r="F78" s="253"/>
      <c r="G78" s="253"/>
      <c r="H78" s="253"/>
      <c r="I78" s="253"/>
      <c r="J78" s="253"/>
      <c r="K78" s="253"/>
      <c r="L78" s="253"/>
      <c r="M78" s="253"/>
      <c r="N78" s="253"/>
      <c r="O78" s="253"/>
      <c r="P78" s="253"/>
      <c r="Q78" s="253"/>
      <c r="R78" s="253"/>
      <c r="S78" s="253"/>
      <c r="T78" s="253"/>
      <c r="U78" s="253"/>
      <c r="V78" s="253"/>
      <c r="W78" s="253"/>
      <c r="X78" s="253"/>
      <c r="Y78" s="253"/>
      <c r="Z78" s="253"/>
      <c r="AA78" s="253"/>
      <c r="AB78" s="253"/>
      <c r="AC78" s="253"/>
      <c r="AD78" s="253"/>
      <c r="AE78" s="253"/>
    </row>
    <row r="79" ht="15">
      <c r="A79" s="252"/>
      <c r="B79" s="253"/>
      <c r="C79" s="253"/>
      <c r="D79" s="253"/>
      <c r="E79" s="253"/>
      <c r="F79" s="253"/>
      <c r="G79" s="253"/>
      <c r="H79" s="253"/>
      <c r="I79" s="253"/>
      <c r="J79" s="253"/>
      <c r="K79" s="253"/>
      <c r="L79" s="253"/>
      <c r="M79" s="253"/>
      <c r="N79" s="253"/>
      <c r="O79" s="253"/>
      <c r="P79" s="253"/>
      <c r="Q79" s="253"/>
      <c r="R79" s="253"/>
      <c r="S79" s="253"/>
      <c r="T79" s="253"/>
      <c r="U79" s="253"/>
      <c r="V79" s="253"/>
      <c r="W79" s="253"/>
      <c r="X79" s="253"/>
      <c r="Y79" s="253"/>
      <c r="Z79" s="253"/>
      <c r="AA79" s="253"/>
      <c r="AB79" s="253"/>
      <c r="AC79" s="253"/>
      <c r="AD79" s="253"/>
      <c r="AE79" s="253"/>
    </row>
    <row r="80" ht="15"/>
    <row r="81" ht="15"/>
    <row r="82" ht="15">
      <c r="A82" s="66" t="s">
        <v>486</v>
      </c>
      <c r="B82" s="202"/>
      <c r="C82" s="202"/>
      <c r="D82" s="202"/>
      <c r="E82" s="202"/>
      <c r="F82" s="202"/>
      <c r="G82" s="202"/>
      <c r="H82" s="202"/>
      <c r="I82" s="202"/>
      <c r="DW82" s="202"/>
      <c r="DX82" s="202"/>
      <c r="DY82" s="202"/>
      <c r="DZ82" s="202"/>
      <c r="EA82" s="202"/>
      <c r="EB82" s="202"/>
      <c r="EC82" s="202"/>
      <c r="ED82" s="202"/>
      <c r="EE82" s="202"/>
      <c r="EF82" s="202"/>
      <c r="EG82" s="202"/>
      <c r="EH82" s="202"/>
      <c r="EI82" s="202"/>
      <c r="EJ82" s="202"/>
      <c r="EK82" s="202"/>
      <c r="EL82" s="202"/>
      <c r="EM82" s="202"/>
      <c r="EN82" s="202"/>
      <c r="EO82" s="202"/>
      <c r="EP82" s="202"/>
      <c r="EQ82" s="202"/>
      <c r="ER82" s="202"/>
      <c r="ES82" s="202"/>
      <c r="ET82" s="202"/>
      <c r="EU82" s="202"/>
      <c r="EV82" s="202"/>
      <c r="EW82" s="202"/>
      <c r="EX82" s="202"/>
      <c r="EY82" s="202"/>
      <c r="EZ82" s="202"/>
      <c r="FA82" s="202"/>
      <c r="FB82" s="202"/>
      <c r="FC82" s="202"/>
      <c r="FD82" s="202"/>
      <c r="FE82" s="202"/>
      <c r="FF82" s="202"/>
      <c r="FG82" s="202"/>
      <c r="FH82" s="202"/>
      <c r="FI82" s="202"/>
      <c r="FJ82" s="202"/>
      <c r="FK82" s="202"/>
      <c r="FL82" s="202"/>
      <c r="FM82" s="202"/>
      <c r="FN82" s="202"/>
      <c r="FO82" s="202"/>
      <c r="FP82" s="202"/>
      <c r="FQ82" s="202"/>
      <c r="FR82" s="202"/>
      <c r="FS82" s="202"/>
      <c r="FT82" s="202"/>
      <c r="FU82" s="202"/>
      <c r="FV82" s="202"/>
      <c r="FW82" s="202"/>
      <c r="FX82" s="202"/>
      <c r="FY82" s="202"/>
      <c r="FZ82" s="202"/>
      <c r="GA82" s="202"/>
      <c r="GB82" s="202"/>
      <c r="GC82" s="202"/>
      <c r="GD82" s="202"/>
      <c r="GE82" s="202"/>
      <c r="GF82" s="202"/>
      <c r="GG82" s="202"/>
      <c r="GH82" s="202"/>
      <c r="GI82" s="202"/>
      <c r="GJ82" s="202"/>
      <c r="GK82" s="202"/>
      <c r="GL82" s="202"/>
      <c r="GM82" s="202"/>
      <c r="GN82" s="202"/>
      <c r="GO82" s="202"/>
      <c r="GP82" s="202"/>
      <c r="GQ82" s="202"/>
      <c r="GR82" s="202"/>
      <c r="GS82" s="202"/>
      <c r="GT82" s="202"/>
      <c r="GU82" s="202"/>
      <c r="GV82" s="202"/>
      <c r="GW82" s="202"/>
      <c r="GX82" s="202"/>
      <c r="GY82" s="202"/>
      <c r="GZ82" s="202"/>
      <c r="HA82" s="202"/>
      <c r="HB82" s="202"/>
      <c r="HC82" s="202"/>
      <c r="HD82" s="202"/>
      <c r="HE82" s="202"/>
      <c r="HF82" s="202"/>
      <c r="HG82" s="202"/>
      <c r="HH82" s="202"/>
      <c r="HI82" s="202"/>
      <c r="HJ82" s="202"/>
      <c r="HK82" s="202"/>
      <c r="HL82" s="202"/>
      <c r="HM82" s="202"/>
      <c r="HN82" s="202"/>
      <c r="HO82" s="202"/>
      <c r="HP82" s="202"/>
      <c r="HQ82" s="202"/>
      <c r="HR82" s="202"/>
      <c r="HS82" s="202"/>
      <c r="HT82" s="202"/>
      <c r="HU82" s="202"/>
      <c r="HV82" s="202"/>
      <c r="HW82" s="202"/>
      <c r="HX82" s="202"/>
      <c r="HY82" s="202"/>
      <c r="HZ82" s="202"/>
      <c r="IA82" s="202"/>
      <c r="IB82" s="202"/>
      <c r="IC82" s="202"/>
      <c r="ID82" s="202"/>
      <c r="IE82" s="202"/>
      <c r="IF82" s="202"/>
      <c r="IG82" s="202"/>
      <c r="IH82" s="202"/>
      <c r="II82" s="202"/>
      <c r="IJ82" s="202"/>
      <c r="IK82" s="202"/>
      <c r="IL82" s="202"/>
      <c r="IM82" s="202"/>
      <c r="IN82" s="202"/>
      <c r="IO82" s="202"/>
      <c r="IP82" s="202"/>
      <c r="IQ82" s="202"/>
      <c r="IR82" s="202"/>
      <c r="IS82" s="202"/>
      <c r="IT82" s="202"/>
      <c r="IU82" s="202"/>
      <c r="IV82" s="202"/>
    </row>
    <row r="83" ht="15">
      <c r="A83" s="192" t="s">
        <v>487</v>
      </c>
      <c r="B83" s="183"/>
      <c r="C83" s="183"/>
      <c r="D83" s="202"/>
      <c r="E83" s="202"/>
      <c r="F83" s="202"/>
      <c r="G83" s="202"/>
      <c r="H83" s="202"/>
      <c r="I83" s="202"/>
      <c r="DW83" s="202"/>
      <c r="DX83" s="202"/>
      <c r="DY83" s="202"/>
      <c r="DZ83" s="202"/>
      <c r="EA83" s="202"/>
      <c r="EB83" s="202"/>
      <c r="EC83" s="202"/>
      <c r="ED83" s="202"/>
      <c r="EE83" s="202"/>
      <c r="EF83" s="202"/>
      <c r="EG83" s="202"/>
      <c r="EH83" s="202"/>
      <c r="EI83" s="202"/>
      <c r="EJ83" s="202"/>
      <c r="EK83" s="202"/>
      <c r="EL83" s="202"/>
      <c r="EM83" s="202"/>
      <c r="EN83" s="202"/>
      <c r="EO83" s="202"/>
      <c r="EP83" s="202"/>
      <c r="EQ83" s="202"/>
      <c r="ER83" s="202"/>
      <c r="ES83" s="202"/>
      <c r="ET83" s="202"/>
      <c r="EU83" s="202"/>
      <c r="EV83" s="202"/>
      <c r="EW83" s="202"/>
      <c r="EX83" s="202"/>
      <c r="EY83" s="202"/>
      <c r="EZ83" s="202"/>
      <c r="FA83" s="202"/>
      <c r="FB83" s="202"/>
      <c r="FC83" s="202"/>
      <c r="FD83" s="202"/>
      <c r="FE83" s="202"/>
      <c r="FF83" s="202"/>
      <c r="FG83" s="202"/>
      <c r="FH83" s="202"/>
      <c r="FI83" s="202"/>
      <c r="FJ83" s="202"/>
      <c r="FK83" s="202"/>
      <c r="FL83" s="202"/>
      <c r="FM83" s="202"/>
      <c r="FN83" s="202"/>
      <c r="FO83" s="202"/>
      <c r="FP83" s="202"/>
      <c r="FQ83" s="202"/>
      <c r="FR83" s="202"/>
      <c r="FS83" s="202"/>
      <c r="FT83" s="202"/>
      <c r="FU83" s="202"/>
      <c r="FV83" s="202"/>
      <c r="FW83" s="202"/>
      <c r="FX83" s="202"/>
      <c r="FY83" s="202"/>
      <c r="FZ83" s="202"/>
      <c r="GA83" s="202"/>
      <c r="GB83" s="202"/>
      <c r="GC83" s="202"/>
      <c r="GD83" s="202"/>
      <c r="GE83" s="202"/>
      <c r="GF83" s="202"/>
      <c r="GG83" s="202"/>
      <c r="GH83" s="202"/>
      <c r="GI83" s="202"/>
      <c r="GJ83" s="202"/>
      <c r="GK83" s="202"/>
      <c r="GL83" s="202"/>
      <c r="GM83" s="202"/>
      <c r="GN83" s="202"/>
      <c r="GO83" s="202"/>
      <c r="GP83" s="202"/>
      <c r="GQ83" s="202"/>
      <c r="GR83" s="202"/>
      <c r="GS83" s="202"/>
      <c r="GT83" s="202"/>
      <c r="GU83" s="202"/>
      <c r="GV83" s="202"/>
      <c r="GW83" s="202"/>
      <c r="GX83" s="202"/>
      <c r="GY83" s="202"/>
      <c r="GZ83" s="202"/>
      <c r="HA83" s="202"/>
      <c r="HB83" s="202"/>
      <c r="HC83" s="202"/>
      <c r="HD83" s="202"/>
      <c r="HE83" s="202"/>
      <c r="HF83" s="202"/>
      <c r="HG83" s="202"/>
      <c r="HH83" s="202"/>
      <c r="HI83" s="202"/>
      <c r="HJ83" s="202"/>
      <c r="HK83" s="202"/>
      <c r="HL83" s="202"/>
      <c r="HM83" s="202"/>
      <c r="HN83" s="202"/>
      <c r="HO83" s="202"/>
      <c r="HP83" s="202"/>
      <c r="HQ83" s="202"/>
      <c r="HR83" s="202"/>
      <c r="HS83" s="202"/>
      <c r="HT83" s="202"/>
      <c r="HU83" s="202"/>
      <c r="HV83" s="202"/>
      <c r="HW83" s="202"/>
      <c r="HX83" s="202"/>
      <c r="HY83" s="202"/>
      <c r="HZ83" s="202"/>
      <c r="IA83" s="202"/>
      <c r="IB83" s="202"/>
      <c r="IC83" s="202"/>
      <c r="ID83" s="202"/>
      <c r="IE83" s="202"/>
      <c r="IF83" s="202"/>
      <c r="IG83" s="202"/>
      <c r="IH83" s="202"/>
      <c r="II83" s="202"/>
      <c r="IJ83" s="202"/>
      <c r="IK83" s="202"/>
      <c r="IL83" s="202"/>
      <c r="IM83" s="202"/>
      <c r="IN83" s="202"/>
      <c r="IO83" s="202"/>
      <c r="IP83" s="202"/>
      <c r="IQ83" s="202"/>
      <c r="IR83" s="202"/>
      <c r="IS83" s="202"/>
      <c r="IT83" s="202"/>
      <c r="IU83" s="202"/>
      <c r="IV83" s="202"/>
    </row>
    <row r="84" ht="15">
      <c r="A84" s="254" t="s">
        <v>488</v>
      </c>
      <c r="B84" s="168" t="str">
        <f>э!B56</f>
        <v xml:space="preserve">2019 год</v>
      </c>
      <c r="C84" s="168" t="str">
        <f>э!C56</f>
        <v xml:space="preserve">2018 год</v>
      </c>
      <c r="D84" s="168" t="str">
        <f>э!D56</f>
        <v xml:space="preserve">2017 год</v>
      </c>
      <c r="E84" s="168" t="str">
        <f>э!E56</f>
        <v xml:space="preserve">2016 год</v>
      </c>
      <c r="F84" s="168" t="str">
        <f>э!F56</f>
        <v xml:space="preserve">2015 год</v>
      </c>
      <c r="G84" s="168" t="str">
        <f>э!G56</f>
        <v xml:space="preserve">2014 год</v>
      </c>
      <c r="H84" s="168" t="str">
        <f>э!H56</f>
        <v xml:space="preserve">2013 год</v>
      </c>
      <c r="I84" s="203"/>
      <c r="DW84" s="203"/>
      <c r="DX84" s="203"/>
      <c r="DY84" s="203"/>
      <c r="DZ84" s="203"/>
      <c r="EA84" s="203"/>
      <c r="EB84" s="203"/>
      <c r="EC84" s="203"/>
      <c r="ED84" s="203"/>
      <c r="EE84" s="203"/>
      <c r="EF84" s="203"/>
      <c r="EG84" s="203"/>
      <c r="EH84" s="203"/>
      <c r="EI84" s="203"/>
      <c r="EJ84" s="203"/>
      <c r="EK84" s="203"/>
      <c r="EL84" s="203"/>
      <c r="EM84" s="203"/>
      <c r="EN84" s="203"/>
      <c r="EO84" s="203"/>
      <c r="EP84" s="203"/>
      <c r="EQ84" s="203"/>
      <c r="ER84" s="203"/>
      <c r="ES84" s="203"/>
      <c r="ET84" s="203"/>
      <c r="EU84" s="203"/>
      <c r="EV84" s="203"/>
      <c r="EW84" s="203"/>
      <c r="EX84" s="203"/>
      <c r="EY84" s="203"/>
      <c r="EZ84" s="203"/>
      <c r="FA84" s="203"/>
      <c r="FB84" s="203"/>
      <c r="FC84" s="203"/>
      <c r="FD84" s="203"/>
      <c r="FE84" s="203"/>
      <c r="FF84" s="203"/>
      <c r="FG84" s="203"/>
      <c r="FH84" s="203"/>
      <c r="FI84" s="203"/>
      <c r="FJ84" s="203"/>
      <c r="FK84" s="203"/>
      <c r="FL84" s="203"/>
      <c r="FM84" s="203"/>
      <c r="FN84" s="203"/>
      <c r="FO84" s="203"/>
      <c r="FP84" s="203"/>
      <c r="FQ84" s="203"/>
      <c r="FR84" s="203"/>
      <c r="FS84" s="203"/>
      <c r="FT84" s="203"/>
      <c r="FU84" s="203"/>
      <c r="FV84" s="203"/>
      <c r="FW84" s="203"/>
      <c r="FX84" s="203"/>
      <c r="FY84" s="203"/>
      <c r="FZ84" s="203"/>
      <c r="GA84" s="203"/>
      <c r="GB84" s="203"/>
      <c r="GC84" s="203"/>
      <c r="GD84" s="203"/>
      <c r="GE84" s="203"/>
      <c r="GF84" s="203"/>
      <c r="GG84" s="203"/>
      <c r="GH84" s="203"/>
      <c r="GI84" s="203"/>
      <c r="GJ84" s="203"/>
      <c r="GK84" s="203"/>
      <c r="GL84" s="203"/>
      <c r="GM84" s="203"/>
      <c r="GN84" s="203"/>
      <c r="GO84" s="203"/>
      <c r="GP84" s="203"/>
      <c r="GQ84" s="203"/>
      <c r="GR84" s="203"/>
      <c r="GS84" s="203"/>
      <c r="GT84" s="203"/>
      <c r="GU84" s="203"/>
      <c r="GV84" s="203"/>
      <c r="GW84" s="203"/>
      <c r="GX84" s="203"/>
      <c r="GY84" s="203"/>
      <c r="GZ84" s="203"/>
      <c r="HA84" s="203"/>
      <c r="HB84" s="203"/>
      <c r="HC84" s="203"/>
      <c r="HD84" s="203"/>
      <c r="HE84" s="203"/>
      <c r="HF84" s="203"/>
      <c r="HG84" s="203"/>
      <c r="HH84" s="203"/>
      <c r="HI84" s="203"/>
      <c r="HJ84" s="203"/>
      <c r="HK84" s="203"/>
      <c r="HL84" s="203"/>
      <c r="HM84" s="203"/>
      <c r="HN84" s="203"/>
      <c r="HO84" s="203"/>
      <c r="HP84" s="203"/>
      <c r="HQ84" s="203"/>
      <c r="HR84" s="203"/>
      <c r="HS84" s="203"/>
      <c r="HT84" s="203"/>
      <c r="HU84" s="203"/>
      <c r="HV84" s="203"/>
      <c r="HW84" s="203"/>
      <c r="HX84" s="203"/>
      <c r="HY84" s="203"/>
      <c r="HZ84" s="203"/>
      <c r="IA84" s="203"/>
      <c r="IB84" s="203"/>
      <c r="IC84" s="203"/>
      <c r="ID84" s="203"/>
      <c r="IE84" s="203"/>
      <c r="IF84" s="203"/>
      <c r="IG84" s="203"/>
      <c r="IH84" s="203"/>
      <c r="II84" s="203"/>
      <c r="IJ84" s="203"/>
      <c r="IK84" s="203"/>
      <c r="IL84" s="203"/>
      <c r="IM84" s="203"/>
      <c r="IN84" s="203"/>
      <c r="IO84" s="203"/>
      <c r="IP84" s="203"/>
      <c r="IQ84" s="203"/>
      <c r="IR84" s="203"/>
      <c r="IS84" s="203"/>
      <c r="IT84" s="203"/>
      <c r="IU84" s="203"/>
      <c r="IV84" s="203"/>
    </row>
    <row r="85" ht="15">
      <c r="A85" s="196" t="s">
        <v>372</v>
      </c>
      <c r="B85" s="189">
        <f>бс!C26</f>
        <v>48379068</v>
      </c>
      <c r="C85" s="189">
        <f>бс!D26</f>
        <v>49841835.5</v>
      </c>
      <c r="D85" s="189">
        <f>бс!E26</f>
        <v>54790360.5</v>
      </c>
      <c r="E85" s="189">
        <f>бс!F26</f>
        <v>54360749</v>
      </c>
      <c r="F85" s="189">
        <f>бс!G26</f>
        <v>48346005</v>
      </c>
      <c r="G85" s="189">
        <f>бс!H26</f>
        <v>39904894.5</v>
      </c>
      <c r="H85" s="189">
        <f>бс!I26</f>
        <v>31568875.5</v>
      </c>
      <c r="I85" s="202"/>
      <c r="DW85" s="202"/>
      <c r="DX85" s="202"/>
      <c r="DY85" s="202"/>
      <c r="DZ85" s="202"/>
      <c r="EA85" s="202"/>
      <c r="EB85" s="202"/>
      <c r="EC85" s="202"/>
      <c r="ED85" s="202"/>
      <c r="EE85" s="202"/>
      <c r="EF85" s="202"/>
      <c r="EG85" s="202"/>
      <c r="EH85" s="202"/>
      <c r="EI85" s="202"/>
      <c r="EJ85" s="202"/>
      <c r="EK85" s="202"/>
      <c r="EL85" s="202"/>
      <c r="EM85" s="202"/>
      <c r="EN85" s="202"/>
      <c r="EO85" s="202"/>
      <c r="EP85" s="202"/>
      <c r="EQ85" s="202"/>
      <c r="ER85" s="202"/>
      <c r="ES85" s="202"/>
      <c r="ET85" s="202"/>
      <c r="EU85" s="202"/>
      <c r="EV85" s="202"/>
      <c r="EW85" s="202"/>
      <c r="EX85" s="202"/>
      <c r="EY85" s="202"/>
      <c r="EZ85" s="202"/>
      <c r="FA85" s="202"/>
      <c r="FB85" s="202"/>
      <c r="FC85" s="202"/>
      <c r="FD85" s="202"/>
      <c r="FE85" s="202"/>
      <c r="FF85" s="202"/>
      <c r="FG85" s="202"/>
      <c r="FH85" s="202"/>
      <c r="FI85" s="202"/>
      <c r="FJ85" s="202"/>
      <c r="FK85" s="202"/>
      <c r="FL85" s="202"/>
      <c r="FM85" s="202"/>
      <c r="FN85" s="202"/>
      <c r="FO85" s="202"/>
      <c r="FP85" s="202"/>
      <c r="FQ85" s="202"/>
      <c r="FR85" s="202"/>
      <c r="FS85" s="202"/>
      <c r="FT85" s="202"/>
      <c r="FU85" s="202"/>
      <c r="FV85" s="202"/>
      <c r="FW85" s="202"/>
      <c r="FX85" s="202"/>
      <c r="FY85" s="202"/>
      <c r="FZ85" s="202"/>
      <c r="GA85" s="202"/>
      <c r="GB85" s="202"/>
      <c r="GC85" s="202"/>
      <c r="GD85" s="202"/>
      <c r="GE85" s="202"/>
      <c r="GF85" s="202"/>
      <c r="GG85" s="202"/>
      <c r="GH85" s="202"/>
      <c r="GI85" s="202"/>
      <c r="GJ85" s="202"/>
      <c r="GK85" s="202"/>
      <c r="GL85" s="202"/>
      <c r="GM85" s="202"/>
      <c r="GN85" s="202"/>
      <c r="GO85" s="202"/>
      <c r="GP85" s="202"/>
      <c r="GQ85" s="202"/>
      <c r="GR85" s="202"/>
      <c r="GS85" s="202"/>
      <c r="GT85" s="202"/>
      <c r="GU85" s="202"/>
      <c r="GV85" s="202"/>
      <c r="GW85" s="202"/>
      <c r="GX85" s="202"/>
      <c r="GY85" s="202"/>
      <c r="GZ85" s="202"/>
      <c r="HA85" s="202"/>
      <c r="HB85" s="202"/>
      <c r="HC85" s="202"/>
      <c r="HD85" s="202"/>
      <c r="HE85" s="202"/>
      <c r="HF85" s="202"/>
      <c r="HG85" s="202"/>
      <c r="HH85" s="202"/>
      <c r="HI85" s="202"/>
      <c r="HJ85" s="202"/>
      <c r="HK85" s="202"/>
      <c r="HL85" s="202"/>
      <c r="HM85" s="202"/>
      <c r="HN85" s="202"/>
      <c r="HO85" s="202"/>
      <c r="HP85" s="202"/>
      <c r="HQ85" s="202"/>
      <c r="HR85" s="202"/>
      <c r="HS85" s="202"/>
      <c r="HT85" s="202"/>
      <c r="HU85" s="202"/>
      <c r="HV85" s="202"/>
      <c r="HW85" s="202"/>
      <c r="HX85" s="202"/>
      <c r="HY85" s="202"/>
      <c r="HZ85" s="202"/>
      <c r="IA85" s="202"/>
      <c r="IB85" s="202"/>
      <c r="IC85" s="202"/>
      <c r="ID85" s="202"/>
      <c r="IE85" s="202"/>
      <c r="IF85" s="202"/>
      <c r="IG85" s="202"/>
      <c r="IH85" s="202"/>
      <c r="II85" s="202"/>
      <c r="IJ85" s="202"/>
      <c r="IK85" s="202"/>
      <c r="IL85" s="202"/>
      <c r="IM85" s="202"/>
      <c r="IN85" s="202"/>
      <c r="IO85" s="202"/>
      <c r="IP85" s="202"/>
      <c r="IQ85" s="202"/>
      <c r="IR85" s="202"/>
      <c r="IS85" s="202"/>
      <c r="IT85" s="202"/>
      <c r="IU85" s="202"/>
      <c r="IV85" s="202"/>
    </row>
    <row r="86" ht="15">
      <c r="A86" s="171" t="s">
        <v>489</v>
      </c>
      <c r="B86" s="189">
        <f>'2'!C7</f>
        <v>21650314</v>
      </c>
      <c r="C86" s="189">
        <f>'2'!D7</f>
        <v>27154819</v>
      </c>
      <c r="D86" s="189">
        <f>'2'!E7</f>
        <v>24000677</v>
      </c>
      <c r="E86" s="189">
        <f>'2'!F7</f>
        <v>23253619</v>
      </c>
      <c r="F86" s="189">
        <f>'2'!G7</f>
        <v>26654915</v>
      </c>
      <c r="G86" s="189">
        <f>'2'!H7</f>
        <v>16131092</v>
      </c>
      <c r="H86" s="189">
        <f>'2'!I7</f>
        <v>17359621</v>
      </c>
      <c r="I86" s="202"/>
      <c r="DW86" s="202"/>
      <c r="DX86" s="202"/>
      <c r="DY86" s="202"/>
      <c r="DZ86" s="202"/>
      <c r="EA86" s="202"/>
      <c r="EB86" s="202"/>
      <c r="EC86" s="202"/>
      <c r="ED86" s="202"/>
      <c r="EE86" s="202"/>
      <c r="EF86" s="202"/>
      <c r="EG86" s="202"/>
      <c r="EH86" s="202"/>
      <c r="EI86" s="202"/>
      <c r="EJ86" s="202"/>
      <c r="EK86" s="202"/>
      <c r="EL86" s="202"/>
      <c r="EM86" s="202"/>
      <c r="EN86" s="202"/>
      <c r="EO86" s="202"/>
      <c r="EP86" s="202"/>
      <c r="EQ86" s="202"/>
      <c r="ER86" s="202"/>
      <c r="ES86" s="202"/>
      <c r="ET86" s="202"/>
      <c r="EU86" s="202"/>
      <c r="EV86" s="202"/>
      <c r="EW86" s="202"/>
      <c r="EX86" s="202"/>
      <c r="EY86" s="202"/>
      <c r="EZ86" s="202"/>
      <c r="FA86" s="202"/>
      <c r="FB86" s="202"/>
      <c r="FC86" s="202"/>
      <c r="FD86" s="202"/>
      <c r="FE86" s="202"/>
      <c r="FF86" s="202"/>
      <c r="FG86" s="202"/>
      <c r="FH86" s="202"/>
      <c r="FI86" s="202"/>
      <c r="FJ86" s="202"/>
      <c r="FK86" s="202"/>
      <c r="FL86" s="202"/>
      <c r="FM86" s="202"/>
      <c r="FN86" s="202"/>
      <c r="FO86" s="202"/>
      <c r="FP86" s="202"/>
      <c r="FQ86" s="202"/>
      <c r="FR86" s="202"/>
      <c r="FS86" s="202"/>
      <c r="FT86" s="202"/>
      <c r="FU86" s="202"/>
      <c r="FV86" s="202"/>
      <c r="FW86" s="202"/>
      <c r="FX86" s="202"/>
      <c r="FY86" s="202"/>
      <c r="FZ86" s="202"/>
      <c r="GA86" s="202"/>
      <c r="GB86" s="202"/>
      <c r="GC86" s="202"/>
      <c r="GD86" s="202"/>
      <c r="GE86" s="202"/>
      <c r="GF86" s="202"/>
      <c r="GG86" s="202"/>
      <c r="GH86" s="202"/>
      <c r="GI86" s="202"/>
      <c r="GJ86" s="202"/>
      <c r="GK86" s="202"/>
      <c r="GL86" s="202"/>
      <c r="GM86" s="202"/>
      <c r="GN86" s="202"/>
      <c r="GO86" s="202"/>
      <c r="GP86" s="202"/>
      <c r="GQ86" s="202"/>
      <c r="GR86" s="202"/>
      <c r="GS86" s="202"/>
      <c r="GT86" s="202"/>
      <c r="GU86" s="202"/>
      <c r="GV86" s="202"/>
      <c r="GW86" s="202"/>
      <c r="GX86" s="202"/>
      <c r="GY86" s="202"/>
      <c r="GZ86" s="202"/>
      <c r="HA86" s="202"/>
      <c r="HB86" s="202"/>
      <c r="HC86" s="202"/>
      <c r="HD86" s="202"/>
      <c r="HE86" s="202"/>
      <c r="HF86" s="202"/>
      <c r="HG86" s="202"/>
      <c r="HH86" s="202"/>
      <c r="HI86" s="202"/>
      <c r="HJ86" s="202"/>
      <c r="HK86" s="202"/>
      <c r="HL86" s="202"/>
      <c r="HM86" s="202"/>
      <c r="HN86" s="202"/>
      <c r="HO86" s="202"/>
      <c r="HP86" s="202"/>
      <c r="HQ86" s="202"/>
      <c r="HR86" s="202"/>
      <c r="HS86" s="202"/>
      <c r="HT86" s="202"/>
      <c r="HU86" s="202"/>
      <c r="HV86" s="202"/>
      <c r="HW86" s="202"/>
      <c r="HX86" s="202"/>
      <c r="HY86" s="202"/>
      <c r="HZ86" s="202"/>
      <c r="IA86" s="202"/>
      <c r="IB86" s="202"/>
      <c r="IC86" s="202"/>
      <c r="ID86" s="202"/>
      <c r="IE86" s="202"/>
      <c r="IF86" s="202"/>
      <c r="IG86" s="202"/>
      <c r="IH86" s="202"/>
      <c r="II86" s="202"/>
      <c r="IJ86" s="202"/>
      <c r="IK86" s="202"/>
      <c r="IL86" s="202"/>
      <c r="IM86" s="202"/>
      <c r="IN86" s="202"/>
      <c r="IO86" s="202"/>
      <c r="IP86" s="202"/>
      <c r="IQ86" s="202"/>
      <c r="IR86" s="202"/>
      <c r="IS86" s="202"/>
      <c r="IT86" s="202"/>
      <c r="IU86" s="202"/>
      <c r="IV86" s="202"/>
    </row>
    <row r="87" ht="15">
      <c r="A87" s="171" t="s">
        <v>374</v>
      </c>
      <c r="B87" s="189">
        <f>'2'!C25</f>
        <v>3687983</v>
      </c>
      <c r="C87" s="189">
        <f>'2'!D25</f>
        <v>4745980</v>
      </c>
      <c r="D87" s="189">
        <f>'2'!E25</f>
        <v>8056307</v>
      </c>
      <c r="E87" s="189">
        <f>'2'!F25</f>
        <v>7458998</v>
      </c>
      <c r="F87" s="189">
        <f>'2'!G25</f>
        <v>9074394</v>
      </c>
      <c r="G87" s="189">
        <f>'2'!H25</f>
        <v>412488</v>
      </c>
      <c r="H87" s="189">
        <f>'2'!I25</f>
        <v>4028440</v>
      </c>
      <c r="I87" s="202"/>
      <c r="DW87" s="202"/>
      <c r="DX87" s="202"/>
      <c r="DY87" s="202"/>
      <c r="DZ87" s="202"/>
      <c r="EA87" s="202"/>
      <c r="EB87" s="202"/>
      <c r="EC87" s="202"/>
      <c r="ED87" s="202"/>
      <c r="EE87" s="202"/>
      <c r="EF87" s="202"/>
      <c r="EG87" s="202"/>
      <c r="EH87" s="202"/>
      <c r="EI87" s="202"/>
      <c r="EJ87" s="202"/>
      <c r="EK87" s="202"/>
      <c r="EL87" s="202"/>
      <c r="EM87" s="202"/>
      <c r="EN87" s="202"/>
      <c r="EO87" s="202"/>
      <c r="EP87" s="202"/>
      <c r="EQ87" s="202"/>
      <c r="ER87" s="202"/>
      <c r="ES87" s="202"/>
      <c r="ET87" s="202"/>
      <c r="EU87" s="202"/>
      <c r="EV87" s="202"/>
      <c r="EW87" s="202"/>
      <c r="EX87" s="202"/>
      <c r="EY87" s="202"/>
      <c r="EZ87" s="202"/>
      <c r="FA87" s="202"/>
      <c r="FB87" s="202"/>
      <c r="FC87" s="202"/>
      <c r="FD87" s="202"/>
      <c r="FE87" s="202"/>
      <c r="FF87" s="202"/>
      <c r="FG87" s="202"/>
      <c r="FH87" s="202"/>
      <c r="FI87" s="202"/>
      <c r="FJ87" s="202"/>
      <c r="FK87" s="202"/>
      <c r="FL87" s="202"/>
      <c r="FM87" s="202"/>
      <c r="FN87" s="202"/>
      <c r="FO87" s="202"/>
      <c r="FP87" s="202"/>
      <c r="FQ87" s="202"/>
      <c r="FR87" s="202"/>
      <c r="FS87" s="202"/>
      <c r="FT87" s="202"/>
      <c r="FU87" s="202"/>
      <c r="FV87" s="202"/>
      <c r="FW87" s="202"/>
      <c r="FX87" s="202"/>
      <c r="FY87" s="202"/>
      <c r="FZ87" s="202"/>
      <c r="GA87" s="202"/>
      <c r="GB87" s="202"/>
      <c r="GC87" s="202"/>
      <c r="GD87" s="202"/>
      <c r="GE87" s="202"/>
      <c r="GF87" s="202"/>
      <c r="GG87" s="202"/>
      <c r="GH87" s="202"/>
      <c r="GI87" s="202"/>
      <c r="GJ87" s="202"/>
      <c r="GK87" s="202"/>
      <c r="GL87" s="202"/>
      <c r="GM87" s="202"/>
      <c r="GN87" s="202"/>
      <c r="GO87" s="202"/>
      <c r="GP87" s="202"/>
      <c r="GQ87" s="202"/>
      <c r="GR87" s="202"/>
      <c r="GS87" s="202"/>
      <c r="GT87" s="202"/>
      <c r="GU87" s="202"/>
      <c r="GV87" s="202"/>
      <c r="GW87" s="202"/>
      <c r="GX87" s="202"/>
      <c r="GY87" s="202"/>
      <c r="GZ87" s="202"/>
      <c r="HA87" s="202"/>
      <c r="HB87" s="202"/>
      <c r="HC87" s="202"/>
      <c r="HD87" s="202"/>
      <c r="HE87" s="202"/>
      <c r="HF87" s="202"/>
      <c r="HG87" s="202"/>
      <c r="HH87" s="202"/>
      <c r="HI87" s="202"/>
      <c r="HJ87" s="202"/>
      <c r="HK87" s="202"/>
      <c r="HL87" s="202"/>
      <c r="HM87" s="202"/>
      <c r="HN87" s="202"/>
      <c r="HO87" s="202"/>
      <c r="HP87" s="202"/>
      <c r="HQ87" s="202"/>
      <c r="HR87" s="202"/>
      <c r="HS87" s="202"/>
      <c r="HT87" s="202"/>
      <c r="HU87" s="202"/>
      <c r="HV87" s="202"/>
      <c r="HW87" s="202"/>
      <c r="HX87" s="202"/>
      <c r="HY87" s="202"/>
      <c r="HZ87" s="202"/>
      <c r="IA87" s="202"/>
      <c r="IB87" s="202"/>
      <c r="IC87" s="202"/>
      <c r="ID87" s="202"/>
      <c r="IE87" s="202"/>
      <c r="IF87" s="202"/>
      <c r="IG87" s="202"/>
      <c r="IH87" s="202"/>
      <c r="II87" s="202"/>
      <c r="IJ87" s="202"/>
      <c r="IK87" s="202"/>
      <c r="IL87" s="202"/>
      <c r="IM87" s="202"/>
      <c r="IN87" s="202"/>
      <c r="IO87" s="202"/>
      <c r="IP87" s="202"/>
      <c r="IQ87" s="202"/>
      <c r="IR87" s="202"/>
      <c r="IS87" s="202"/>
      <c r="IT87" s="202"/>
      <c r="IU87" s="202"/>
      <c r="IV87" s="202"/>
    </row>
    <row r="88" ht="15">
      <c r="A88" s="255"/>
      <c r="B88" s="183"/>
      <c r="C88" s="183"/>
      <c r="D88" s="202"/>
      <c r="E88" s="202"/>
      <c r="F88" s="202"/>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H88" s="202"/>
      <c r="AI88" s="183"/>
      <c r="AJ88" s="183"/>
      <c r="AK88" s="183"/>
      <c r="AL88" s="183"/>
      <c r="AM88" s="183"/>
      <c r="AN88" s="183"/>
      <c r="AO88" s="183"/>
      <c r="AP88" s="183"/>
      <c r="AQ88" s="183"/>
      <c r="AR88" s="183"/>
      <c r="AS88" s="183"/>
      <c r="AT88" s="183"/>
      <c r="AU88" s="183"/>
      <c r="AV88" s="183"/>
      <c r="AW88" s="183"/>
      <c r="AX88" s="183"/>
      <c r="AY88" s="183"/>
      <c r="AZ88" s="183"/>
      <c r="BA88" s="183"/>
      <c r="BB88" s="183"/>
      <c r="BC88" s="183"/>
      <c r="BD88" s="183"/>
      <c r="BE88" s="183"/>
      <c r="BF88" s="183"/>
      <c r="BG88" s="183"/>
      <c r="BH88" s="183"/>
      <c r="BI88" s="183"/>
      <c r="BJ88" s="183"/>
      <c r="BK88" s="183"/>
      <c r="BL88" s="183"/>
      <c r="BM88" s="183"/>
      <c r="BN88" s="183"/>
      <c r="BO88" s="183"/>
      <c r="BP88" s="183"/>
      <c r="BQ88" s="202"/>
      <c r="BR88" s="202"/>
      <c r="BS88" s="202"/>
      <c r="BT88" s="202"/>
      <c r="BU88" s="202"/>
      <c r="BV88" s="202"/>
      <c r="BW88" s="202"/>
      <c r="BX88" s="202"/>
      <c r="BY88" s="202"/>
      <c r="BZ88" s="202"/>
      <c r="CA88" s="202"/>
      <c r="CB88" s="202"/>
      <c r="CC88" s="202"/>
      <c r="CD88" s="202"/>
      <c r="CE88" s="202"/>
      <c r="CF88" s="202"/>
      <c r="CG88" s="202"/>
      <c r="CH88" s="202"/>
      <c r="CI88" s="202"/>
      <c r="CJ88" s="202"/>
      <c r="CK88" s="202"/>
      <c r="CL88" s="202"/>
      <c r="CM88" s="202"/>
      <c r="CN88" s="202"/>
      <c r="CO88" s="202"/>
      <c r="CP88" s="202"/>
      <c r="CQ88" s="202"/>
      <c r="CR88" s="202"/>
      <c r="CS88" s="202"/>
      <c r="CT88" s="202"/>
      <c r="CU88" s="202"/>
      <c r="CV88" s="202"/>
      <c r="CW88" s="202"/>
      <c r="CX88" s="202"/>
      <c r="CY88" s="202"/>
      <c r="CZ88" s="202"/>
      <c r="DA88" s="202"/>
      <c r="DB88" s="202"/>
      <c r="DC88" s="202"/>
      <c r="DD88" s="202"/>
      <c r="DE88" s="202"/>
      <c r="DF88" s="202"/>
      <c r="DG88" s="202"/>
      <c r="DH88" s="202"/>
      <c r="DI88" s="202"/>
      <c r="DJ88" s="202"/>
      <c r="DK88" s="202"/>
      <c r="DL88" s="202"/>
      <c r="DM88" s="202"/>
      <c r="DN88" s="202"/>
      <c r="DO88" s="202"/>
      <c r="DP88" s="202"/>
      <c r="DQ88" s="202"/>
      <c r="DR88" s="202"/>
      <c r="DS88" s="202"/>
      <c r="DT88" s="202"/>
      <c r="DU88" s="202"/>
      <c r="DV88" s="202"/>
      <c r="DW88" s="202"/>
      <c r="DX88" s="202"/>
      <c r="DY88" s="202"/>
      <c r="DZ88" s="202"/>
      <c r="EA88" s="202"/>
      <c r="EB88" s="202"/>
      <c r="EC88" s="202"/>
      <c r="ED88" s="202"/>
      <c r="EE88" s="202"/>
      <c r="EF88" s="202"/>
      <c r="EG88" s="202"/>
      <c r="EH88" s="202"/>
      <c r="EI88" s="202"/>
      <c r="EJ88" s="202"/>
      <c r="EK88" s="202"/>
      <c r="EL88" s="202"/>
      <c r="EM88" s="202"/>
      <c r="EN88" s="202"/>
      <c r="EO88" s="202"/>
      <c r="EP88" s="202"/>
      <c r="EQ88" s="202"/>
      <c r="ER88" s="202"/>
      <c r="ES88" s="202"/>
      <c r="ET88" s="202"/>
      <c r="EU88" s="202"/>
      <c r="EV88" s="202"/>
      <c r="EW88" s="202"/>
      <c r="EX88" s="202"/>
      <c r="EY88" s="202"/>
      <c r="EZ88" s="202"/>
      <c r="FA88" s="202"/>
      <c r="FB88" s="202"/>
      <c r="FC88" s="202"/>
      <c r="FD88" s="202"/>
      <c r="FE88" s="202"/>
      <c r="FF88" s="202"/>
      <c r="FG88" s="202"/>
      <c r="FH88" s="202"/>
      <c r="FI88" s="202"/>
      <c r="FJ88" s="202"/>
      <c r="FK88" s="202"/>
      <c r="FL88" s="202"/>
      <c r="FM88" s="202"/>
      <c r="FN88" s="202"/>
      <c r="FO88" s="202"/>
      <c r="FP88" s="202"/>
      <c r="FQ88" s="202"/>
      <c r="FR88" s="202"/>
      <c r="FS88" s="202"/>
      <c r="FT88" s="202"/>
      <c r="FU88" s="202"/>
      <c r="FV88" s="202"/>
      <c r="FW88" s="202"/>
      <c r="FX88" s="202"/>
      <c r="FY88" s="202"/>
      <c r="FZ88" s="202"/>
      <c r="GA88" s="202"/>
      <c r="GB88" s="202"/>
      <c r="GC88" s="202"/>
      <c r="GD88" s="202"/>
      <c r="GE88" s="202"/>
      <c r="GF88" s="202"/>
      <c r="GG88" s="202"/>
      <c r="GH88" s="202"/>
      <c r="GI88" s="202"/>
      <c r="GJ88" s="202"/>
      <c r="GK88" s="202"/>
      <c r="GL88" s="202"/>
      <c r="GM88" s="202"/>
      <c r="GN88" s="202"/>
      <c r="GO88" s="202"/>
      <c r="GP88" s="202"/>
      <c r="GQ88" s="202"/>
      <c r="GR88" s="202"/>
      <c r="GS88" s="202"/>
      <c r="GT88" s="202"/>
      <c r="GU88" s="202"/>
      <c r="GV88" s="202"/>
      <c r="GW88" s="202"/>
      <c r="GX88" s="202"/>
      <c r="GY88" s="202"/>
      <c r="GZ88" s="202"/>
      <c r="HA88" s="202"/>
      <c r="HB88" s="202"/>
      <c r="HC88" s="202"/>
      <c r="HD88" s="202"/>
      <c r="HE88" s="202"/>
      <c r="HF88" s="202"/>
      <c r="HG88" s="202"/>
      <c r="HH88" s="202"/>
      <c r="HI88" s="202"/>
      <c r="HJ88" s="202"/>
      <c r="HK88" s="202"/>
      <c r="HL88" s="202"/>
      <c r="HM88" s="202"/>
      <c r="HN88" s="202"/>
      <c r="HO88" s="202"/>
      <c r="HP88" s="202"/>
      <c r="HQ88" s="202"/>
      <c r="HR88" s="202"/>
      <c r="HS88" s="202"/>
      <c r="HT88" s="202"/>
      <c r="HU88" s="202"/>
      <c r="HV88" s="202"/>
      <c r="HW88" s="202"/>
      <c r="HX88" s="202"/>
      <c r="HY88" s="202"/>
      <c r="HZ88" s="202"/>
      <c r="IA88" s="202"/>
      <c r="IB88" s="202"/>
      <c r="IC88" s="202"/>
      <c r="ID88" s="202"/>
      <c r="IE88" s="202"/>
      <c r="IF88" s="202"/>
      <c r="IG88" s="202"/>
      <c r="IH88" s="202"/>
      <c r="II88" s="202"/>
      <c r="IJ88" s="202"/>
      <c r="IK88" s="202"/>
      <c r="IL88" s="202"/>
      <c r="IM88" s="202"/>
      <c r="IN88" s="202"/>
      <c r="IO88" s="202"/>
      <c r="IP88" s="202"/>
      <c r="IQ88" s="202"/>
      <c r="IR88" s="202"/>
      <c r="IS88" s="202"/>
      <c r="IT88" s="202"/>
      <c r="IU88" s="202"/>
      <c r="IV88" s="202"/>
    </row>
    <row r="89" ht="15">
      <c r="A89" s="192" t="s">
        <v>490</v>
      </c>
      <c r="B89" s="183"/>
      <c r="C89" s="183"/>
      <c r="D89" s="183"/>
      <c r="E89" s="183"/>
      <c r="F89" s="183"/>
      <c r="G89" s="183"/>
      <c r="H89" s="183"/>
      <c r="I89" s="183"/>
      <c r="J89" s="183"/>
      <c r="K89" s="183"/>
      <c r="L89" s="183"/>
      <c r="M89" s="183"/>
      <c r="N89" s="183"/>
      <c r="O89" s="183"/>
      <c r="P89" s="183"/>
      <c r="Q89" s="183"/>
      <c r="R89" s="183"/>
      <c r="S89" s="183"/>
      <c r="T89" s="183"/>
      <c r="U89" s="183"/>
      <c r="V89" s="183"/>
      <c r="W89" s="183"/>
      <c r="X89" s="183"/>
      <c r="Y89" s="183"/>
      <c r="Z89" s="183"/>
      <c r="AA89" s="183"/>
      <c r="AB89" s="183"/>
      <c r="AC89" s="183"/>
      <c r="AD89" s="183"/>
      <c r="AE89" s="183"/>
      <c r="AF89" s="183"/>
      <c r="AG89" s="183"/>
      <c r="AH89" s="183"/>
      <c r="AI89" s="183"/>
      <c r="AJ89" s="183"/>
      <c r="AK89" s="183"/>
      <c r="AL89" s="183"/>
      <c r="AM89" s="183"/>
      <c r="AN89" s="183"/>
      <c r="AO89" s="183"/>
      <c r="AP89" s="183"/>
      <c r="AQ89" s="183"/>
      <c r="AR89" s="183"/>
      <c r="AS89" s="183"/>
      <c r="AT89" s="183"/>
      <c r="AU89" s="183"/>
      <c r="AV89" s="183"/>
      <c r="AW89" s="183"/>
      <c r="AX89" s="183"/>
      <c r="AY89" s="183"/>
      <c r="AZ89" s="183"/>
      <c r="BA89" s="183"/>
      <c r="BB89" s="183"/>
      <c r="BC89" s="183"/>
      <c r="BD89" s="183"/>
      <c r="BE89" s="183"/>
      <c r="BF89" s="183"/>
      <c r="BG89" s="183"/>
      <c r="BH89" s="183"/>
      <c r="BI89" s="183"/>
      <c r="BJ89" s="183"/>
      <c r="BK89" s="183"/>
      <c r="BL89" s="183"/>
      <c r="BM89" s="183"/>
      <c r="BN89" s="183"/>
      <c r="BO89" s="183"/>
      <c r="BP89" s="183"/>
      <c r="BQ89" s="183"/>
      <c r="BR89" s="183"/>
      <c r="BS89" s="183"/>
      <c r="BT89" s="183"/>
      <c r="BU89" s="183"/>
      <c r="BV89" s="183"/>
      <c r="BW89" s="183"/>
      <c r="BX89" s="183"/>
      <c r="BY89" s="183"/>
      <c r="BZ89" s="183"/>
      <c r="CA89" s="183"/>
      <c r="CB89" s="183"/>
      <c r="CC89" s="183"/>
      <c r="CD89" s="183"/>
      <c r="CE89" s="183"/>
      <c r="CF89" s="183"/>
      <c r="CG89" s="183"/>
      <c r="CH89" s="183"/>
      <c r="CI89" s="183"/>
      <c r="CJ89" s="183"/>
      <c r="CK89" s="183"/>
      <c r="CL89" s="183"/>
      <c r="CM89" s="183"/>
      <c r="CN89" s="183"/>
      <c r="CO89" s="183"/>
      <c r="CP89" s="183"/>
      <c r="CQ89" s="183"/>
      <c r="CR89" s="183"/>
      <c r="CS89" s="183"/>
      <c r="CT89" s="183"/>
      <c r="CU89" s="183"/>
      <c r="CV89" s="183"/>
      <c r="CW89" s="183"/>
      <c r="CX89" s="183"/>
      <c r="CY89" s="183"/>
      <c r="CZ89" s="183"/>
      <c r="DA89" s="183"/>
      <c r="DB89" s="183"/>
      <c r="DC89" s="183"/>
      <c r="DD89" s="183"/>
      <c r="DE89" s="183"/>
      <c r="DF89" s="183"/>
      <c r="DG89" s="183"/>
      <c r="DH89" s="183"/>
      <c r="DI89" s="183"/>
      <c r="DJ89" s="183"/>
      <c r="DK89" s="183"/>
      <c r="DL89" s="183"/>
      <c r="DM89" s="183"/>
      <c r="DN89" s="183"/>
      <c r="DO89" s="183"/>
      <c r="DP89" s="183"/>
      <c r="DQ89" s="183"/>
      <c r="DR89" s="183"/>
      <c r="DS89" s="183"/>
      <c r="DT89" s="183"/>
      <c r="DU89" s="183"/>
      <c r="DV89" s="183"/>
      <c r="DW89" s="183"/>
      <c r="DX89" s="183"/>
      <c r="DY89" s="183"/>
      <c r="DZ89" s="183"/>
      <c r="EA89" s="183"/>
      <c r="EB89" s="183"/>
      <c r="EC89" s="183"/>
      <c r="ED89" s="183"/>
      <c r="EE89" s="183"/>
      <c r="EF89" s="183"/>
      <c r="EG89" s="183"/>
      <c r="EH89" s="183"/>
      <c r="EI89" s="183"/>
      <c r="EJ89" s="183"/>
      <c r="EK89" s="183"/>
      <c r="EL89" s="183"/>
      <c r="EM89" s="183"/>
      <c r="EN89" s="183"/>
      <c r="EO89" s="183"/>
      <c r="EP89" s="183"/>
      <c r="EQ89" s="183"/>
      <c r="ER89" s="183"/>
      <c r="ES89" s="183"/>
      <c r="ET89" s="183"/>
      <c r="EU89" s="183"/>
      <c r="EV89" s="183"/>
      <c r="EW89" s="183"/>
      <c r="EX89" s="183"/>
      <c r="EY89" s="183"/>
      <c r="EZ89" s="183"/>
      <c r="FA89" s="183"/>
      <c r="FB89" s="183"/>
      <c r="FC89" s="183"/>
      <c r="FD89" s="183"/>
      <c r="FE89" s="183"/>
      <c r="FF89" s="183"/>
      <c r="FG89" s="183"/>
      <c r="FH89" s="183"/>
      <c r="FI89" s="183"/>
      <c r="FJ89" s="183"/>
      <c r="FK89" s="183"/>
      <c r="FL89" s="183"/>
      <c r="FM89" s="183"/>
      <c r="FN89" s="183"/>
      <c r="FO89" s="183"/>
      <c r="FP89" s="183"/>
      <c r="FQ89" s="183"/>
      <c r="FR89" s="183"/>
      <c r="FS89" s="183"/>
      <c r="FT89" s="183"/>
      <c r="FU89" s="183"/>
      <c r="FV89" s="183"/>
      <c r="FW89" s="183"/>
      <c r="FX89" s="183"/>
      <c r="FY89" s="183"/>
      <c r="FZ89" s="183"/>
      <c r="GA89" s="183"/>
      <c r="GB89" s="183"/>
      <c r="GC89" s="183"/>
      <c r="GD89" s="183"/>
      <c r="GE89" s="183"/>
      <c r="GF89" s="183"/>
      <c r="GG89" s="183"/>
      <c r="GH89" s="183"/>
      <c r="GI89" s="183"/>
      <c r="GJ89" s="183"/>
      <c r="GK89" s="183"/>
      <c r="GL89" s="183"/>
      <c r="GM89" s="183"/>
      <c r="GN89" s="183"/>
      <c r="GO89" s="183"/>
      <c r="GP89" s="183"/>
      <c r="GQ89" s="183"/>
      <c r="GR89" s="183"/>
      <c r="GS89" s="183"/>
      <c r="GT89" s="183"/>
      <c r="GU89" s="183"/>
      <c r="GV89" s="183"/>
      <c r="GW89" s="183"/>
      <c r="GX89" s="183"/>
      <c r="GY89" s="183"/>
      <c r="GZ89" s="183"/>
      <c r="HA89" s="183"/>
      <c r="HB89" s="183"/>
      <c r="HC89" s="183"/>
      <c r="HD89" s="183"/>
      <c r="HE89" s="183"/>
      <c r="HF89" s="183"/>
      <c r="HG89" s="183"/>
      <c r="HH89" s="183"/>
      <c r="HI89" s="183"/>
      <c r="HJ89" s="183"/>
      <c r="HK89" s="183"/>
      <c r="HL89" s="183"/>
      <c r="HM89" s="183"/>
      <c r="HN89" s="183"/>
      <c r="HO89" s="183"/>
      <c r="HP89" s="183"/>
      <c r="HQ89" s="183"/>
      <c r="HR89" s="183"/>
      <c r="HS89" s="183"/>
      <c r="HT89" s="183"/>
      <c r="HU89" s="183"/>
      <c r="HV89" s="183"/>
      <c r="HW89" s="183"/>
      <c r="HX89" s="183"/>
      <c r="HY89" s="183"/>
      <c r="HZ89" s="183"/>
      <c r="IA89" s="183"/>
      <c r="IB89" s="183"/>
      <c r="IC89" s="183"/>
      <c r="ID89" s="183"/>
      <c r="IE89" s="183"/>
      <c r="IF89" s="183"/>
      <c r="IG89" s="183"/>
      <c r="IH89" s="183"/>
      <c r="II89" s="183"/>
      <c r="IJ89" s="183"/>
      <c r="IK89" s="183"/>
      <c r="IL89" s="183"/>
      <c r="IM89" s="183"/>
      <c r="IN89" s="183"/>
      <c r="IO89" s="183"/>
      <c r="IP89" s="183"/>
      <c r="IQ89" s="183"/>
      <c r="IR89" s="183"/>
      <c r="IS89" s="183"/>
      <c r="IT89" s="183"/>
      <c r="IU89" s="183"/>
      <c r="IV89" s="183"/>
    </row>
    <row r="90" ht="15">
      <c r="A90" s="168" t="s">
        <v>177</v>
      </c>
      <c r="B90" s="168" t="str">
        <f>э!B46</f>
        <v xml:space="preserve">2019/2018 год</v>
      </c>
      <c r="C90" s="168" t="str">
        <f>э!C46</f>
        <v xml:space="preserve">2018/2017 год</v>
      </c>
      <c r="D90" s="168" t="str">
        <f>э!D46</f>
        <v xml:space="preserve">2017/2016 год</v>
      </c>
      <c r="E90" s="168" t="str">
        <f>э!E46</f>
        <v xml:space="preserve">2016/2015 год</v>
      </c>
      <c r="F90" s="168" t="str">
        <f>э!F46</f>
        <v xml:space="preserve">2015/2014 год</v>
      </c>
      <c r="G90" s="168" t="str">
        <f>э!G46</f>
        <v xml:space="preserve">2014/2013 год</v>
      </c>
      <c r="H90" s="183"/>
      <c r="I90" s="183"/>
      <c r="J90" s="183"/>
      <c r="K90" s="183"/>
      <c r="L90" s="183"/>
      <c r="M90" s="183"/>
      <c r="N90" s="183"/>
      <c r="O90" s="183"/>
      <c r="P90" s="183"/>
      <c r="Q90" s="183"/>
      <c r="R90" s="183"/>
      <c r="S90" s="183"/>
      <c r="T90" s="183"/>
      <c r="U90" s="183"/>
      <c r="V90" s="183"/>
      <c r="W90" s="183"/>
      <c r="X90" s="183"/>
      <c r="Y90" s="183"/>
      <c r="Z90" s="183"/>
      <c r="AA90" s="183"/>
      <c r="AB90" s="183"/>
      <c r="AC90" s="183"/>
      <c r="AD90" s="183"/>
      <c r="AE90" s="183"/>
      <c r="AF90" s="183"/>
      <c r="AG90" s="183"/>
      <c r="AH90" s="183"/>
      <c r="AI90" s="183"/>
      <c r="AJ90" s="183"/>
      <c r="AK90" s="183"/>
      <c r="AL90" s="183"/>
      <c r="AM90" s="183"/>
      <c r="AN90" s="183"/>
      <c r="AO90" s="183"/>
      <c r="AP90" s="183"/>
      <c r="AQ90" s="183"/>
      <c r="AR90" s="183"/>
      <c r="AS90" s="183"/>
      <c r="AT90" s="183"/>
      <c r="AU90" s="183"/>
      <c r="AV90" s="183"/>
      <c r="AW90" s="183"/>
      <c r="AX90" s="183"/>
      <c r="AY90" s="183"/>
      <c r="AZ90" s="183"/>
      <c r="BA90" s="183"/>
      <c r="BB90" s="183"/>
      <c r="BC90" s="183"/>
      <c r="BD90" s="183"/>
      <c r="BE90" s="183"/>
      <c r="BF90" s="183"/>
      <c r="BG90" s="183"/>
      <c r="BH90" s="183"/>
      <c r="BI90" s="183"/>
      <c r="BJ90" s="183"/>
      <c r="BK90" s="183"/>
      <c r="BL90" s="183"/>
      <c r="BM90" s="183"/>
      <c r="BN90" s="183"/>
      <c r="BO90" s="183"/>
      <c r="BP90" s="183"/>
      <c r="BQ90" s="183"/>
      <c r="BR90" s="183"/>
      <c r="BS90" s="183"/>
      <c r="BT90" s="183"/>
      <c r="BU90" s="183"/>
      <c r="BV90" s="183"/>
      <c r="BW90" s="183"/>
      <c r="BX90" s="183"/>
      <c r="BY90" s="183"/>
      <c r="BZ90" s="183"/>
      <c r="CA90" s="183"/>
      <c r="CB90" s="183"/>
      <c r="CC90" s="183"/>
      <c r="CD90" s="183"/>
      <c r="CE90" s="183"/>
      <c r="CF90" s="183"/>
      <c r="CG90" s="183"/>
      <c r="CH90" s="183"/>
      <c r="CI90" s="183"/>
      <c r="CJ90" s="183"/>
      <c r="CK90" s="183"/>
      <c r="CL90" s="183"/>
      <c r="CM90" s="183"/>
      <c r="CN90" s="183"/>
      <c r="CO90" s="183"/>
      <c r="CP90" s="183"/>
      <c r="CQ90" s="183"/>
      <c r="CR90" s="183"/>
      <c r="CS90" s="183"/>
      <c r="CT90" s="183"/>
      <c r="CU90" s="183"/>
      <c r="CV90" s="183"/>
      <c r="CW90" s="183"/>
      <c r="CX90" s="183"/>
      <c r="CY90" s="183"/>
      <c r="CZ90" s="183"/>
      <c r="DA90" s="183"/>
      <c r="DB90" s="183"/>
      <c r="DC90" s="183"/>
      <c r="DD90" s="183"/>
      <c r="DE90" s="183"/>
      <c r="DF90" s="183"/>
      <c r="DG90" s="183"/>
      <c r="DH90" s="183"/>
      <c r="DI90" s="183"/>
      <c r="DJ90" s="183"/>
      <c r="DK90" s="183"/>
      <c r="DL90" s="183"/>
      <c r="DM90" s="183"/>
      <c r="DN90" s="183"/>
      <c r="DO90" s="183"/>
      <c r="DP90" s="183"/>
      <c r="DQ90" s="183"/>
      <c r="DR90" s="183"/>
      <c r="DS90" s="183"/>
      <c r="DT90" s="183"/>
      <c r="DU90" s="183"/>
      <c r="DV90" s="183"/>
      <c r="DW90" s="183"/>
      <c r="DX90" s="183"/>
      <c r="DY90" s="183"/>
      <c r="DZ90" s="183"/>
      <c r="EA90" s="183"/>
      <c r="EB90" s="183"/>
      <c r="EC90" s="183"/>
      <c r="ED90" s="183"/>
      <c r="EE90" s="183"/>
      <c r="EF90" s="183"/>
      <c r="EG90" s="183"/>
      <c r="EH90" s="183"/>
      <c r="EI90" s="183"/>
      <c r="EJ90" s="183"/>
      <c r="EK90" s="183"/>
      <c r="EL90" s="183"/>
      <c r="EM90" s="183"/>
      <c r="EN90" s="183"/>
      <c r="EO90" s="183"/>
      <c r="EP90" s="183"/>
      <c r="EQ90" s="183"/>
      <c r="ER90" s="183"/>
      <c r="ES90" s="183"/>
      <c r="ET90" s="183"/>
      <c r="EU90" s="183"/>
      <c r="EV90" s="183"/>
      <c r="EW90" s="183"/>
      <c r="EX90" s="183"/>
      <c r="EY90" s="183"/>
      <c r="EZ90" s="183"/>
      <c r="FA90" s="183"/>
      <c r="FB90" s="183"/>
      <c r="FC90" s="183"/>
      <c r="FD90" s="183"/>
      <c r="FE90" s="183"/>
      <c r="FF90" s="183"/>
      <c r="FG90" s="183"/>
      <c r="FH90" s="183"/>
      <c r="FI90" s="183"/>
      <c r="FJ90" s="183"/>
      <c r="FK90" s="183"/>
      <c r="FL90" s="183"/>
      <c r="FM90" s="183"/>
      <c r="FN90" s="183"/>
      <c r="FO90" s="183"/>
      <c r="FP90" s="183"/>
      <c r="FQ90" s="183"/>
      <c r="FR90" s="183"/>
      <c r="FS90" s="183"/>
      <c r="FT90" s="183"/>
      <c r="FU90" s="183"/>
      <c r="FV90" s="183"/>
      <c r="FW90" s="183"/>
      <c r="FX90" s="183"/>
      <c r="FY90" s="183"/>
      <c r="FZ90" s="183"/>
      <c r="GA90" s="183"/>
      <c r="GB90" s="183"/>
      <c r="GC90" s="183"/>
      <c r="GD90" s="183"/>
      <c r="GE90" s="183"/>
      <c r="GF90" s="183"/>
      <c r="GG90" s="183"/>
      <c r="GH90" s="183"/>
      <c r="GI90" s="183"/>
      <c r="GJ90" s="183"/>
      <c r="GK90" s="183"/>
      <c r="GL90" s="183"/>
      <c r="GM90" s="183"/>
      <c r="GN90" s="183"/>
      <c r="GO90" s="183"/>
      <c r="GP90" s="183"/>
      <c r="GQ90" s="183"/>
      <c r="GR90" s="183"/>
      <c r="GS90" s="183"/>
      <c r="GT90" s="183"/>
      <c r="GU90" s="183"/>
      <c r="GV90" s="183"/>
      <c r="GW90" s="183"/>
      <c r="GX90" s="183"/>
      <c r="GY90" s="183"/>
      <c r="GZ90" s="183"/>
      <c r="HA90" s="183"/>
      <c r="HB90" s="183"/>
      <c r="HC90" s="183"/>
      <c r="HD90" s="183"/>
      <c r="HE90" s="183"/>
      <c r="HF90" s="183"/>
      <c r="HG90" s="183"/>
      <c r="HH90" s="183"/>
      <c r="HI90" s="183"/>
      <c r="HJ90" s="183"/>
      <c r="HK90" s="183"/>
      <c r="HL90" s="183"/>
      <c r="HM90" s="183"/>
      <c r="HN90" s="183"/>
      <c r="HO90" s="183"/>
      <c r="HP90" s="183"/>
      <c r="HQ90" s="183"/>
      <c r="HR90" s="183"/>
      <c r="HS90" s="183"/>
      <c r="HT90" s="183"/>
      <c r="HU90" s="183"/>
      <c r="HV90" s="183"/>
      <c r="HW90" s="183"/>
      <c r="HX90" s="183"/>
      <c r="HY90" s="183"/>
      <c r="HZ90" s="183"/>
      <c r="IA90" s="183"/>
      <c r="IB90" s="183"/>
      <c r="IC90" s="183"/>
      <c r="ID90" s="183"/>
      <c r="IE90" s="183"/>
      <c r="IF90" s="183"/>
      <c r="IG90" s="183"/>
      <c r="IH90" s="183"/>
      <c r="II90" s="183"/>
      <c r="IJ90" s="183"/>
      <c r="IK90" s="183"/>
      <c r="IL90" s="183"/>
      <c r="IM90" s="183"/>
      <c r="IN90" s="183"/>
      <c r="IO90" s="183"/>
      <c r="IP90" s="183"/>
      <c r="IQ90" s="183"/>
      <c r="IR90" s="183"/>
      <c r="IS90" s="183"/>
      <c r="IT90" s="183"/>
      <c r="IU90" s="183"/>
      <c r="IV90" s="183"/>
    </row>
    <row r="91" ht="15" customHeight="1">
      <c r="A91" s="196" t="s">
        <v>413</v>
      </c>
      <c r="B91" s="256">
        <f>э!B48</f>
        <v>-20.270821911941301</v>
      </c>
      <c r="C91" s="256">
        <f>э!C48</f>
        <v>13.1418876225866</v>
      </c>
      <c r="D91" s="256">
        <f>э!D48</f>
        <v>3.2126526197922098</v>
      </c>
      <c r="E91" s="256">
        <f>э!E48</f>
        <v>-12.760483385522001</v>
      </c>
      <c r="F91" s="256">
        <f>э!F48</f>
        <v>65.239371271331194</v>
      </c>
      <c r="G91" s="256">
        <f>э!G48</f>
        <v>-7.0769344561151399</v>
      </c>
      <c r="H91" s="183"/>
      <c r="I91" s="257" t="s">
        <v>472</v>
      </c>
      <c r="J91" s="258" t="s">
        <v>491</v>
      </c>
      <c r="K91" s="258"/>
      <c r="L91" s="258"/>
      <c r="M91" s="258"/>
      <c r="N91" s="258"/>
      <c r="O91" s="258"/>
      <c r="P91" s="258"/>
      <c r="Q91" s="258"/>
      <c r="R91" s="258"/>
      <c r="S91" s="258"/>
      <c r="T91" s="258"/>
      <c r="U91" s="258"/>
      <c r="V91" s="258"/>
      <c r="W91" s="183"/>
      <c r="X91" s="183"/>
      <c r="Y91" s="183"/>
      <c r="Z91" s="183"/>
      <c r="AA91" s="183"/>
      <c r="AB91" s="183"/>
      <c r="AC91" s="183"/>
      <c r="AD91" s="183"/>
      <c r="AE91" s="183"/>
      <c r="AF91" s="183"/>
      <c r="AG91" s="183"/>
      <c r="AH91" s="183"/>
      <c r="AI91" s="183"/>
      <c r="AJ91" s="183"/>
      <c r="AK91" s="183"/>
      <c r="AL91" s="183"/>
      <c r="AM91" s="183"/>
      <c r="AN91" s="183"/>
      <c r="AO91" s="183"/>
      <c r="AP91" s="183"/>
      <c r="AQ91" s="183"/>
      <c r="AR91" s="183"/>
      <c r="AS91" s="183"/>
      <c r="AT91" s="183"/>
      <c r="AU91" s="183"/>
      <c r="AV91" s="183"/>
      <c r="AW91" s="183"/>
      <c r="AX91" s="183"/>
      <c r="AY91" s="183"/>
      <c r="AZ91" s="183"/>
      <c r="BA91" s="183"/>
      <c r="BB91" s="183"/>
      <c r="BC91" s="183"/>
      <c r="BD91" s="183"/>
      <c r="BE91" s="183"/>
      <c r="BF91" s="183"/>
      <c r="BG91" s="183"/>
      <c r="BH91" s="183"/>
      <c r="BI91" s="183"/>
      <c r="BJ91" s="183"/>
      <c r="BK91" s="183"/>
      <c r="BL91" s="183"/>
      <c r="BM91" s="183"/>
      <c r="BN91" s="183"/>
      <c r="BO91" s="183"/>
      <c r="BP91" s="183"/>
      <c r="BQ91" s="183"/>
      <c r="BR91" s="183"/>
      <c r="BS91" s="183"/>
      <c r="BT91" s="183"/>
      <c r="BU91" s="183"/>
      <c r="BV91" s="183"/>
      <c r="BW91" s="183"/>
      <c r="BX91" s="183"/>
      <c r="BY91" s="183"/>
      <c r="BZ91" s="183"/>
      <c r="CA91" s="183"/>
      <c r="CB91" s="183"/>
      <c r="CC91" s="183"/>
      <c r="CD91" s="183"/>
      <c r="CE91" s="183"/>
      <c r="CF91" s="183"/>
      <c r="CG91" s="183"/>
      <c r="CH91" s="183"/>
      <c r="CI91" s="183"/>
      <c r="CJ91" s="183"/>
      <c r="CK91" s="183"/>
      <c r="CL91" s="183"/>
      <c r="CM91" s="183"/>
      <c r="CN91" s="183"/>
      <c r="CO91" s="183"/>
      <c r="CP91" s="183"/>
      <c r="CQ91" s="183"/>
      <c r="CR91" s="183"/>
      <c r="CS91" s="183"/>
      <c r="CT91" s="183"/>
      <c r="CU91" s="183"/>
      <c r="CV91" s="183"/>
      <c r="CW91" s="183"/>
      <c r="CX91" s="183"/>
      <c r="CY91" s="183"/>
      <c r="CZ91" s="183"/>
      <c r="DA91" s="183"/>
      <c r="DB91" s="183"/>
      <c r="DC91" s="183"/>
      <c r="DD91" s="183"/>
      <c r="DE91" s="183"/>
      <c r="DF91" s="183"/>
      <c r="DG91" s="183"/>
      <c r="DH91" s="183"/>
      <c r="DI91" s="183"/>
      <c r="DJ91" s="183"/>
      <c r="DK91" s="183"/>
      <c r="DL91" s="183"/>
      <c r="DM91" s="183"/>
      <c r="DN91" s="183"/>
      <c r="DO91" s="183"/>
      <c r="DP91" s="183"/>
      <c r="DQ91" s="183"/>
      <c r="DR91" s="183"/>
      <c r="DS91" s="183"/>
      <c r="DT91" s="183"/>
      <c r="DU91" s="183"/>
      <c r="DV91" s="183"/>
      <c r="DW91" s="183"/>
      <c r="DX91" s="183"/>
      <c r="DY91" s="183"/>
      <c r="DZ91" s="183"/>
      <c r="EA91" s="183"/>
      <c r="EB91" s="183"/>
      <c r="EC91" s="183"/>
      <c r="ED91" s="183"/>
      <c r="EE91" s="183"/>
      <c r="EF91" s="183"/>
      <c r="EG91" s="183"/>
      <c r="EH91" s="183"/>
      <c r="EI91" s="183"/>
      <c r="EJ91" s="183"/>
      <c r="EK91" s="183"/>
      <c r="EL91" s="183"/>
      <c r="EM91" s="183"/>
      <c r="EN91" s="183"/>
      <c r="EO91" s="183"/>
      <c r="EP91" s="183"/>
      <c r="EQ91" s="183"/>
      <c r="ER91" s="183"/>
      <c r="ES91" s="183"/>
      <c r="ET91" s="183"/>
      <c r="EU91" s="183"/>
      <c r="EV91" s="183"/>
      <c r="EW91" s="183"/>
      <c r="EX91" s="183"/>
      <c r="EY91" s="183"/>
      <c r="EZ91" s="183"/>
      <c r="FA91" s="183"/>
      <c r="FB91" s="183"/>
      <c r="FC91" s="183"/>
      <c r="FD91" s="183"/>
      <c r="FE91" s="183"/>
      <c r="FF91" s="183"/>
      <c r="FG91" s="183"/>
      <c r="FH91" s="183"/>
      <c r="FI91" s="183"/>
      <c r="FJ91" s="183"/>
      <c r="FK91" s="183"/>
      <c r="FL91" s="183"/>
      <c r="FM91" s="183"/>
      <c r="FN91" s="183"/>
      <c r="FO91" s="183"/>
      <c r="FP91" s="183"/>
      <c r="FQ91" s="183"/>
      <c r="FR91" s="183"/>
      <c r="FS91" s="183"/>
      <c r="FT91" s="183"/>
      <c r="FU91" s="183"/>
      <c r="FV91" s="183"/>
      <c r="FW91" s="183"/>
      <c r="FX91" s="183"/>
      <c r="FY91" s="183"/>
      <c r="FZ91" s="183"/>
      <c r="GA91" s="183"/>
      <c r="GB91" s="183"/>
      <c r="GC91" s="183"/>
      <c r="GD91" s="183"/>
      <c r="GE91" s="183"/>
      <c r="GF91" s="183"/>
      <c r="GG91" s="183"/>
      <c r="GH91" s="183"/>
      <c r="GI91" s="183"/>
      <c r="GJ91" s="183"/>
      <c r="GK91" s="183"/>
      <c r="GL91" s="183"/>
      <c r="GM91" s="183"/>
      <c r="GN91" s="183"/>
      <c r="GO91" s="183"/>
      <c r="GP91" s="183"/>
      <c r="GQ91" s="183"/>
      <c r="GR91" s="183"/>
      <c r="GS91" s="183"/>
      <c r="GT91" s="183"/>
      <c r="GU91" s="183"/>
      <c r="GV91" s="183"/>
      <c r="GW91" s="183"/>
      <c r="GX91" s="183"/>
      <c r="GY91" s="183"/>
      <c r="GZ91" s="183"/>
      <c r="HA91" s="183"/>
      <c r="HB91" s="183"/>
      <c r="HC91" s="183"/>
      <c r="HD91" s="183"/>
      <c r="HE91" s="183"/>
      <c r="HF91" s="183"/>
      <c r="HG91" s="183"/>
      <c r="HH91" s="183"/>
      <c r="HI91" s="183"/>
      <c r="HJ91" s="183"/>
      <c r="HK91" s="183"/>
      <c r="HL91" s="183"/>
      <c r="HM91" s="183"/>
      <c r="HN91" s="183"/>
      <c r="HO91" s="183"/>
      <c r="HP91" s="183"/>
      <c r="HQ91" s="183"/>
      <c r="HR91" s="183"/>
      <c r="HS91" s="183"/>
      <c r="HT91" s="183"/>
      <c r="HU91" s="183"/>
      <c r="HV91" s="183"/>
      <c r="HW91" s="183"/>
      <c r="HX91" s="183"/>
      <c r="HY91" s="183"/>
      <c r="HZ91" s="183"/>
      <c r="IA91" s="183"/>
      <c r="IB91" s="183"/>
      <c r="IC91" s="183"/>
      <c r="ID91" s="183"/>
      <c r="IE91" s="183"/>
      <c r="IF91" s="183"/>
      <c r="IG91" s="183"/>
      <c r="IH91" s="183"/>
      <c r="II91" s="183"/>
      <c r="IJ91" s="183"/>
      <c r="IK91" s="183"/>
      <c r="IL91" s="183"/>
      <c r="IM91" s="183"/>
      <c r="IN91" s="183"/>
      <c r="IO91" s="183"/>
      <c r="IP91" s="183"/>
      <c r="IQ91" s="183"/>
      <c r="IR91" s="183"/>
      <c r="IS91" s="183"/>
      <c r="IT91" s="183"/>
      <c r="IU91" s="183"/>
      <c r="IV91" s="183"/>
    </row>
    <row r="92" ht="15">
      <c r="A92" s="171" t="s">
        <v>492</v>
      </c>
      <c r="B92" s="259">
        <f>(B87/B86-C87/C86)/(C87/C86)*100</f>
        <v>-2.5356659548734601</v>
      </c>
      <c r="C92" s="259">
        <f>(C87/C86-D87/D86)/(D87/D86)*100</f>
        <v>-47.932529912131898</v>
      </c>
      <c r="D92" s="259">
        <f>(D87/D86-E87/E86)/(E87/E86)*100</f>
        <v>4.6459866174752502</v>
      </c>
      <c r="E92" s="259">
        <f>(E87/E86-F87/F86)/(F87/F86)*100</f>
        <v>-5.7785880051766201</v>
      </c>
      <c r="F92" s="259">
        <f>(F87/F86-G87/G86)/(G87/G86)*100</f>
        <v>1231.3516455377601</v>
      </c>
      <c r="G92" s="259">
        <f>(G87/G86-H87/H86)/(H87/H86)*100</f>
        <v>-88.980779076611697</v>
      </c>
      <c r="H92" s="183"/>
      <c r="I92" s="257"/>
      <c r="J92" s="258"/>
      <c r="K92" s="258"/>
      <c r="L92" s="258"/>
      <c r="M92" s="258"/>
      <c r="N92" s="258"/>
      <c r="O92" s="258"/>
      <c r="P92" s="258"/>
      <c r="Q92" s="258"/>
      <c r="R92" s="258"/>
      <c r="S92" s="258"/>
      <c r="T92" s="258"/>
      <c r="U92" s="258"/>
      <c r="V92" s="258"/>
      <c r="W92" s="183"/>
      <c r="X92" s="183"/>
      <c r="Y92" s="183"/>
      <c r="Z92" s="183"/>
      <c r="AA92" s="183"/>
      <c r="AB92" s="183"/>
      <c r="AC92" s="183"/>
      <c r="AD92" s="183"/>
      <c r="AE92" s="183"/>
      <c r="AF92" s="183"/>
      <c r="AG92" s="183"/>
      <c r="AH92" s="183"/>
      <c r="AI92" s="183"/>
      <c r="AJ92" s="183"/>
      <c r="AK92" s="183"/>
      <c r="AL92" s="183"/>
      <c r="AM92" s="183"/>
      <c r="AN92" s="183"/>
      <c r="AO92" s="183"/>
      <c r="AP92" s="183"/>
      <c r="AQ92" s="183"/>
      <c r="AR92" s="183"/>
      <c r="AS92" s="183"/>
      <c r="AT92" s="183"/>
      <c r="AU92" s="183"/>
      <c r="AV92" s="183"/>
      <c r="AW92" s="183"/>
      <c r="AX92" s="183"/>
      <c r="AY92" s="183"/>
      <c r="AZ92" s="183"/>
      <c r="BA92" s="183"/>
      <c r="BB92" s="183"/>
      <c r="BC92" s="183"/>
      <c r="BD92" s="183"/>
      <c r="BE92" s="183"/>
      <c r="BF92" s="183"/>
      <c r="BG92" s="183"/>
      <c r="BH92" s="183"/>
      <c r="BI92" s="183"/>
      <c r="BJ92" s="183"/>
      <c r="BK92" s="183"/>
      <c r="BL92" s="183"/>
      <c r="BM92" s="183"/>
      <c r="BN92" s="183"/>
      <c r="BO92" s="183"/>
      <c r="BP92" s="183"/>
      <c r="BQ92" s="183"/>
      <c r="BR92" s="183"/>
      <c r="BS92" s="183"/>
      <c r="BT92" s="183"/>
      <c r="BU92" s="183"/>
      <c r="BV92" s="183"/>
      <c r="BW92" s="183"/>
      <c r="BX92" s="183"/>
      <c r="BY92" s="183"/>
      <c r="BZ92" s="183"/>
      <c r="CA92" s="183"/>
      <c r="CB92" s="183"/>
      <c r="CC92" s="183"/>
      <c r="CD92" s="183"/>
      <c r="CE92" s="183"/>
      <c r="CF92" s="183"/>
      <c r="CG92" s="183"/>
      <c r="CH92" s="183"/>
      <c r="CI92" s="183"/>
      <c r="CJ92" s="183"/>
      <c r="CK92" s="183"/>
      <c r="CL92" s="183"/>
      <c r="CM92" s="183"/>
      <c r="CN92" s="183"/>
      <c r="CO92" s="183"/>
      <c r="CP92" s="183"/>
      <c r="CQ92" s="183"/>
      <c r="CR92" s="183"/>
      <c r="CS92" s="183"/>
      <c r="CT92" s="183"/>
      <c r="CU92" s="183"/>
      <c r="CV92" s="183"/>
      <c r="CW92" s="183"/>
      <c r="CX92" s="183"/>
      <c r="CY92" s="183"/>
      <c r="CZ92" s="183"/>
      <c r="DA92" s="183"/>
      <c r="DB92" s="183"/>
      <c r="DC92" s="183"/>
      <c r="DD92" s="183"/>
      <c r="DE92" s="183"/>
      <c r="DF92" s="183"/>
      <c r="DG92" s="183"/>
      <c r="DH92" s="183"/>
      <c r="DI92" s="183"/>
      <c r="DJ92" s="183"/>
      <c r="DK92" s="183"/>
      <c r="DL92" s="183"/>
      <c r="DM92" s="183"/>
      <c r="DN92" s="183"/>
      <c r="DO92" s="183"/>
      <c r="DP92" s="183"/>
      <c r="DQ92" s="183"/>
      <c r="DR92" s="183"/>
      <c r="DS92" s="183"/>
      <c r="DT92" s="183"/>
      <c r="DU92" s="183"/>
      <c r="DV92" s="183"/>
      <c r="DW92" s="183"/>
      <c r="DX92" s="183"/>
      <c r="DY92" s="183"/>
      <c r="DZ92" s="183"/>
      <c r="EA92" s="183"/>
      <c r="EB92" s="183"/>
      <c r="EC92" s="183"/>
      <c r="ED92" s="183"/>
      <c r="EE92" s="183"/>
      <c r="EF92" s="183"/>
      <c r="EG92" s="183"/>
      <c r="EH92" s="183"/>
      <c r="EI92" s="183"/>
      <c r="EJ92" s="183"/>
      <c r="EK92" s="183"/>
      <c r="EL92" s="183"/>
      <c r="EM92" s="183"/>
      <c r="EN92" s="183"/>
      <c r="EO92" s="183"/>
      <c r="EP92" s="183"/>
      <c r="EQ92" s="183"/>
      <c r="ER92" s="183"/>
      <c r="ES92" s="183"/>
      <c r="ET92" s="183"/>
      <c r="EU92" s="183"/>
      <c r="EV92" s="183"/>
      <c r="EW92" s="183"/>
      <c r="EX92" s="183"/>
      <c r="EY92" s="183"/>
      <c r="EZ92" s="183"/>
      <c r="FA92" s="183"/>
      <c r="FB92" s="183"/>
      <c r="FC92" s="183"/>
      <c r="FD92" s="183"/>
      <c r="FE92" s="183"/>
      <c r="FF92" s="183"/>
      <c r="FG92" s="183"/>
      <c r="FH92" s="183"/>
      <c r="FI92" s="183"/>
      <c r="FJ92" s="183"/>
      <c r="FK92" s="183"/>
      <c r="FL92" s="183"/>
      <c r="FM92" s="183"/>
      <c r="FN92" s="183"/>
      <c r="FO92" s="183"/>
      <c r="FP92" s="183"/>
      <c r="FQ92" s="183"/>
      <c r="FR92" s="183"/>
      <c r="FS92" s="183"/>
      <c r="FT92" s="183"/>
      <c r="FU92" s="183"/>
      <c r="FV92" s="183"/>
      <c r="FW92" s="183"/>
      <c r="FX92" s="183"/>
      <c r="FY92" s="183"/>
      <c r="FZ92" s="183"/>
      <c r="GA92" s="183"/>
      <c r="GB92" s="183"/>
      <c r="GC92" s="183"/>
      <c r="GD92" s="183"/>
      <c r="GE92" s="183"/>
      <c r="GF92" s="183"/>
      <c r="GG92" s="183"/>
      <c r="GH92" s="183"/>
      <c r="GI92" s="183"/>
      <c r="GJ92" s="183"/>
      <c r="GK92" s="183"/>
      <c r="GL92" s="183"/>
      <c r="GM92" s="183"/>
      <c r="GN92" s="183"/>
      <c r="GO92" s="183"/>
      <c r="GP92" s="183"/>
      <c r="GQ92" s="183"/>
      <c r="GR92" s="183"/>
      <c r="GS92" s="183"/>
      <c r="GT92" s="183"/>
      <c r="GU92" s="183"/>
      <c r="GV92" s="183"/>
      <c r="GW92" s="183"/>
      <c r="GX92" s="183"/>
      <c r="GY92" s="183"/>
      <c r="GZ92" s="183"/>
      <c r="HA92" s="183"/>
      <c r="HB92" s="183"/>
      <c r="HC92" s="183"/>
      <c r="HD92" s="183"/>
      <c r="HE92" s="183"/>
      <c r="HF92" s="183"/>
      <c r="HG92" s="183"/>
      <c r="HH92" s="183"/>
      <c r="HI92" s="183"/>
      <c r="HJ92" s="183"/>
      <c r="HK92" s="183"/>
      <c r="HL92" s="183"/>
      <c r="HM92" s="183"/>
      <c r="HN92" s="183"/>
      <c r="HO92" s="183"/>
      <c r="HP92" s="183"/>
      <c r="HQ92" s="183"/>
      <c r="HR92" s="183"/>
      <c r="HS92" s="183"/>
      <c r="HT92" s="183"/>
      <c r="HU92" s="183"/>
      <c r="HV92" s="183"/>
      <c r="HW92" s="183"/>
      <c r="HX92" s="183"/>
      <c r="HY92" s="183"/>
      <c r="HZ92" s="183"/>
      <c r="IA92" s="183"/>
      <c r="IB92" s="183"/>
      <c r="IC92" s="183"/>
      <c r="ID92" s="183"/>
      <c r="IE92" s="183"/>
      <c r="IF92" s="183"/>
      <c r="IG92" s="183"/>
      <c r="IH92" s="183"/>
      <c r="II92" s="183"/>
      <c r="IJ92" s="183"/>
      <c r="IK92" s="183"/>
      <c r="IL92" s="183"/>
      <c r="IM92" s="183"/>
      <c r="IN92" s="183"/>
      <c r="IO92" s="183"/>
      <c r="IP92" s="183"/>
      <c r="IQ92" s="183"/>
      <c r="IR92" s="183"/>
      <c r="IS92" s="183"/>
      <c r="IT92" s="183"/>
      <c r="IU92" s="183"/>
      <c r="IV92" s="183"/>
    </row>
    <row r="93" ht="28.550000000000001">
      <c r="A93" s="171" t="s">
        <v>493</v>
      </c>
      <c r="B93" s="260">
        <f>(('2'!C12/'2'!C19)-('2'!D12/'2'!D19))/('2'!D12/'2'!D19)*100</f>
        <v>-28.2090415853807</v>
      </c>
      <c r="C93" s="260">
        <f>(('2'!D12/'2'!D19)-('2'!E12/'2'!E19))/('2'!E12/'2'!E19)*100</f>
        <v>54.884160653412899</v>
      </c>
      <c r="D93" s="260">
        <f>(('2'!E12/'2'!E19)-('2'!F12/'2'!F19))/('2'!F12/'2'!F19)*100</f>
        <v>9.6931716024087997</v>
      </c>
      <c r="E93" s="260">
        <f>(('2'!F12/'2'!F19)-('2'!G12/'2'!G19))/('2'!G12/'2'!G19)*100</f>
        <v>-40.4799955633789</v>
      </c>
      <c r="F93" s="260">
        <f>(('2'!G12/'2'!G19)-('2'!H12/'2'!H19))/('2'!H12/'2'!H19)*100</f>
        <v>-85.888854750976094</v>
      </c>
      <c r="G93" s="260">
        <f>(('2'!H12/'2'!H19)-('2'!I12/'2'!I19))/('2'!I12/'2'!I19)*100</f>
        <v>724.64219945791399</v>
      </c>
      <c r="H93" s="183"/>
      <c r="I93" s="257"/>
      <c r="J93" s="258"/>
      <c r="K93" s="258"/>
      <c r="L93" s="258"/>
      <c r="M93" s="258"/>
      <c r="N93" s="258"/>
      <c r="O93" s="258"/>
      <c r="P93" s="258"/>
      <c r="Q93" s="258"/>
      <c r="R93" s="258"/>
      <c r="S93" s="258"/>
      <c r="T93" s="258"/>
      <c r="U93" s="258"/>
      <c r="V93" s="258"/>
      <c r="W93" s="183"/>
      <c r="X93" s="183"/>
      <c r="Y93" s="183"/>
      <c r="Z93" s="183"/>
      <c r="AA93" s="183"/>
      <c r="AB93" s="183"/>
      <c r="AC93" s="183"/>
      <c r="AD93" s="183"/>
      <c r="AE93" s="183"/>
      <c r="AF93" s="183"/>
      <c r="AG93" s="183"/>
      <c r="AH93" s="183"/>
      <c r="AI93" s="183"/>
      <c r="AJ93" s="183"/>
      <c r="AK93" s="183"/>
      <c r="AL93" s="183"/>
      <c r="AM93" s="183"/>
      <c r="AN93" s="183"/>
      <c r="AO93" s="183"/>
      <c r="AP93" s="183"/>
      <c r="AQ93" s="183"/>
      <c r="AR93" s="183"/>
      <c r="AS93" s="183"/>
      <c r="AT93" s="183"/>
      <c r="AU93" s="183"/>
      <c r="AV93" s="183"/>
      <c r="AW93" s="183"/>
      <c r="AX93" s="183"/>
      <c r="AY93" s="183"/>
      <c r="AZ93" s="183"/>
      <c r="BA93" s="183"/>
      <c r="BB93" s="183"/>
      <c r="BC93" s="183"/>
      <c r="BD93" s="183"/>
      <c r="BE93" s="183"/>
      <c r="BF93" s="183"/>
      <c r="BG93" s="183"/>
      <c r="BH93" s="183"/>
      <c r="BI93" s="183"/>
      <c r="BJ93" s="183"/>
      <c r="BK93" s="183"/>
      <c r="BL93" s="183"/>
      <c r="BM93" s="183"/>
      <c r="BN93" s="183"/>
      <c r="BO93" s="183"/>
      <c r="BP93" s="183"/>
      <c r="BQ93" s="183"/>
      <c r="BR93" s="183"/>
      <c r="BS93" s="183"/>
      <c r="BT93" s="183"/>
      <c r="BU93" s="183"/>
      <c r="BV93" s="183"/>
      <c r="BW93" s="183"/>
      <c r="BX93" s="183"/>
      <c r="BY93" s="183"/>
      <c r="BZ93" s="183"/>
      <c r="CA93" s="183"/>
      <c r="CB93" s="183"/>
      <c r="CC93" s="183"/>
      <c r="CD93" s="183"/>
      <c r="CE93" s="183"/>
      <c r="CF93" s="183"/>
      <c r="CG93" s="183"/>
      <c r="CH93" s="183"/>
      <c r="CI93" s="183"/>
      <c r="CJ93" s="183"/>
      <c r="CK93" s="183"/>
      <c r="CL93" s="183"/>
      <c r="CM93" s="183"/>
      <c r="CN93" s="183"/>
      <c r="CO93" s="183"/>
      <c r="CP93" s="183"/>
      <c r="CQ93" s="183"/>
      <c r="CR93" s="183"/>
      <c r="CS93" s="183"/>
      <c r="CT93" s="183"/>
      <c r="CU93" s="183"/>
      <c r="CV93" s="183"/>
      <c r="CW93" s="183"/>
      <c r="CX93" s="183"/>
      <c r="CY93" s="183"/>
      <c r="CZ93" s="183"/>
      <c r="DA93" s="183"/>
      <c r="DB93" s="183"/>
      <c r="DC93" s="183"/>
      <c r="DD93" s="183"/>
      <c r="DE93" s="183"/>
      <c r="DF93" s="183"/>
      <c r="DG93" s="183"/>
      <c r="DH93" s="183"/>
      <c r="DI93" s="183"/>
      <c r="DJ93" s="183"/>
      <c r="DK93" s="183"/>
      <c r="DL93" s="183"/>
      <c r="DM93" s="183"/>
      <c r="DN93" s="183"/>
      <c r="DO93" s="183"/>
      <c r="DP93" s="183"/>
      <c r="DQ93" s="183"/>
      <c r="DR93" s="183"/>
      <c r="DS93" s="183"/>
      <c r="DT93" s="183"/>
      <c r="DU93" s="183"/>
      <c r="DV93" s="183"/>
      <c r="DW93" s="183"/>
      <c r="DX93" s="183"/>
      <c r="DY93" s="183"/>
      <c r="DZ93" s="183"/>
      <c r="EA93" s="183"/>
      <c r="EB93" s="183"/>
      <c r="EC93" s="183"/>
      <c r="ED93" s="183"/>
      <c r="EE93" s="183"/>
      <c r="EF93" s="183"/>
      <c r="EG93" s="183"/>
      <c r="EH93" s="183"/>
      <c r="EI93" s="183"/>
      <c r="EJ93" s="183"/>
      <c r="EK93" s="183"/>
      <c r="EL93" s="183"/>
      <c r="EM93" s="183"/>
      <c r="EN93" s="183"/>
      <c r="EO93" s="183"/>
      <c r="EP93" s="183"/>
      <c r="EQ93" s="183"/>
      <c r="ER93" s="183"/>
      <c r="ES93" s="183"/>
      <c r="ET93" s="183"/>
      <c r="EU93" s="183"/>
      <c r="EV93" s="183"/>
      <c r="EW93" s="183"/>
      <c r="EX93" s="183"/>
      <c r="EY93" s="183"/>
      <c r="EZ93" s="183"/>
      <c r="FA93" s="183"/>
      <c r="FB93" s="183"/>
      <c r="FC93" s="183"/>
      <c r="FD93" s="183"/>
      <c r="FE93" s="183"/>
      <c r="FF93" s="183"/>
      <c r="FG93" s="183"/>
      <c r="FH93" s="183"/>
      <c r="FI93" s="183"/>
      <c r="FJ93" s="183"/>
      <c r="FK93" s="183"/>
      <c r="FL93" s="183"/>
      <c r="FM93" s="183"/>
      <c r="FN93" s="183"/>
      <c r="FO93" s="183"/>
      <c r="FP93" s="183"/>
      <c r="FQ93" s="183"/>
      <c r="FR93" s="183"/>
      <c r="FS93" s="183"/>
      <c r="FT93" s="183"/>
      <c r="FU93" s="183"/>
      <c r="FV93" s="183"/>
      <c r="FW93" s="183"/>
      <c r="FX93" s="183"/>
      <c r="FY93" s="183"/>
      <c r="FZ93" s="183"/>
      <c r="GA93" s="183"/>
      <c r="GB93" s="183"/>
      <c r="GC93" s="183"/>
      <c r="GD93" s="183"/>
      <c r="GE93" s="183"/>
      <c r="GF93" s="183"/>
      <c r="GG93" s="183"/>
      <c r="GH93" s="183"/>
      <c r="GI93" s="183"/>
      <c r="GJ93" s="183"/>
      <c r="GK93" s="183"/>
      <c r="GL93" s="183"/>
      <c r="GM93" s="183"/>
      <c r="GN93" s="183"/>
      <c r="GO93" s="183"/>
      <c r="GP93" s="183"/>
      <c r="GQ93" s="183"/>
      <c r="GR93" s="183"/>
      <c r="GS93" s="183"/>
      <c r="GT93" s="183"/>
      <c r="GU93" s="183"/>
      <c r="GV93" s="183"/>
      <c r="GW93" s="183"/>
      <c r="GX93" s="183"/>
      <c r="GY93" s="183"/>
      <c r="GZ93" s="183"/>
      <c r="HA93" s="183"/>
      <c r="HB93" s="183"/>
      <c r="HC93" s="183"/>
      <c r="HD93" s="183"/>
      <c r="HE93" s="183"/>
      <c r="HF93" s="183"/>
      <c r="HG93" s="183"/>
      <c r="HH93" s="183"/>
      <c r="HI93" s="183"/>
      <c r="HJ93" s="183"/>
      <c r="HK93" s="183"/>
      <c r="HL93" s="183"/>
      <c r="HM93" s="183"/>
      <c r="HN93" s="183"/>
      <c r="HO93" s="183"/>
      <c r="HP93" s="183"/>
      <c r="HQ93" s="183"/>
      <c r="HR93" s="183"/>
      <c r="HS93" s="183"/>
      <c r="HT93" s="183"/>
      <c r="HU93" s="183"/>
      <c r="HV93" s="183"/>
      <c r="HW93" s="183"/>
      <c r="HX93" s="183"/>
      <c r="HY93" s="183"/>
      <c r="HZ93" s="183"/>
      <c r="IA93" s="183"/>
      <c r="IB93" s="183"/>
      <c r="IC93" s="183"/>
      <c r="ID93" s="183"/>
      <c r="IE93" s="183"/>
      <c r="IF93" s="183"/>
      <c r="IG93" s="183"/>
      <c r="IH93" s="183"/>
      <c r="II93" s="183"/>
      <c r="IJ93" s="183"/>
      <c r="IK93" s="183"/>
      <c r="IL93" s="183"/>
      <c r="IM93" s="183"/>
      <c r="IN93" s="183"/>
      <c r="IO93" s="183"/>
      <c r="IP93" s="183"/>
      <c r="IQ93" s="183"/>
      <c r="IR93" s="183"/>
      <c r="IS93" s="183"/>
      <c r="IT93" s="183"/>
      <c r="IU93" s="183"/>
      <c r="IV93" s="183"/>
    </row>
    <row r="94" ht="28.550000000000001">
      <c r="A94" s="196" t="s">
        <v>494</v>
      </c>
      <c r="B94" s="26">
        <f>(бс!C19-бс!C46)-(бс!D19-бс!D46)</f>
        <v>-2394681</v>
      </c>
      <c r="C94" s="26">
        <f>(бс!D19-бс!D46)-(бс!E19-бс!E46)</f>
        <v>187662.5</v>
      </c>
      <c r="D94" s="26">
        <f>(бс!E19-бс!E46)-(бс!F19-бс!F46)</f>
        <v>-376449</v>
      </c>
      <c r="E94" s="26">
        <f>(бс!F19-бс!F46)-(бс!G19-бс!G46)</f>
        <v>-1425982.5</v>
      </c>
      <c r="F94" s="26">
        <f>(бс!G19-бс!G46)-(бс!H19-бс!H46)</f>
        <v>-648843</v>
      </c>
      <c r="G94" s="26">
        <f>(бс!H19-бс!H46)-(бс!I19-бс!I46)</f>
        <v>192623.5</v>
      </c>
      <c r="H94" s="183"/>
      <c r="I94" s="257"/>
      <c r="J94" s="258"/>
      <c r="K94" s="258"/>
      <c r="L94" s="258"/>
      <c r="M94" s="258"/>
      <c r="N94" s="258"/>
      <c r="O94" s="258"/>
      <c r="P94" s="258"/>
      <c r="Q94" s="258"/>
      <c r="R94" s="258"/>
      <c r="S94" s="258"/>
      <c r="T94" s="258"/>
      <c r="U94" s="258"/>
      <c r="V94" s="258"/>
      <c r="W94" s="183"/>
      <c r="X94" s="183"/>
      <c r="Y94" s="183"/>
      <c r="Z94" s="183"/>
      <c r="AA94" s="183"/>
      <c r="AB94" s="183"/>
      <c r="AC94" s="183"/>
      <c r="AD94" s="183"/>
      <c r="AE94" s="183"/>
      <c r="AF94" s="183"/>
      <c r="AG94" s="183"/>
      <c r="AH94" s="183"/>
      <c r="AI94" s="183"/>
      <c r="AJ94" s="183"/>
      <c r="AK94" s="183"/>
      <c r="AL94" s="183"/>
      <c r="AM94" s="183"/>
      <c r="AN94" s="183"/>
      <c r="AO94" s="183"/>
      <c r="AP94" s="183"/>
      <c r="AQ94" s="183"/>
      <c r="AR94" s="183"/>
      <c r="AS94" s="183"/>
      <c r="AT94" s="183"/>
      <c r="AU94" s="183"/>
      <c r="AV94" s="183"/>
      <c r="AW94" s="183"/>
      <c r="AX94" s="183"/>
      <c r="AY94" s="183"/>
      <c r="AZ94" s="183"/>
      <c r="BA94" s="183"/>
      <c r="BB94" s="183"/>
      <c r="BC94" s="183"/>
      <c r="BD94" s="183"/>
      <c r="BE94" s="183"/>
      <c r="BF94" s="183"/>
      <c r="BG94" s="183"/>
      <c r="BH94" s="183"/>
      <c r="BI94" s="183"/>
      <c r="BJ94" s="183"/>
      <c r="BK94" s="183"/>
      <c r="BL94" s="183"/>
      <c r="BM94" s="183"/>
      <c r="BN94" s="183"/>
      <c r="BO94" s="183"/>
      <c r="BP94" s="183"/>
      <c r="BQ94" s="183"/>
      <c r="BR94" s="183"/>
      <c r="BS94" s="183"/>
      <c r="BT94" s="183"/>
      <c r="BU94" s="183"/>
      <c r="BV94" s="183"/>
      <c r="BW94" s="183"/>
      <c r="BX94" s="183"/>
      <c r="BY94" s="183"/>
      <c r="BZ94" s="183"/>
      <c r="CA94" s="183"/>
      <c r="CB94" s="183"/>
      <c r="CC94" s="183"/>
      <c r="CD94" s="183"/>
      <c r="CE94" s="183"/>
      <c r="CF94" s="183"/>
      <c r="CG94" s="183"/>
      <c r="CH94" s="183"/>
      <c r="CI94" s="183"/>
      <c r="CJ94" s="183"/>
      <c r="CK94" s="183"/>
      <c r="CL94" s="183"/>
      <c r="CM94" s="183"/>
      <c r="CN94" s="183"/>
      <c r="CO94" s="183"/>
      <c r="CP94" s="183"/>
      <c r="CQ94" s="183"/>
      <c r="CR94" s="183"/>
      <c r="CS94" s="183"/>
      <c r="CT94" s="183"/>
      <c r="CU94" s="183"/>
      <c r="CV94" s="183"/>
      <c r="CW94" s="183"/>
      <c r="CX94" s="183"/>
      <c r="CY94" s="183"/>
      <c r="CZ94" s="183"/>
      <c r="DA94" s="183"/>
      <c r="DB94" s="183"/>
      <c r="DC94" s="183"/>
      <c r="DD94" s="183"/>
      <c r="DE94" s="183"/>
      <c r="DF94" s="183"/>
      <c r="DG94" s="183"/>
      <c r="DH94" s="183"/>
      <c r="DI94" s="183"/>
      <c r="DJ94" s="183"/>
      <c r="DK94" s="183"/>
      <c r="DL94" s="183"/>
      <c r="DM94" s="183"/>
      <c r="DN94" s="183"/>
      <c r="DO94" s="183"/>
      <c r="DP94" s="183"/>
      <c r="DQ94" s="183"/>
      <c r="DR94" s="183"/>
      <c r="DS94" s="183"/>
      <c r="DT94" s="183"/>
      <c r="DU94" s="183"/>
      <c r="DV94" s="183"/>
      <c r="DW94" s="183"/>
      <c r="DX94" s="183"/>
      <c r="DY94" s="183"/>
      <c r="DZ94" s="183"/>
      <c r="EA94" s="183"/>
      <c r="EB94" s="183"/>
      <c r="EC94" s="183"/>
      <c r="ED94" s="183"/>
      <c r="EE94" s="183"/>
      <c r="EF94" s="183"/>
      <c r="EG94" s="183"/>
      <c r="EH94" s="183"/>
      <c r="EI94" s="183"/>
      <c r="EJ94" s="183"/>
      <c r="EK94" s="183"/>
      <c r="EL94" s="183"/>
      <c r="EM94" s="183"/>
      <c r="EN94" s="183"/>
      <c r="EO94" s="183"/>
      <c r="EP94" s="183"/>
      <c r="EQ94" s="183"/>
      <c r="ER94" s="183"/>
      <c r="ES94" s="183"/>
      <c r="ET94" s="183"/>
      <c r="EU94" s="183"/>
      <c r="EV94" s="183"/>
      <c r="EW94" s="183"/>
      <c r="EX94" s="183"/>
      <c r="EY94" s="183"/>
      <c r="EZ94" s="183"/>
      <c r="FA94" s="183"/>
      <c r="FB94" s="183"/>
      <c r="FC94" s="183"/>
      <c r="FD94" s="183"/>
      <c r="FE94" s="183"/>
      <c r="FF94" s="183"/>
      <c r="FG94" s="183"/>
      <c r="FH94" s="183"/>
      <c r="FI94" s="183"/>
      <c r="FJ94" s="183"/>
      <c r="FK94" s="183"/>
      <c r="FL94" s="183"/>
      <c r="FM94" s="183"/>
      <c r="FN94" s="183"/>
      <c r="FO94" s="183"/>
      <c r="FP94" s="183"/>
      <c r="FQ94" s="183"/>
      <c r="FR94" s="183"/>
      <c r="FS94" s="183"/>
      <c r="FT94" s="183"/>
      <c r="FU94" s="183"/>
      <c r="FV94" s="183"/>
      <c r="FW94" s="183"/>
      <c r="FX94" s="183"/>
      <c r="FY94" s="183"/>
      <c r="FZ94" s="183"/>
      <c r="GA94" s="183"/>
      <c r="GB94" s="183"/>
      <c r="GC94" s="183"/>
      <c r="GD94" s="183"/>
      <c r="GE94" s="183"/>
      <c r="GF94" s="183"/>
      <c r="GG94" s="183"/>
      <c r="GH94" s="183"/>
      <c r="GI94" s="183"/>
      <c r="GJ94" s="183"/>
      <c r="GK94" s="183"/>
      <c r="GL94" s="183"/>
      <c r="GM94" s="183"/>
      <c r="GN94" s="183"/>
      <c r="GO94" s="183"/>
      <c r="GP94" s="183"/>
      <c r="GQ94" s="183"/>
      <c r="GR94" s="183"/>
      <c r="GS94" s="183"/>
      <c r="GT94" s="183"/>
      <c r="GU94" s="183"/>
      <c r="GV94" s="183"/>
      <c r="GW94" s="183"/>
      <c r="GX94" s="183"/>
      <c r="GY94" s="183"/>
      <c r="GZ94" s="183"/>
      <c r="HA94" s="183"/>
      <c r="HB94" s="183"/>
      <c r="HC94" s="183"/>
      <c r="HD94" s="183"/>
      <c r="HE94" s="183"/>
      <c r="HF94" s="183"/>
      <c r="HG94" s="183"/>
      <c r="HH94" s="183"/>
      <c r="HI94" s="183"/>
      <c r="HJ94" s="183"/>
      <c r="HK94" s="183"/>
      <c r="HL94" s="183"/>
      <c r="HM94" s="183"/>
      <c r="HN94" s="183"/>
      <c r="HO94" s="183"/>
      <c r="HP94" s="183"/>
      <c r="HQ94" s="183"/>
      <c r="HR94" s="183"/>
      <c r="HS94" s="183"/>
      <c r="HT94" s="183"/>
      <c r="HU94" s="183"/>
      <c r="HV94" s="183"/>
      <c r="HW94" s="183"/>
      <c r="HX94" s="183"/>
      <c r="HY94" s="183"/>
      <c r="HZ94" s="183"/>
      <c r="IA94" s="183"/>
      <c r="IB94" s="183"/>
      <c r="IC94" s="183"/>
      <c r="ID94" s="183"/>
      <c r="IE94" s="183"/>
      <c r="IF94" s="183"/>
      <c r="IG94" s="183"/>
      <c r="IH94" s="183"/>
      <c r="II94" s="183"/>
      <c r="IJ94" s="183"/>
      <c r="IK94" s="183"/>
      <c r="IL94" s="183"/>
      <c r="IM94" s="183"/>
      <c r="IN94" s="183"/>
      <c r="IO94" s="183"/>
      <c r="IP94" s="183"/>
      <c r="IQ94" s="183"/>
      <c r="IR94" s="183"/>
      <c r="IS94" s="183"/>
      <c r="IT94" s="183"/>
      <c r="IU94" s="183"/>
      <c r="IV94" s="183"/>
    </row>
    <row r="95" ht="15">
      <c r="A95" s="261"/>
      <c r="B95" s="183"/>
      <c r="C95" s="183"/>
      <c r="D95" s="183"/>
      <c r="E95" s="183"/>
      <c r="F95" s="183"/>
      <c r="G95" s="183"/>
      <c r="H95" s="183"/>
      <c r="I95" s="183"/>
      <c r="J95" s="183"/>
      <c r="K95" s="183"/>
      <c r="L95" s="183"/>
      <c r="M95" s="183"/>
      <c r="N95" s="183"/>
      <c r="O95" s="183"/>
      <c r="P95" s="183"/>
      <c r="Q95" s="183"/>
      <c r="R95" s="183"/>
      <c r="S95" s="183"/>
      <c r="T95" s="183"/>
      <c r="U95" s="183"/>
      <c r="V95" s="183"/>
      <c r="W95" s="183"/>
      <c r="X95" s="183"/>
      <c r="Y95" s="183"/>
      <c r="Z95" s="183"/>
      <c r="AA95" s="183"/>
      <c r="AB95" s="183"/>
      <c r="AC95" s="183"/>
      <c r="AD95" s="183"/>
      <c r="AE95" s="183"/>
      <c r="AF95" s="183"/>
      <c r="AG95" s="183"/>
      <c r="AH95" s="183"/>
      <c r="AI95" s="183"/>
      <c r="AJ95" s="183"/>
      <c r="AK95" s="183"/>
      <c r="AL95" s="183"/>
      <c r="AM95" s="183"/>
      <c r="AN95" s="183"/>
      <c r="AO95" s="183"/>
      <c r="AP95" s="183"/>
      <c r="AQ95" s="183"/>
      <c r="AR95" s="183"/>
      <c r="AS95" s="183"/>
      <c r="AT95" s="183"/>
      <c r="AU95" s="183"/>
      <c r="AV95" s="183"/>
      <c r="AW95" s="183"/>
      <c r="AX95" s="183"/>
      <c r="AY95" s="183"/>
      <c r="AZ95" s="183"/>
      <c r="BA95" s="183"/>
      <c r="BB95" s="183"/>
      <c r="BC95" s="183"/>
      <c r="BD95" s="183"/>
      <c r="BE95" s="183"/>
      <c r="BF95" s="183"/>
      <c r="BG95" s="183"/>
      <c r="BH95" s="183"/>
      <c r="BI95" s="183"/>
      <c r="BJ95" s="183"/>
      <c r="BK95" s="183"/>
      <c r="BL95" s="183"/>
      <c r="BM95" s="183"/>
      <c r="BN95" s="183"/>
      <c r="BO95" s="183"/>
      <c r="BP95" s="183"/>
      <c r="BQ95" s="183"/>
      <c r="BR95" s="183"/>
      <c r="BS95" s="183"/>
      <c r="BT95" s="183"/>
      <c r="BU95" s="183"/>
      <c r="BV95" s="183"/>
      <c r="BW95" s="183"/>
      <c r="BX95" s="183"/>
      <c r="BY95" s="183"/>
      <c r="BZ95" s="183"/>
      <c r="CA95" s="183"/>
      <c r="CB95" s="183"/>
      <c r="CC95" s="183"/>
      <c r="CD95" s="183"/>
      <c r="CE95" s="183"/>
      <c r="CF95" s="183"/>
      <c r="CG95" s="183"/>
      <c r="CH95" s="183"/>
      <c r="CI95" s="183"/>
      <c r="CJ95" s="183"/>
      <c r="CK95" s="183"/>
      <c r="CL95" s="183"/>
      <c r="CM95" s="183"/>
      <c r="CN95" s="183"/>
      <c r="CO95" s="183"/>
      <c r="CP95" s="183"/>
      <c r="CQ95" s="183"/>
      <c r="CR95" s="183"/>
      <c r="CS95" s="183"/>
      <c r="CT95" s="183"/>
      <c r="CU95" s="183"/>
      <c r="CV95" s="183"/>
      <c r="CW95" s="183"/>
      <c r="CX95" s="183"/>
      <c r="CY95" s="183"/>
      <c r="CZ95" s="183"/>
      <c r="DA95" s="183"/>
      <c r="DB95" s="183"/>
      <c r="DC95" s="183"/>
      <c r="DD95" s="183"/>
      <c r="DE95" s="183"/>
      <c r="DF95" s="183"/>
      <c r="DG95" s="183"/>
      <c r="DH95" s="183"/>
      <c r="DI95" s="183"/>
      <c r="DJ95" s="183"/>
      <c r="DK95" s="183"/>
      <c r="DL95" s="183"/>
      <c r="DM95" s="183"/>
      <c r="DN95" s="183"/>
      <c r="DO95" s="183"/>
      <c r="DP95" s="183"/>
      <c r="DQ95" s="183"/>
      <c r="DR95" s="183"/>
      <c r="DS95" s="183"/>
      <c r="DT95" s="183"/>
      <c r="DU95" s="183"/>
      <c r="DV95" s="183"/>
      <c r="DW95" s="183"/>
      <c r="DX95" s="183"/>
      <c r="DY95" s="183"/>
      <c r="DZ95" s="183"/>
      <c r="EA95" s="183"/>
      <c r="EB95" s="183"/>
      <c r="EC95" s="183"/>
      <c r="ED95" s="183"/>
      <c r="EE95" s="183"/>
      <c r="EF95" s="183"/>
      <c r="EG95" s="183"/>
      <c r="EH95" s="183"/>
      <c r="EI95" s="183"/>
      <c r="EJ95" s="183"/>
      <c r="EK95" s="183"/>
      <c r="EL95" s="183"/>
      <c r="EM95" s="183"/>
      <c r="EN95" s="183"/>
      <c r="EO95" s="183"/>
      <c r="EP95" s="183"/>
      <c r="EQ95" s="183"/>
      <c r="ER95" s="183"/>
      <c r="ES95" s="183"/>
      <c r="ET95" s="183"/>
      <c r="EU95" s="183"/>
      <c r="EV95" s="183"/>
      <c r="EW95" s="183"/>
      <c r="EX95" s="183"/>
      <c r="EY95" s="183"/>
      <c r="EZ95" s="183"/>
      <c r="FA95" s="183"/>
      <c r="FB95" s="183"/>
      <c r="FC95" s="183"/>
      <c r="FD95" s="183"/>
      <c r="FE95" s="183"/>
      <c r="FF95" s="183"/>
      <c r="FG95" s="183"/>
      <c r="FH95" s="183"/>
      <c r="FI95" s="183"/>
      <c r="FJ95" s="183"/>
      <c r="FK95" s="183"/>
      <c r="FL95" s="183"/>
      <c r="FM95" s="183"/>
      <c r="FN95" s="183"/>
      <c r="FO95" s="183"/>
      <c r="FP95" s="183"/>
      <c r="FQ95" s="183"/>
      <c r="FR95" s="183"/>
      <c r="FS95" s="183"/>
      <c r="FT95" s="183"/>
      <c r="FU95" s="183"/>
      <c r="FV95" s="183"/>
      <c r="FW95" s="183"/>
      <c r="FX95" s="183"/>
      <c r="FY95" s="183"/>
      <c r="FZ95" s="183"/>
      <c r="GA95" s="183"/>
      <c r="GB95" s="183"/>
      <c r="GC95" s="183"/>
      <c r="GD95" s="183"/>
      <c r="GE95" s="183"/>
      <c r="GF95" s="183"/>
      <c r="GG95" s="183"/>
      <c r="GH95" s="183"/>
      <c r="GI95" s="183"/>
      <c r="GJ95" s="183"/>
      <c r="GK95" s="183"/>
      <c r="GL95" s="183"/>
      <c r="GM95" s="183"/>
      <c r="GN95" s="183"/>
      <c r="GO95" s="183"/>
      <c r="GP95" s="183"/>
      <c r="GQ95" s="183"/>
      <c r="GR95" s="183"/>
      <c r="GS95" s="183"/>
      <c r="GT95" s="183"/>
      <c r="GU95" s="183"/>
      <c r="GV95" s="183"/>
      <c r="GW95" s="183"/>
      <c r="GX95" s="183"/>
      <c r="GY95" s="183"/>
      <c r="GZ95" s="183"/>
      <c r="HA95" s="183"/>
      <c r="HB95" s="183"/>
      <c r="HC95" s="183"/>
      <c r="HD95" s="183"/>
      <c r="HE95" s="183"/>
      <c r="HF95" s="183"/>
      <c r="HG95" s="183"/>
      <c r="HH95" s="183"/>
      <c r="HI95" s="183"/>
      <c r="HJ95" s="183"/>
      <c r="HK95" s="183"/>
      <c r="HL95" s="183"/>
      <c r="HM95" s="183"/>
      <c r="HN95" s="183"/>
      <c r="HO95" s="183"/>
      <c r="HP95" s="183"/>
      <c r="HQ95" s="183"/>
      <c r="HR95" s="183"/>
      <c r="HS95" s="183"/>
      <c r="HT95" s="183"/>
      <c r="HU95" s="183"/>
      <c r="HV95" s="183"/>
      <c r="HW95" s="183"/>
      <c r="HX95" s="183"/>
      <c r="HY95" s="183"/>
      <c r="HZ95" s="183"/>
      <c r="IA95" s="183"/>
      <c r="IB95" s="183"/>
      <c r="IC95" s="183"/>
      <c r="ID95" s="183"/>
      <c r="IE95" s="183"/>
      <c r="IF95" s="183"/>
      <c r="IG95" s="183"/>
      <c r="IH95" s="183"/>
      <c r="II95" s="183"/>
      <c r="IJ95" s="183"/>
      <c r="IK95" s="183"/>
      <c r="IL95" s="183"/>
      <c r="IM95" s="183"/>
      <c r="IN95" s="183"/>
      <c r="IO95" s="183"/>
      <c r="IP95" s="183"/>
      <c r="IQ95" s="183"/>
      <c r="IR95" s="183"/>
      <c r="IS95" s="183"/>
      <c r="IT95" s="183"/>
      <c r="IU95" s="183"/>
      <c r="IV95" s="183"/>
    </row>
    <row r="96" ht="15">
      <c r="A96" s="192" t="s">
        <v>495</v>
      </c>
      <c r="B96" s="183"/>
      <c r="C96" s="183"/>
      <c r="D96" s="183"/>
      <c r="E96" s="183"/>
      <c r="F96" s="183"/>
      <c r="G96" s="183"/>
      <c r="H96" s="183"/>
      <c r="I96" s="183"/>
      <c r="J96" s="183"/>
      <c r="K96" s="183"/>
      <c r="L96" s="183"/>
      <c r="M96" s="183"/>
      <c r="N96" s="183"/>
      <c r="O96" s="183"/>
      <c r="P96" s="183"/>
      <c r="Q96" s="183"/>
      <c r="R96" s="183"/>
      <c r="S96" s="183"/>
      <c r="T96" s="183"/>
      <c r="U96" s="183"/>
      <c r="V96" s="183"/>
      <c r="W96" s="183"/>
      <c r="X96" s="183"/>
      <c r="Y96" s="183"/>
      <c r="Z96" s="183"/>
      <c r="AA96" s="183"/>
      <c r="AB96" s="183"/>
      <c r="AC96" s="183"/>
      <c r="AD96" s="183"/>
      <c r="AE96" s="183"/>
      <c r="AF96" s="183"/>
      <c r="AG96" s="183"/>
      <c r="AH96" s="183"/>
      <c r="AI96" s="183"/>
      <c r="AJ96" s="183"/>
      <c r="AK96" s="183"/>
      <c r="AL96" s="183"/>
      <c r="AM96" s="183"/>
      <c r="AN96" s="183"/>
      <c r="AO96" s="183"/>
      <c r="AP96" s="183"/>
      <c r="AQ96" s="183"/>
      <c r="AR96" s="183"/>
      <c r="AS96" s="183"/>
      <c r="AT96" s="183"/>
      <c r="AU96" s="183"/>
      <c r="AV96" s="183"/>
      <c r="AW96" s="183"/>
      <c r="AX96" s="183"/>
      <c r="AY96" s="183"/>
      <c r="AZ96" s="183"/>
      <c r="BA96" s="183"/>
      <c r="BB96" s="183"/>
      <c r="BC96" s="183"/>
      <c r="BD96" s="183"/>
      <c r="BE96" s="183"/>
      <c r="BF96" s="183"/>
      <c r="BG96" s="183"/>
      <c r="BH96" s="183"/>
      <c r="BI96" s="183"/>
      <c r="BJ96" s="183"/>
      <c r="BK96" s="183"/>
      <c r="BL96" s="183"/>
      <c r="BM96" s="183"/>
      <c r="BN96" s="183"/>
      <c r="BO96" s="183"/>
      <c r="BP96" s="183"/>
      <c r="BQ96" s="183"/>
      <c r="BR96" s="183"/>
      <c r="BS96" s="183"/>
      <c r="BT96" s="183"/>
      <c r="BU96" s="183"/>
      <c r="BV96" s="183"/>
      <c r="BW96" s="183"/>
      <c r="BX96" s="183"/>
      <c r="BY96" s="183"/>
      <c r="BZ96" s="183"/>
      <c r="CA96" s="183"/>
      <c r="CB96" s="183"/>
      <c r="CC96" s="183"/>
      <c r="CD96" s="183"/>
      <c r="CE96" s="183"/>
      <c r="CF96" s="183"/>
      <c r="CG96" s="183"/>
      <c r="CH96" s="183"/>
      <c r="CI96" s="183"/>
      <c r="CJ96" s="183"/>
      <c r="CK96" s="183"/>
      <c r="CL96" s="183"/>
      <c r="CM96" s="183"/>
      <c r="CN96" s="183"/>
      <c r="CO96" s="183"/>
      <c r="CP96" s="183"/>
      <c r="CQ96" s="183"/>
      <c r="CR96" s="183"/>
      <c r="CS96" s="183"/>
      <c r="CT96" s="183"/>
      <c r="CU96" s="183"/>
      <c r="CV96" s="183"/>
      <c r="CW96" s="183"/>
      <c r="CX96" s="183"/>
      <c r="CY96" s="183"/>
      <c r="CZ96" s="183"/>
      <c r="DA96" s="183"/>
      <c r="DB96" s="183"/>
      <c r="DC96" s="183"/>
      <c r="DD96" s="183"/>
      <c r="DE96" s="183"/>
      <c r="DF96" s="183"/>
      <c r="DG96" s="183"/>
      <c r="DH96" s="183"/>
      <c r="DI96" s="183"/>
      <c r="DJ96" s="183"/>
      <c r="DK96" s="183"/>
      <c r="DL96" s="183"/>
      <c r="DM96" s="183"/>
      <c r="DN96" s="183"/>
      <c r="DO96" s="183"/>
      <c r="DP96" s="183"/>
      <c r="DQ96" s="183"/>
      <c r="DR96" s="183"/>
      <c r="DS96" s="183"/>
      <c r="DT96" s="183"/>
      <c r="DU96" s="183"/>
      <c r="DV96" s="183"/>
      <c r="DW96" s="183"/>
      <c r="DX96" s="183"/>
      <c r="DY96" s="183"/>
      <c r="DZ96" s="183"/>
      <c r="EA96" s="183"/>
      <c r="EB96" s="183"/>
      <c r="EC96" s="183"/>
      <c r="ED96" s="183"/>
      <c r="EE96" s="183"/>
      <c r="EF96" s="183"/>
      <c r="EG96" s="183"/>
      <c r="EH96" s="183"/>
      <c r="EI96" s="183"/>
      <c r="EJ96" s="183"/>
      <c r="EK96" s="183"/>
      <c r="EL96" s="183"/>
      <c r="EM96" s="183"/>
      <c r="EN96" s="183"/>
      <c r="EO96" s="183"/>
      <c r="EP96" s="183"/>
      <c r="EQ96" s="183"/>
      <c r="ER96" s="183"/>
      <c r="ES96" s="183"/>
      <c r="ET96" s="183"/>
      <c r="EU96" s="183"/>
      <c r="EV96" s="183"/>
      <c r="EW96" s="183"/>
      <c r="EX96" s="183"/>
      <c r="EY96" s="183"/>
      <c r="EZ96" s="183"/>
      <c r="FA96" s="183"/>
      <c r="FB96" s="183"/>
      <c r="FC96" s="183"/>
      <c r="FD96" s="183"/>
      <c r="FE96" s="183"/>
      <c r="FF96" s="183"/>
      <c r="FG96" s="183"/>
      <c r="FH96" s="183"/>
      <c r="FI96" s="183"/>
      <c r="FJ96" s="183"/>
      <c r="FK96" s="183"/>
      <c r="FL96" s="183"/>
      <c r="FM96" s="183"/>
      <c r="FN96" s="183"/>
      <c r="FO96" s="183"/>
      <c r="FP96" s="183"/>
      <c r="FQ96" s="183"/>
      <c r="FR96" s="183"/>
      <c r="FS96" s="183"/>
      <c r="FT96" s="183"/>
      <c r="FU96" s="183"/>
      <c r="FV96" s="183"/>
      <c r="FW96" s="183"/>
      <c r="FX96" s="183"/>
      <c r="FY96" s="183"/>
      <c r="FZ96" s="183"/>
      <c r="GA96" s="183"/>
      <c r="GB96" s="183"/>
      <c r="GC96" s="183"/>
      <c r="GD96" s="183"/>
      <c r="GE96" s="183"/>
      <c r="GF96" s="183"/>
      <c r="GG96" s="183"/>
      <c r="GH96" s="183"/>
      <c r="GI96" s="183"/>
      <c r="GJ96" s="183"/>
      <c r="GK96" s="183"/>
      <c r="GL96" s="183"/>
      <c r="GM96" s="183"/>
      <c r="GN96" s="183"/>
      <c r="GO96" s="183"/>
      <c r="GP96" s="183"/>
      <c r="GQ96" s="183"/>
      <c r="GR96" s="183"/>
      <c r="GS96" s="183"/>
      <c r="GT96" s="183"/>
      <c r="GU96" s="183"/>
      <c r="GV96" s="183"/>
      <c r="GW96" s="183"/>
      <c r="GX96" s="183"/>
      <c r="GY96" s="183"/>
      <c r="GZ96" s="183"/>
      <c r="HA96" s="183"/>
      <c r="HB96" s="183"/>
      <c r="HC96" s="183"/>
      <c r="HD96" s="183"/>
      <c r="HE96" s="183"/>
      <c r="HF96" s="183"/>
      <c r="HG96" s="183"/>
      <c r="HH96" s="183"/>
      <c r="HI96" s="183"/>
      <c r="HJ96" s="183"/>
      <c r="HK96" s="183"/>
      <c r="HL96" s="183"/>
      <c r="HM96" s="183"/>
      <c r="HN96" s="183"/>
      <c r="HO96" s="183"/>
      <c r="HP96" s="183"/>
      <c r="HQ96" s="183"/>
      <c r="HR96" s="183"/>
      <c r="HS96" s="183"/>
      <c r="HT96" s="183"/>
      <c r="HU96" s="183"/>
      <c r="HV96" s="183"/>
      <c r="HW96" s="183"/>
      <c r="HX96" s="183"/>
      <c r="HY96" s="183"/>
      <c r="HZ96" s="183"/>
      <c r="IA96" s="183"/>
      <c r="IB96" s="183"/>
      <c r="IC96" s="183"/>
      <c r="ID96" s="183"/>
      <c r="IE96" s="183"/>
      <c r="IF96" s="183"/>
      <c r="IG96" s="183"/>
      <c r="IH96" s="183"/>
      <c r="II96" s="183"/>
      <c r="IJ96" s="183"/>
      <c r="IK96" s="183"/>
      <c r="IL96" s="183"/>
      <c r="IM96" s="183"/>
      <c r="IN96" s="183"/>
      <c r="IO96" s="183"/>
      <c r="IP96" s="183"/>
      <c r="IQ96" s="183"/>
      <c r="IR96" s="183"/>
      <c r="IS96" s="183"/>
      <c r="IT96" s="183"/>
      <c r="IU96" s="183"/>
      <c r="IV96" s="183"/>
    </row>
    <row r="97" ht="15">
      <c r="A97" s="168" t="s">
        <v>177</v>
      </c>
      <c r="B97" s="168" t="str">
        <f>B84</f>
        <v xml:space="preserve">2019 год</v>
      </c>
      <c r="C97" s="168" t="str">
        <f>C84</f>
        <v xml:space="preserve">2018 год</v>
      </c>
      <c r="D97" s="168" t="str">
        <f>D84</f>
        <v xml:space="preserve">2017 год</v>
      </c>
      <c r="E97" s="168" t="str">
        <f>E84</f>
        <v xml:space="preserve">2016 год</v>
      </c>
      <c r="F97" s="168" t="str">
        <f>F84</f>
        <v xml:space="preserve">2015 год</v>
      </c>
      <c r="G97" s="168" t="str">
        <f>G84</f>
        <v xml:space="preserve">2014 год</v>
      </c>
      <c r="H97" s="168" t="str">
        <f>H84</f>
        <v xml:space="preserve">2013 год</v>
      </c>
      <c r="I97" s="183"/>
      <c r="J97" s="183"/>
      <c r="K97" s="183"/>
      <c r="L97" s="183"/>
      <c r="M97" s="183"/>
      <c r="N97" s="183"/>
      <c r="O97" s="183"/>
      <c r="P97" s="183"/>
      <c r="Q97" s="183"/>
      <c r="R97" s="183"/>
      <c r="S97" s="183"/>
      <c r="T97" s="183"/>
      <c r="U97" s="183"/>
      <c r="V97" s="183"/>
      <c r="W97" s="183"/>
      <c r="X97" s="183"/>
      <c r="Y97" s="183"/>
      <c r="Z97" s="183"/>
      <c r="AA97" s="183"/>
      <c r="AB97" s="183"/>
      <c r="AC97" s="183"/>
      <c r="AD97" s="183"/>
      <c r="AE97" s="183"/>
      <c r="AF97" s="183"/>
      <c r="AG97" s="183"/>
      <c r="AH97" s="183"/>
      <c r="AI97" s="183"/>
      <c r="AJ97" s="183"/>
      <c r="AK97" s="183"/>
      <c r="AL97" s="183"/>
      <c r="AM97" s="183"/>
      <c r="AN97" s="183"/>
      <c r="AO97" s="183"/>
      <c r="AP97" s="183"/>
      <c r="AQ97" s="183"/>
      <c r="AR97" s="183"/>
      <c r="AS97" s="183"/>
      <c r="AT97" s="183"/>
      <c r="AU97" s="183"/>
      <c r="AV97" s="183"/>
      <c r="AW97" s="183"/>
      <c r="AX97" s="183"/>
      <c r="AY97" s="183"/>
      <c r="AZ97" s="183"/>
      <c r="BA97" s="183"/>
      <c r="BB97" s="183"/>
      <c r="BC97" s="183"/>
      <c r="BD97" s="183"/>
      <c r="BE97" s="183"/>
      <c r="BF97" s="183"/>
      <c r="BG97" s="183"/>
      <c r="BH97" s="183"/>
      <c r="BI97" s="183"/>
      <c r="BJ97" s="183"/>
      <c r="BK97" s="183"/>
      <c r="BL97" s="183"/>
      <c r="BM97" s="183"/>
      <c r="BN97" s="183"/>
      <c r="BO97" s="183"/>
      <c r="BP97" s="183"/>
      <c r="BQ97" s="183"/>
      <c r="BR97" s="183"/>
      <c r="BS97" s="183"/>
      <c r="BT97" s="183"/>
      <c r="BU97" s="183"/>
      <c r="BV97" s="183"/>
      <c r="BW97" s="183"/>
      <c r="BX97" s="183"/>
      <c r="BY97" s="183"/>
      <c r="BZ97" s="183"/>
      <c r="CA97" s="183"/>
      <c r="CB97" s="183"/>
      <c r="CC97" s="183"/>
      <c r="CD97" s="183"/>
      <c r="CE97" s="183"/>
      <c r="CF97" s="183"/>
      <c r="CG97" s="183"/>
      <c r="CH97" s="183"/>
      <c r="CI97" s="183"/>
      <c r="CJ97" s="183"/>
      <c r="CK97" s="183"/>
      <c r="CL97" s="183"/>
      <c r="CM97" s="183"/>
      <c r="CN97" s="183"/>
      <c r="CO97" s="183"/>
      <c r="CP97" s="183"/>
      <c r="CQ97" s="183"/>
      <c r="CR97" s="183"/>
      <c r="CS97" s="183"/>
      <c r="CT97" s="183"/>
      <c r="CU97" s="183"/>
      <c r="CV97" s="183"/>
      <c r="CW97" s="183"/>
      <c r="CX97" s="183"/>
      <c r="CY97" s="183"/>
      <c r="CZ97" s="183"/>
      <c r="DA97" s="183"/>
      <c r="DB97" s="183"/>
      <c r="DC97" s="183"/>
      <c r="DD97" s="183"/>
      <c r="DE97" s="183"/>
      <c r="DF97" s="183"/>
      <c r="DG97" s="183"/>
      <c r="DH97" s="183"/>
      <c r="DI97" s="183"/>
      <c r="DJ97" s="183"/>
      <c r="DK97" s="183"/>
      <c r="DL97" s="183"/>
      <c r="DM97" s="183"/>
      <c r="DN97" s="183"/>
      <c r="DO97" s="183"/>
      <c r="DP97" s="183"/>
      <c r="DQ97" s="183"/>
      <c r="DR97" s="183"/>
      <c r="DS97" s="183"/>
      <c r="DT97" s="183"/>
      <c r="DU97" s="183"/>
      <c r="DV97" s="183"/>
      <c r="DW97" s="183"/>
      <c r="DX97" s="183"/>
      <c r="DY97" s="183"/>
      <c r="DZ97" s="183"/>
      <c r="EA97" s="183"/>
      <c r="EB97" s="183"/>
      <c r="EC97" s="183"/>
      <c r="ED97" s="183"/>
      <c r="EE97" s="183"/>
      <c r="EF97" s="183"/>
      <c r="EG97" s="183"/>
      <c r="EH97" s="183"/>
      <c r="EI97" s="183"/>
      <c r="EJ97" s="183"/>
      <c r="EK97" s="183"/>
      <c r="EL97" s="183"/>
      <c r="EM97" s="183"/>
      <c r="EN97" s="183"/>
      <c r="EO97" s="183"/>
      <c r="EP97" s="183"/>
      <c r="EQ97" s="183"/>
      <c r="ER97" s="183"/>
      <c r="ES97" s="183"/>
      <c r="ET97" s="183"/>
      <c r="EU97" s="183"/>
      <c r="EV97" s="183"/>
      <c r="EW97" s="183"/>
      <c r="EX97" s="183"/>
      <c r="EY97" s="183"/>
      <c r="EZ97" s="183"/>
      <c r="FA97" s="183"/>
      <c r="FB97" s="183"/>
      <c r="FC97" s="183"/>
      <c r="FD97" s="183"/>
      <c r="FE97" s="183"/>
      <c r="FF97" s="183"/>
      <c r="FG97" s="183"/>
      <c r="FH97" s="183"/>
      <c r="FI97" s="183"/>
      <c r="FJ97" s="183"/>
      <c r="FK97" s="183"/>
      <c r="FL97" s="183"/>
      <c r="FM97" s="183"/>
      <c r="FN97" s="183"/>
      <c r="FO97" s="183"/>
      <c r="FP97" s="183"/>
      <c r="FQ97" s="183"/>
      <c r="FR97" s="183"/>
      <c r="FS97" s="183"/>
      <c r="FT97" s="183"/>
      <c r="FU97" s="183"/>
      <c r="FV97" s="183"/>
      <c r="FW97" s="183"/>
      <c r="FX97" s="183"/>
      <c r="FY97" s="183"/>
      <c r="FZ97" s="183"/>
      <c r="GA97" s="183"/>
      <c r="GB97" s="183"/>
      <c r="GC97" s="183"/>
      <c r="GD97" s="183"/>
      <c r="GE97" s="183"/>
      <c r="GF97" s="183"/>
      <c r="GG97" s="183"/>
      <c r="GH97" s="183"/>
      <c r="GI97" s="183"/>
      <c r="GJ97" s="183"/>
      <c r="GK97" s="183"/>
      <c r="GL97" s="183"/>
      <c r="GM97" s="183"/>
      <c r="GN97" s="183"/>
      <c r="GO97" s="183"/>
      <c r="GP97" s="183"/>
      <c r="GQ97" s="183"/>
      <c r="GR97" s="183"/>
      <c r="GS97" s="183"/>
      <c r="GT97" s="183"/>
      <c r="GU97" s="183"/>
      <c r="GV97" s="183"/>
      <c r="GW97" s="183"/>
      <c r="GX97" s="183"/>
      <c r="GY97" s="183"/>
      <c r="GZ97" s="183"/>
      <c r="HA97" s="183"/>
      <c r="HB97" s="183"/>
      <c r="HC97" s="183"/>
      <c r="HD97" s="183"/>
      <c r="HE97" s="183"/>
      <c r="HF97" s="183"/>
      <c r="HG97" s="183"/>
      <c r="HH97" s="183"/>
      <c r="HI97" s="183"/>
      <c r="HJ97" s="183"/>
      <c r="HK97" s="183"/>
      <c r="HL97" s="183"/>
      <c r="HM97" s="183"/>
      <c r="HN97" s="183"/>
      <c r="HO97" s="183"/>
      <c r="HP97" s="183"/>
      <c r="HQ97" s="183"/>
      <c r="HR97" s="183"/>
      <c r="HS97" s="183"/>
      <c r="HT97" s="183"/>
      <c r="HU97" s="183"/>
      <c r="HV97" s="183"/>
      <c r="HW97" s="183"/>
      <c r="HX97" s="183"/>
      <c r="HY97" s="183"/>
      <c r="HZ97" s="183"/>
      <c r="IA97" s="183"/>
      <c r="IB97" s="183"/>
      <c r="IC97" s="183"/>
      <c r="ID97" s="183"/>
      <c r="IE97" s="183"/>
      <c r="IF97" s="183"/>
      <c r="IG97" s="183"/>
      <c r="IH97" s="183"/>
      <c r="II97" s="183"/>
      <c r="IJ97" s="183"/>
      <c r="IK97" s="183"/>
      <c r="IL97" s="183"/>
      <c r="IM97" s="183"/>
      <c r="IN97" s="183"/>
      <c r="IO97" s="183"/>
      <c r="IP97" s="183"/>
      <c r="IQ97" s="183"/>
      <c r="IR97" s="183"/>
      <c r="IS97" s="183"/>
      <c r="IT97" s="183"/>
      <c r="IU97" s="183"/>
      <c r="IV97" s="183"/>
    </row>
    <row r="98" ht="15" customHeight="1">
      <c r="A98" s="196" t="s">
        <v>496</v>
      </c>
      <c r="B98" s="260">
        <f>(бс!C15/бс!C26)*100</f>
        <v>35.267471461004597</v>
      </c>
      <c r="C98" s="260">
        <f>(бс!D15/бс!D26)*100</f>
        <v>33.792259717241002</v>
      </c>
      <c r="D98" s="259">
        <f>(бс!E15/бс!E26)*100</f>
        <v>25.813783430025101</v>
      </c>
      <c r="E98" s="259">
        <f>(бс!F15/бс!F26)*100</f>
        <v>18.032819047434401</v>
      </c>
      <c r="F98" s="259">
        <f>(бс!G15/бс!G26)*100</f>
        <v>22.483484416137401</v>
      </c>
      <c r="G98" s="259">
        <f>(бс!H15/бс!H26)*100</f>
        <v>34.240777155794802</v>
      </c>
      <c r="H98" s="259">
        <f>(бс!I15/бс!I26)*100</f>
        <v>55.308873767138103</v>
      </c>
      <c r="I98" s="262" t="s">
        <v>472</v>
      </c>
      <c r="J98" s="258" t="s">
        <v>497</v>
      </c>
      <c r="K98" s="258"/>
      <c r="L98" s="258"/>
      <c r="M98" s="258"/>
      <c r="N98" s="258"/>
      <c r="O98" s="258"/>
      <c r="P98" s="258"/>
      <c r="Q98" s="258"/>
      <c r="R98" s="258"/>
      <c r="S98" s="258"/>
      <c r="T98" s="258"/>
      <c r="U98" s="258"/>
      <c r="V98" s="258"/>
      <c r="W98" s="183"/>
      <c r="X98" s="183"/>
      <c r="Y98" s="183"/>
      <c r="Z98" s="183"/>
      <c r="AA98" s="183"/>
      <c r="AB98" s="183"/>
      <c r="AC98" s="183"/>
      <c r="AD98" s="183"/>
      <c r="AE98" s="183"/>
      <c r="AF98" s="183"/>
      <c r="AG98" s="183"/>
      <c r="AH98" s="183"/>
      <c r="AI98" s="183"/>
      <c r="AJ98" s="183"/>
      <c r="AK98" s="183"/>
      <c r="AL98" s="183"/>
      <c r="AM98" s="183"/>
      <c r="AN98" s="183"/>
      <c r="AO98" s="183"/>
      <c r="AP98" s="183"/>
      <c r="AQ98" s="183"/>
      <c r="AR98" s="183"/>
      <c r="AS98" s="183"/>
      <c r="AT98" s="183"/>
      <c r="AU98" s="183"/>
      <c r="AV98" s="183"/>
      <c r="AW98" s="183"/>
      <c r="AX98" s="183"/>
      <c r="AY98" s="183"/>
      <c r="AZ98" s="183"/>
      <c r="BA98" s="183"/>
      <c r="BB98" s="183"/>
      <c r="BC98" s="183"/>
      <c r="BD98" s="183"/>
      <c r="BE98" s="183"/>
      <c r="BF98" s="183"/>
      <c r="BG98" s="183"/>
      <c r="BH98" s="183"/>
      <c r="BI98" s="183"/>
      <c r="BJ98" s="183"/>
      <c r="BK98" s="183"/>
      <c r="BL98" s="183"/>
      <c r="BM98" s="183"/>
      <c r="BN98" s="183"/>
      <c r="BO98" s="183"/>
      <c r="BP98" s="183"/>
      <c r="BQ98" s="183"/>
      <c r="BR98" s="183"/>
      <c r="BS98" s="183"/>
      <c r="BT98" s="183"/>
      <c r="BU98" s="183"/>
      <c r="BV98" s="183"/>
      <c r="BW98" s="183"/>
      <c r="BX98" s="183"/>
      <c r="BY98" s="183"/>
      <c r="BZ98" s="183"/>
      <c r="CA98" s="183"/>
      <c r="CB98" s="183"/>
      <c r="CC98" s="183"/>
      <c r="CD98" s="183"/>
      <c r="CE98" s="183"/>
      <c r="CF98" s="183"/>
      <c r="CG98" s="183"/>
      <c r="CH98" s="183"/>
      <c r="CI98" s="183"/>
      <c r="CJ98" s="183"/>
      <c r="CK98" s="183"/>
      <c r="CL98" s="183"/>
      <c r="CM98" s="183"/>
      <c r="CN98" s="183"/>
      <c r="CO98" s="183"/>
      <c r="CP98" s="183"/>
      <c r="CQ98" s="183"/>
      <c r="CR98" s="183"/>
      <c r="CS98" s="183"/>
      <c r="CT98" s="183"/>
      <c r="CU98" s="183"/>
      <c r="CV98" s="183"/>
      <c r="CW98" s="183"/>
      <c r="CX98" s="183"/>
      <c r="CY98" s="183"/>
      <c r="CZ98" s="183"/>
      <c r="DA98" s="183"/>
      <c r="DB98" s="183"/>
      <c r="DC98" s="183"/>
      <c r="DD98" s="183"/>
      <c r="DE98" s="183"/>
      <c r="DF98" s="183"/>
      <c r="DG98" s="183"/>
      <c r="DH98" s="183"/>
      <c r="DI98" s="183"/>
      <c r="DJ98" s="183"/>
      <c r="DK98" s="183"/>
      <c r="DL98" s="183"/>
      <c r="DM98" s="183"/>
      <c r="DN98" s="183"/>
      <c r="DO98" s="183"/>
      <c r="DP98" s="183"/>
      <c r="DQ98" s="183"/>
      <c r="DR98" s="183"/>
      <c r="DS98" s="183"/>
      <c r="DT98" s="183"/>
      <c r="DU98" s="183"/>
      <c r="DV98" s="183"/>
      <c r="DW98" s="183"/>
      <c r="DX98" s="183"/>
      <c r="DY98" s="183"/>
      <c r="DZ98" s="183"/>
      <c r="EA98" s="183"/>
      <c r="EB98" s="183"/>
      <c r="EC98" s="183"/>
      <c r="ED98" s="183"/>
      <c r="EE98" s="183"/>
      <c r="EF98" s="183"/>
      <c r="EG98" s="183"/>
      <c r="EH98" s="183"/>
      <c r="EI98" s="183"/>
      <c r="EJ98" s="183"/>
      <c r="EK98" s="183"/>
      <c r="EL98" s="183"/>
      <c r="EM98" s="183"/>
      <c r="EN98" s="183"/>
      <c r="EO98" s="183"/>
      <c r="EP98" s="183"/>
      <c r="EQ98" s="183"/>
      <c r="ER98" s="183"/>
      <c r="ES98" s="183"/>
      <c r="ET98" s="183"/>
      <c r="EU98" s="183"/>
      <c r="EV98" s="183"/>
      <c r="EW98" s="183"/>
      <c r="EX98" s="183"/>
      <c r="EY98" s="183"/>
      <c r="EZ98" s="183"/>
      <c r="FA98" s="183"/>
      <c r="FB98" s="183"/>
      <c r="FC98" s="183"/>
      <c r="FD98" s="183"/>
      <c r="FE98" s="183"/>
      <c r="FF98" s="183"/>
      <c r="FG98" s="183"/>
      <c r="FH98" s="183"/>
      <c r="FI98" s="183"/>
      <c r="FJ98" s="183"/>
      <c r="FK98" s="183"/>
      <c r="FL98" s="183"/>
      <c r="FM98" s="183"/>
      <c r="FN98" s="183"/>
      <c r="FO98" s="183"/>
      <c r="FP98" s="183"/>
      <c r="FQ98" s="183"/>
      <c r="FR98" s="183"/>
      <c r="FS98" s="183"/>
      <c r="FT98" s="183"/>
      <c r="FU98" s="183"/>
      <c r="FV98" s="183"/>
      <c r="FW98" s="183"/>
      <c r="FX98" s="183"/>
      <c r="FY98" s="183"/>
      <c r="FZ98" s="183"/>
      <c r="GA98" s="183"/>
      <c r="GB98" s="183"/>
      <c r="GC98" s="183"/>
      <c r="GD98" s="183"/>
      <c r="GE98" s="183"/>
      <c r="GF98" s="183"/>
      <c r="GG98" s="183"/>
      <c r="GH98" s="183"/>
      <c r="GI98" s="183"/>
      <c r="GJ98" s="183"/>
      <c r="GK98" s="183"/>
      <c r="GL98" s="183"/>
      <c r="GM98" s="183"/>
      <c r="GN98" s="183"/>
      <c r="GO98" s="183"/>
      <c r="GP98" s="183"/>
      <c r="GQ98" s="183"/>
      <c r="GR98" s="183"/>
      <c r="GS98" s="183"/>
      <c r="GT98" s="183"/>
      <c r="GU98" s="183"/>
      <c r="GV98" s="183"/>
      <c r="GW98" s="183"/>
      <c r="GX98" s="183"/>
      <c r="GY98" s="183"/>
      <c r="GZ98" s="183"/>
      <c r="HA98" s="183"/>
      <c r="HB98" s="183"/>
      <c r="HC98" s="183"/>
      <c r="HD98" s="183"/>
      <c r="HE98" s="183"/>
      <c r="HF98" s="183"/>
      <c r="HG98" s="183"/>
      <c r="HH98" s="183"/>
      <c r="HI98" s="183"/>
      <c r="HJ98" s="183"/>
      <c r="HK98" s="183"/>
      <c r="HL98" s="183"/>
      <c r="HM98" s="183"/>
      <c r="HN98" s="183"/>
      <c r="HO98" s="183"/>
      <c r="HP98" s="183"/>
      <c r="HQ98" s="183"/>
      <c r="HR98" s="183"/>
      <c r="HS98" s="183"/>
      <c r="HT98" s="183"/>
      <c r="HU98" s="183"/>
      <c r="HV98" s="183"/>
      <c r="HW98" s="183"/>
      <c r="HX98" s="183"/>
      <c r="HY98" s="183"/>
      <c r="HZ98" s="183"/>
      <c r="IA98" s="183"/>
      <c r="IB98" s="183"/>
      <c r="IC98" s="183"/>
      <c r="ID98" s="183"/>
      <c r="IE98" s="183"/>
      <c r="IF98" s="183"/>
      <c r="IG98" s="183"/>
      <c r="IH98" s="183"/>
      <c r="II98" s="183"/>
      <c r="IJ98" s="183"/>
      <c r="IK98" s="183"/>
      <c r="IL98" s="183"/>
      <c r="IM98" s="183"/>
      <c r="IN98" s="183"/>
      <c r="IO98" s="183"/>
      <c r="IP98" s="183"/>
      <c r="IQ98" s="183"/>
      <c r="IR98" s="183"/>
      <c r="IS98" s="183"/>
      <c r="IT98" s="183"/>
      <c r="IU98" s="183"/>
      <c r="IV98" s="183"/>
    </row>
    <row r="99" ht="15">
      <c r="A99" s="196" t="s">
        <v>498</v>
      </c>
      <c r="B99" s="256">
        <f>(бс!C15-бс!D15)/бс!D15*100</f>
        <v>1.3025923869312399</v>
      </c>
      <c r="C99" s="256">
        <f>(бс!D15-бс!E15)/бс!E15*100</f>
        <v>19.084556012264301</v>
      </c>
      <c r="D99" s="263">
        <f>(бс!E15-бс!F15)/бс!F15*100</f>
        <v>44.2802092121767</v>
      </c>
      <c r="E99" s="263">
        <f>(бс!F15-бс!G15)/бс!G15*100</f>
        <v>-9.8169650933615404</v>
      </c>
      <c r="F99" s="263">
        <f>(бс!G15-бс!H15)/бс!H15*100</f>
        <v>-20.4473904886698</v>
      </c>
      <c r="G99" s="263">
        <f>(бс!H15-бс!I15)/бс!I15*100</f>
        <v>-21.744323057627099</v>
      </c>
      <c r="H99" s="264" t="s">
        <v>108</v>
      </c>
      <c r="I99" s="262"/>
      <c r="J99" s="258"/>
      <c r="K99" s="258"/>
      <c r="L99" s="258"/>
      <c r="M99" s="258"/>
      <c r="N99" s="258"/>
      <c r="O99" s="258"/>
      <c r="P99" s="258"/>
      <c r="Q99" s="258"/>
      <c r="R99" s="258"/>
      <c r="S99" s="258"/>
      <c r="T99" s="258"/>
      <c r="U99" s="258"/>
      <c r="V99" s="258"/>
      <c r="W99" s="183"/>
      <c r="X99" s="183"/>
      <c r="Y99" s="183"/>
      <c r="Z99" s="183"/>
      <c r="AA99" s="183"/>
      <c r="AB99" s="183"/>
      <c r="AC99" s="183"/>
      <c r="AD99" s="183"/>
      <c r="AE99" s="183"/>
      <c r="AF99" s="183"/>
      <c r="AG99" s="183"/>
      <c r="AH99" s="183"/>
      <c r="AI99" s="183"/>
      <c r="AJ99" s="183"/>
      <c r="AK99" s="183"/>
      <c r="AL99" s="183"/>
      <c r="AM99" s="183"/>
      <c r="AN99" s="183"/>
      <c r="AO99" s="183"/>
      <c r="AP99" s="183"/>
      <c r="AQ99" s="183"/>
      <c r="AR99" s="183"/>
      <c r="AS99" s="183"/>
      <c r="AT99" s="183"/>
      <c r="AU99" s="183"/>
      <c r="AV99" s="183"/>
      <c r="AW99" s="183"/>
      <c r="AX99" s="183"/>
      <c r="AY99" s="183"/>
      <c r="AZ99" s="183"/>
      <c r="BA99" s="183"/>
      <c r="BB99" s="183"/>
      <c r="BC99" s="183"/>
      <c r="BD99" s="183"/>
      <c r="BE99" s="183"/>
      <c r="BF99" s="183"/>
      <c r="BG99" s="183"/>
      <c r="BH99" s="183"/>
      <c r="BI99" s="183"/>
      <c r="BJ99" s="183"/>
      <c r="BK99" s="183"/>
      <c r="BL99" s="183"/>
      <c r="BM99" s="183"/>
      <c r="BN99" s="183"/>
      <c r="BO99" s="183"/>
      <c r="BP99" s="183"/>
      <c r="BQ99" s="183"/>
      <c r="BR99" s="183"/>
      <c r="BS99" s="183"/>
      <c r="BT99" s="183"/>
      <c r="BU99" s="183"/>
      <c r="BV99" s="183"/>
      <c r="BW99" s="183"/>
      <c r="BX99" s="183"/>
      <c r="BY99" s="183"/>
      <c r="BZ99" s="183"/>
      <c r="CA99" s="183"/>
      <c r="CB99" s="183"/>
      <c r="CC99" s="183"/>
      <c r="CD99" s="183"/>
      <c r="CE99" s="183"/>
      <c r="CF99" s="183"/>
      <c r="CG99" s="183"/>
      <c r="CH99" s="183"/>
      <c r="CI99" s="183"/>
      <c r="CJ99" s="183"/>
      <c r="CK99" s="183"/>
      <c r="CL99" s="183"/>
      <c r="CM99" s="183"/>
      <c r="CN99" s="183"/>
      <c r="CO99" s="183"/>
      <c r="CP99" s="183"/>
      <c r="CQ99" s="183"/>
      <c r="CR99" s="183"/>
      <c r="CS99" s="183"/>
      <c r="CT99" s="183"/>
      <c r="CU99" s="183"/>
      <c r="CV99" s="183"/>
      <c r="CW99" s="183"/>
      <c r="CX99" s="183"/>
      <c r="CY99" s="183"/>
      <c r="CZ99" s="183"/>
      <c r="DA99" s="183"/>
      <c r="DB99" s="183"/>
      <c r="DC99" s="183"/>
      <c r="DD99" s="183"/>
      <c r="DE99" s="183"/>
      <c r="DF99" s="183"/>
      <c r="DG99" s="183"/>
      <c r="DH99" s="183"/>
      <c r="DI99" s="183"/>
      <c r="DJ99" s="183"/>
      <c r="DK99" s="183"/>
      <c r="DL99" s="183"/>
      <c r="DM99" s="183"/>
      <c r="DN99" s="183"/>
      <c r="DO99" s="183"/>
      <c r="DP99" s="183"/>
      <c r="DQ99" s="183"/>
      <c r="DR99" s="183"/>
      <c r="DS99" s="183"/>
      <c r="DT99" s="183"/>
      <c r="DU99" s="183"/>
      <c r="DV99" s="183"/>
      <c r="DW99" s="183"/>
      <c r="DX99" s="183"/>
      <c r="DY99" s="183"/>
      <c r="DZ99" s="183"/>
      <c r="EA99" s="183"/>
      <c r="EB99" s="183"/>
      <c r="EC99" s="183"/>
      <c r="ED99" s="183"/>
      <c r="EE99" s="183"/>
      <c r="EF99" s="183"/>
      <c r="EG99" s="183"/>
      <c r="EH99" s="183"/>
      <c r="EI99" s="183"/>
      <c r="EJ99" s="183"/>
      <c r="EK99" s="183"/>
      <c r="EL99" s="183"/>
      <c r="EM99" s="183"/>
      <c r="EN99" s="183"/>
      <c r="EO99" s="183"/>
      <c r="EP99" s="183"/>
      <c r="EQ99" s="183"/>
      <c r="ER99" s="183"/>
      <c r="ES99" s="183"/>
      <c r="ET99" s="183"/>
      <c r="EU99" s="183"/>
      <c r="EV99" s="183"/>
      <c r="EW99" s="183"/>
      <c r="EX99" s="183"/>
      <c r="EY99" s="183"/>
      <c r="EZ99" s="183"/>
      <c r="FA99" s="183"/>
      <c r="FB99" s="183"/>
      <c r="FC99" s="183"/>
      <c r="FD99" s="183"/>
      <c r="FE99" s="183"/>
      <c r="FF99" s="183"/>
      <c r="FG99" s="183"/>
      <c r="FH99" s="183"/>
      <c r="FI99" s="183"/>
      <c r="FJ99" s="183"/>
      <c r="FK99" s="183"/>
      <c r="FL99" s="183"/>
      <c r="FM99" s="183"/>
      <c r="FN99" s="183"/>
      <c r="FO99" s="183"/>
      <c r="FP99" s="183"/>
      <c r="FQ99" s="183"/>
      <c r="FR99" s="183"/>
      <c r="FS99" s="183"/>
      <c r="FT99" s="183"/>
      <c r="FU99" s="183"/>
      <c r="FV99" s="183"/>
      <c r="FW99" s="183"/>
      <c r="FX99" s="183"/>
      <c r="FY99" s="183"/>
      <c r="FZ99" s="183"/>
      <c r="GA99" s="183"/>
      <c r="GB99" s="183"/>
      <c r="GC99" s="183"/>
      <c r="GD99" s="183"/>
      <c r="GE99" s="183"/>
      <c r="GF99" s="183"/>
      <c r="GG99" s="183"/>
      <c r="GH99" s="183"/>
      <c r="GI99" s="183"/>
      <c r="GJ99" s="183"/>
      <c r="GK99" s="183"/>
      <c r="GL99" s="183"/>
      <c r="GM99" s="183"/>
      <c r="GN99" s="183"/>
      <c r="GO99" s="183"/>
      <c r="GP99" s="183"/>
      <c r="GQ99" s="183"/>
      <c r="GR99" s="183"/>
      <c r="GS99" s="183"/>
      <c r="GT99" s="183"/>
      <c r="GU99" s="183"/>
      <c r="GV99" s="183"/>
      <c r="GW99" s="183"/>
      <c r="GX99" s="183"/>
      <c r="GY99" s="183"/>
      <c r="GZ99" s="183"/>
      <c r="HA99" s="183"/>
      <c r="HB99" s="183"/>
      <c r="HC99" s="183"/>
      <c r="HD99" s="183"/>
      <c r="HE99" s="183"/>
      <c r="HF99" s="183"/>
      <c r="HG99" s="183"/>
      <c r="HH99" s="183"/>
      <c r="HI99" s="183"/>
      <c r="HJ99" s="183"/>
      <c r="HK99" s="183"/>
      <c r="HL99" s="183"/>
      <c r="HM99" s="183"/>
      <c r="HN99" s="183"/>
      <c r="HO99" s="183"/>
      <c r="HP99" s="183"/>
      <c r="HQ99" s="183"/>
      <c r="HR99" s="183"/>
      <c r="HS99" s="183"/>
      <c r="HT99" s="183"/>
      <c r="HU99" s="183"/>
      <c r="HV99" s="183"/>
      <c r="HW99" s="183"/>
      <c r="HX99" s="183"/>
      <c r="HY99" s="183"/>
      <c r="HZ99" s="183"/>
      <c r="IA99" s="183"/>
      <c r="IB99" s="183"/>
      <c r="IC99" s="183"/>
      <c r="ID99" s="183"/>
      <c r="IE99" s="183"/>
      <c r="IF99" s="183"/>
      <c r="IG99" s="183"/>
      <c r="IH99" s="183"/>
      <c r="II99" s="183"/>
      <c r="IJ99" s="183"/>
      <c r="IK99" s="183"/>
      <c r="IL99" s="183"/>
      <c r="IM99" s="183"/>
      <c r="IN99" s="183"/>
      <c r="IO99" s="183"/>
      <c r="IP99" s="183"/>
      <c r="IQ99" s="183"/>
      <c r="IR99" s="183"/>
      <c r="IS99" s="183"/>
      <c r="IT99" s="183"/>
      <c r="IU99" s="183"/>
      <c r="IV99" s="183"/>
    </row>
    <row r="100" ht="15">
      <c r="A100" s="171" t="s">
        <v>499</v>
      </c>
      <c r="B100" s="256">
        <f>(483446/'1'!C10)</f>
        <v>0.060409734963449598</v>
      </c>
      <c r="C100" s="256">
        <f>(454549/'1'!D10)</f>
        <v>0.118524117905356</v>
      </c>
      <c r="D100" s="263">
        <f>(686654/'1'!E10)</f>
        <v>0.17634388719604199</v>
      </c>
      <c r="E100" s="263">
        <f>(1026821/'1'!F10)</f>
        <v>0.26046750779953298</v>
      </c>
      <c r="F100" s="263">
        <f>(369348/'1'!G10)</f>
        <v>0.096381781957055296</v>
      </c>
      <c r="G100" s="263">
        <f>(563412/'1'!H10)</f>
        <v>0.14282270361117799</v>
      </c>
      <c r="H100" s="263">
        <f>(618745/'1'!I10)</f>
        <v>0.17326677221907</v>
      </c>
      <c r="I100" s="262"/>
      <c r="J100" s="258"/>
      <c r="K100" s="258"/>
      <c r="L100" s="258"/>
      <c r="M100" s="258"/>
      <c r="N100" s="258"/>
      <c r="O100" s="258"/>
      <c r="P100" s="258"/>
      <c r="Q100" s="258"/>
      <c r="R100" s="258"/>
      <c r="S100" s="258"/>
      <c r="T100" s="258"/>
      <c r="U100" s="258"/>
      <c r="V100" s="258"/>
      <c r="W100" s="183"/>
      <c r="X100" s="183"/>
      <c r="Y100" s="183"/>
      <c r="Z100" s="183"/>
      <c r="AA100" s="183"/>
      <c r="AB100" s="183"/>
      <c r="AC100" s="183"/>
      <c r="AD100" s="183"/>
      <c r="AE100" s="183"/>
      <c r="AF100" s="183"/>
      <c r="AG100" s="183"/>
      <c r="AH100" s="183"/>
      <c r="AI100" s="183"/>
      <c r="AJ100" s="183"/>
      <c r="AK100" s="183"/>
      <c r="AL100" s="183"/>
      <c r="AM100" s="183"/>
      <c r="AN100" s="183"/>
      <c r="AO100" s="183"/>
      <c r="AP100" s="183"/>
      <c r="AQ100" s="183"/>
      <c r="AR100" s="183"/>
      <c r="AS100" s="183"/>
      <c r="AT100" s="183"/>
      <c r="AU100" s="183"/>
      <c r="AV100" s="183"/>
      <c r="AW100" s="183"/>
      <c r="AX100" s="183"/>
      <c r="AY100" s="183"/>
      <c r="AZ100" s="183"/>
      <c r="BA100" s="183"/>
      <c r="BB100" s="183"/>
      <c r="BC100" s="183"/>
      <c r="BD100" s="183"/>
      <c r="BE100" s="183"/>
      <c r="BF100" s="183"/>
      <c r="BG100" s="183"/>
      <c r="BH100" s="183"/>
      <c r="BI100" s="183"/>
      <c r="BJ100" s="183"/>
      <c r="BK100" s="183"/>
      <c r="BL100" s="183"/>
      <c r="BM100" s="183"/>
      <c r="BN100" s="183"/>
      <c r="BO100" s="183"/>
      <c r="BP100" s="183"/>
      <c r="BQ100" s="183"/>
      <c r="BR100" s="183"/>
      <c r="BS100" s="183"/>
      <c r="BT100" s="183"/>
      <c r="BU100" s="183"/>
      <c r="BV100" s="183"/>
      <c r="BW100" s="183"/>
      <c r="BX100" s="183"/>
      <c r="BY100" s="183"/>
      <c r="BZ100" s="183"/>
      <c r="CA100" s="183"/>
      <c r="CB100" s="183"/>
      <c r="CC100" s="183"/>
      <c r="CD100" s="183"/>
      <c r="CE100" s="183"/>
      <c r="CF100" s="183"/>
      <c r="CG100" s="183"/>
      <c r="CH100" s="183"/>
      <c r="CI100" s="183"/>
      <c r="CJ100" s="183"/>
      <c r="CK100" s="183"/>
      <c r="CL100" s="183"/>
      <c r="CM100" s="183"/>
      <c r="CN100" s="183"/>
      <c r="CO100" s="183"/>
      <c r="CP100" s="183"/>
      <c r="CQ100" s="183"/>
      <c r="CR100" s="183"/>
      <c r="CS100" s="183"/>
      <c r="CT100" s="183"/>
      <c r="CU100" s="183"/>
      <c r="CV100" s="183"/>
      <c r="CW100" s="183"/>
      <c r="CX100" s="183"/>
      <c r="CY100" s="183"/>
      <c r="CZ100" s="183"/>
      <c r="DA100" s="183"/>
      <c r="DB100" s="183"/>
      <c r="DC100" s="183"/>
      <c r="DD100" s="183"/>
      <c r="DE100" s="183"/>
      <c r="DF100" s="183"/>
      <c r="DG100" s="183"/>
      <c r="DH100" s="183"/>
      <c r="DI100" s="183"/>
      <c r="DJ100" s="183"/>
      <c r="DK100" s="183"/>
      <c r="DL100" s="183"/>
      <c r="DM100" s="183"/>
      <c r="DN100" s="183"/>
      <c r="DO100" s="183"/>
      <c r="DP100" s="183"/>
      <c r="DQ100" s="183"/>
      <c r="DR100" s="183"/>
      <c r="DS100" s="183"/>
      <c r="DT100" s="183"/>
      <c r="DU100" s="183"/>
      <c r="DV100" s="183"/>
      <c r="DW100" s="183"/>
      <c r="DX100" s="183"/>
      <c r="DY100" s="183"/>
      <c r="DZ100" s="183"/>
      <c r="EA100" s="183"/>
      <c r="EB100" s="183"/>
      <c r="EC100" s="183"/>
      <c r="ED100" s="183"/>
      <c r="EE100" s="183"/>
      <c r="EF100" s="183"/>
      <c r="EG100" s="183"/>
      <c r="EH100" s="183"/>
      <c r="EI100" s="183"/>
      <c r="EJ100" s="183"/>
      <c r="EK100" s="183"/>
      <c r="EL100" s="183"/>
      <c r="EM100" s="183"/>
      <c r="EN100" s="183"/>
      <c r="EO100" s="183"/>
      <c r="EP100" s="183"/>
      <c r="EQ100" s="183"/>
      <c r="ER100" s="183"/>
      <c r="ES100" s="183"/>
      <c r="ET100" s="183"/>
      <c r="EU100" s="183"/>
      <c r="EV100" s="183"/>
      <c r="EW100" s="183"/>
      <c r="EX100" s="183"/>
      <c r="EY100" s="183"/>
      <c r="EZ100" s="183"/>
      <c r="FA100" s="183"/>
      <c r="FB100" s="183"/>
      <c r="FC100" s="183"/>
      <c r="FD100" s="183"/>
      <c r="FE100" s="183"/>
      <c r="FF100" s="183"/>
      <c r="FG100" s="183"/>
      <c r="FH100" s="183"/>
      <c r="FI100" s="183"/>
      <c r="FJ100" s="183"/>
      <c r="FK100" s="183"/>
      <c r="FL100" s="183"/>
      <c r="FM100" s="183"/>
      <c r="FN100" s="183"/>
      <c r="FO100" s="183"/>
      <c r="FP100" s="183"/>
      <c r="FQ100" s="183"/>
      <c r="FR100" s="183"/>
      <c r="FS100" s="183"/>
      <c r="FT100" s="183"/>
      <c r="FU100" s="183"/>
      <c r="FV100" s="183"/>
      <c r="FW100" s="183"/>
      <c r="FX100" s="183"/>
      <c r="FY100" s="183"/>
      <c r="FZ100" s="183"/>
      <c r="GA100" s="183"/>
      <c r="GB100" s="183"/>
      <c r="GC100" s="183"/>
      <c r="GD100" s="183"/>
      <c r="GE100" s="183"/>
      <c r="GF100" s="183"/>
      <c r="GG100" s="183"/>
      <c r="GH100" s="183"/>
      <c r="GI100" s="183"/>
      <c r="GJ100" s="183"/>
      <c r="GK100" s="183"/>
      <c r="GL100" s="183"/>
      <c r="GM100" s="183"/>
      <c r="GN100" s="183"/>
      <c r="GO100" s="183"/>
      <c r="GP100" s="183"/>
      <c r="GQ100" s="183"/>
      <c r="GR100" s="183"/>
      <c r="GS100" s="183"/>
      <c r="GT100" s="183"/>
      <c r="GU100" s="183"/>
      <c r="GV100" s="183"/>
      <c r="GW100" s="183"/>
      <c r="GX100" s="183"/>
      <c r="GY100" s="183"/>
      <c r="GZ100" s="183"/>
      <c r="HA100" s="183"/>
      <c r="HB100" s="183"/>
      <c r="HC100" s="183"/>
      <c r="HD100" s="183"/>
      <c r="HE100" s="183"/>
      <c r="HF100" s="183"/>
      <c r="HG100" s="183"/>
      <c r="HH100" s="183"/>
      <c r="HI100" s="183"/>
      <c r="HJ100" s="183"/>
      <c r="HK100" s="183"/>
      <c r="HL100" s="183"/>
      <c r="HM100" s="183"/>
      <c r="HN100" s="183"/>
      <c r="HO100" s="183"/>
      <c r="HP100" s="183"/>
      <c r="HQ100" s="183"/>
      <c r="HR100" s="183"/>
      <c r="HS100" s="183"/>
      <c r="HT100" s="183"/>
      <c r="HU100" s="183"/>
      <c r="HV100" s="183"/>
      <c r="HW100" s="183"/>
      <c r="HX100" s="183"/>
      <c r="HY100" s="183"/>
      <c r="HZ100" s="183"/>
      <c r="IA100" s="183"/>
      <c r="IB100" s="183"/>
      <c r="IC100" s="183"/>
      <c r="ID100" s="183"/>
      <c r="IE100" s="183"/>
      <c r="IF100" s="183"/>
      <c r="IG100" s="183"/>
      <c r="IH100" s="183"/>
      <c r="II100" s="183"/>
      <c r="IJ100" s="183"/>
      <c r="IK100" s="183"/>
      <c r="IL100" s="183"/>
      <c r="IM100" s="183"/>
      <c r="IN100" s="183"/>
      <c r="IO100" s="183"/>
      <c r="IP100" s="183"/>
      <c r="IQ100" s="183"/>
      <c r="IR100" s="183"/>
      <c r="IS100" s="183"/>
      <c r="IT100" s="183"/>
      <c r="IU100" s="183"/>
      <c r="IV100" s="183"/>
    </row>
    <row r="101" ht="15">
      <c r="A101" s="184" t="s">
        <v>500</v>
      </c>
      <c r="B101" s="256">
        <f>'1'!C10/8402019</f>
        <v>0.95248332573396899</v>
      </c>
      <c r="C101" s="256">
        <f>'1'!D10/8022064</f>
        <v>0.47806599398858002</v>
      </c>
      <c r="D101" s="256">
        <f>'1'!E10/8312942</f>
        <v>0.46840637165518501</v>
      </c>
      <c r="E101" s="256">
        <f>'1'!F10/7756233</f>
        <v>0.50826515913072801</v>
      </c>
      <c r="F101" s="256">
        <f>'1'!G10/6809226</f>
        <v>0.562785696935305</v>
      </c>
      <c r="G101" s="256">
        <f>'1'!H10/6487545</f>
        <v>0.60806283424623597</v>
      </c>
      <c r="H101" s="256">
        <f>'1'!I10/6006971</f>
        <v>0.59448497420746704</v>
      </c>
      <c r="I101" s="262"/>
      <c r="J101" s="258"/>
      <c r="K101" s="258"/>
      <c r="L101" s="258"/>
      <c r="M101" s="258"/>
      <c r="N101" s="258"/>
      <c r="O101" s="258"/>
      <c r="P101" s="258"/>
      <c r="Q101" s="258"/>
      <c r="R101" s="258"/>
      <c r="S101" s="258"/>
      <c r="T101" s="258"/>
      <c r="U101" s="258"/>
      <c r="V101" s="258"/>
      <c r="W101" s="183"/>
      <c r="X101" s="183"/>
      <c r="Y101" s="183"/>
      <c r="Z101" s="183"/>
      <c r="AA101" s="183"/>
      <c r="AB101" s="183"/>
      <c r="AC101" s="183"/>
      <c r="AD101" s="183"/>
      <c r="AE101" s="183"/>
      <c r="AF101" s="183"/>
      <c r="AG101" s="183"/>
      <c r="AH101" s="183"/>
      <c r="AI101" s="183"/>
      <c r="AJ101" s="183"/>
      <c r="AK101" s="183"/>
      <c r="AL101" s="183"/>
      <c r="AM101" s="183"/>
      <c r="AN101" s="183"/>
      <c r="AO101" s="183"/>
      <c r="AP101" s="183"/>
      <c r="AQ101" s="183"/>
      <c r="AR101" s="183"/>
      <c r="AS101" s="183"/>
      <c r="AT101" s="183"/>
      <c r="AU101" s="183"/>
      <c r="AV101" s="183"/>
      <c r="AW101" s="183"/>
      <c r="AX101" s="183"/>
      <c r="AY101" s="183"/>
      <c r="AZ101" s="183"/>
      <c r="BA101" s="183"/>
      <c r="BB101" s="183"/>
      <c r="BC101" s="183"/>
      <c r="BD101" s="183"/>
      <c r="BE101" s="183"/>
      <c r="BF101" s="183"/>
      <c r="BG101" s="183"/>
      <c r="BH101" s="183"/>
      <c r="BI101" s="183"/>
      <c r="BJ101" s="183"/>
      <c r="BK101" s="183"/>
      <c r="BL101" s="183"/>
      <c r="BM101" s="183"/>
      <c r="BN101" s="183"/>
      <c r="BO101" s="183"/>
      <c r="BP101" s="183"/>
      <c r="BQ101" s="183"/>
      <c r="BR101" s="183"/>
      <c r="BS101" s="183"/>
      <c r="BT101" s="183"/>
      <c r="BU101" s="183"/>
      <c r="BV101" s="183"/>
      <c r="BW101" s="183"/>
      <c r="BX101" s="183"/>
      <c r="BY101" s="183"/>
      <c r="BZ101" s="183"/>
      <c r="CA101" s="183"/>
      <c r="CB101" s="183"/>
      <c r="CC101" s="183"/>
      <c r="CD101" s="183"/>
      <c r="CE101" s="183"/>
      <c r="CF101" s="183"/>
      <c r="CG101" s="183"/>
      <c r="CH101" s="183"/>
      <c r="CI101" s="183"/>
      <c r="CJ101" s="183"/>
      <c r="CK101" s="183"/>
      <c r="CL101" s="183"/>
      <c r="CM101" s="183"/>
      <c r="CN101" s="183"/>
      <c r="CO101" s="183"/>
      <c r="CP101" s="183"/>
      <c r="CQ101" s="183"/>
      <c r="CR101" s="183"/>
      <c r="CS101" s="183"/>
      <c r="CT101" s="183"/>
      <c r="CU101" s="183"/>
      <c r="CV101" s="183"/>
      <c r="CW101" s="183"/>
      <c r="CX101" s="183"/>
      <c r="CY101" s="183"/>
      <c r="CZ101" s="183"/>
      <c r="DA101" s="183"/>
      <c r="DB101" s="183"/>
      <c r="DC101" s="183"/>
      <c r="DD101" s="183"/>
      <c r="DE101" s="183"/>
      <c r="DF101" s="183"/>
      <c r="DG101" s="183"/>
      <c r="DH101" s="183"/>
      <c r="DI101" s="183"/>
      <c r="DJ101" s="183"/>
      <c r="DK101" s="183"/>
      <c r="DL101" s="183"/>
      <c r="DM101" s="183"/>
      <c r="DN101" s="183"/>
      <c r="DO101" s="183"/>
      <c r="DP101" s="183"/>
      <c r="DQ101" s="183"/>
      <c r="DR101" s="183"/>
      <c r="DS101" s="183"/>
      <c r="DT101" s="183"/>
      <c r="DU101" s="183"/>
      <c r="DV101" s="183"/>
      <c r="DW101" s="183"/>
      <c r="DX101" s="183"/>
      <c r="DY101" s="183"/>
      <c r="DZ101" s="183"/>
      <c r="EA101" s="183"/>
      <c r="EB101" s="183"/>
      <c r="EC101" s="183"/>
      <c r="ED101" s="183"/>
      <c r="EE101" s="183"/>
      <c r="EF101" s="183"/>
      <c r="EG101" s="183"/>
      <c r="EH101" s="183"/>
      <c r="EI101" s="183"/>
      <c r="EJ101" s="183"/>
      <c r="EK101" s="183"/>
      <c r="EL101" s="183"/>
      <c r="EM101" s="183"/>
      <c r="EN101" s="183"/>
      <c r="EO101" s="183"/>
      <c r="EP101" s="183"/>
      <c r="EQ101" s="183"/>
      <c r="ER101" s="183"/>
      <c r="ES101" s="183"/>
      <c r="ET101" s="183"/>
      <c r="EU101" s="183"/>
      <c r="EV101" s="183"/>
      <c r="EW101" s="183"/>
      <c r="EX101" s="183"/>
      <c r="EY101" s="183"/>
      <c r="EZ101" s="183"/>
      <c r="FA101" s="183"/>
      <c r="FB101" s="183"/>
      <c r="FC101" s="183"/>
      <c r="FD101" s="183"/>
      <c r="FE101" s="183"/>
      <c r="FF101" s="183"/>
      <c r="FG101" s="183"/>
      <c r="FH101" s="183"/>
      <c r="FI101" s="183"/>
      <c r="FJ101" s="183"/>
      <c r="FK101" s="183"/>
      <c r="FL101" s="183"/>
      <c r="FM101" s="183"/>
      <c r="FN101" s="183"/>
      <c r="FO101" s="183"/>
      <c r="FP101" s="183"/>
      <c r="FQ101" s="183"/>
      <c r="FR101" s="183"/>
      <c r="FS101" s="183"/>
      <c r="FT101" s="183"/>
      <c r="FU101" s="183"/>
      <c r="FV101" s="183"/>
      <c r="FW101" s="183"/>
      <c r="FX101" s="183"/>
      <c r="FY101" s="183"/>
      <c r="FZ101" s="183"/>
      <c r="GA101" s="183"/>
      <c r="GB101" s="183"/>
      <c r="GC101" s="183"/>
      <c r="GD101" s="183"/>
      <c r="GE101" s="183"/>
      <c r="GF101" s="183"/>
      <c r="GG101" s="183"/>
      <c r="GH101" s="183"/>
      <c r="GI101" s="183"/>
      <c r="GJ101" s="183"/>
      <c r="GK101" s="183"/>
      <c r="GL101" s="183"/>
      <c r="GM101" s="183"/>
      <c r="GN101" s="183"/>
      <c r="GO101" s="183"/>
      <c r="GP101" s="183"/>
      <c r="GQ101" s="183"/>
      <c r="GR101" s="183"/>
      <c r="GS101" s="183"/>
      <c r="GT101" s="183"/>
      <c r="GU101" s="183"/>
      <c r="GV101" s="183"/>
      <c r="GW101" s="183"/>
      <c r="GX101" s="183"/>
      <c r="GY101" s="183"/>
      <c r="GZ101" s="183"/>
      <c r="HA101" s="183"/>
      <c r="HB101" s="183"/>
      <c r="HC101" s="183"/>
      <c r="HD101" s="183"/>
      <c r="HE101" s="183"/>
      <c r="HF101" s="183"/>
      <c r="HG101" s="183"/>
      <c r="HH101" s="183"/>
      <c r="HI101" s="183"/>
      <c r="HJ101" s="183"/>
      <c r="HK101" s="183"/>
      <c r="HL101" s="183"/>
      <c r="HM101" s="183"/>
      <c r="HN101" s="183"/>
      <c r="HO101" s="183"/>
      <c r="HP101" s="183"/>
      <c r="HQ101" s="183"/>
      <c r="HR101" s="183"/>
      <c r="HS101" s="183"/>
      <c r="HT101" s="183"/>
      <c r="HU101" s="183"/>
      <c r="HV101" s="183"/>
      <c r="HW101" s="183"/>
      <c r="HX101" s="183"/>
      <c r="HY101" s="183"/>
      <c r="HZ101" s="183"/>
      <c r="IA101" s="183"/>
      <c r="IB101" s="183"/>
      <c r="IC101" s="183"/>
      <c r="ID101" s="183"/>
      <c r="IE101" s="183"/>
      <c r="IF101" s="183"/>
      <c r="IG101" s="183"/>
      <c r="IH101" s="183"/>
      <c r="II101" s="183"/>
      <c r="IJ101" s="183"/>
      <c r="IK101" s="183"/>
      <c r="IL101" s="183"/>
      <c r="IM101" s="183"/>
      <c r="IN101" s="183"/>
      <c r="IO101" s="183"/>
      <c r="IP101" s="183"/>
      <c r="IQ101" s="183"/>
      <c r="IR101" s="183"/>
      <c r="IS101" s="183"/>
      <c r="IT101" s="183"/>
      <c r="IU101" s="183"/>
      <c r="IV101" s="183"/>
    </row>
    <row r="102" ht="15">
      <c r="A102" s="265"/>
      <c r="B102" s="266"/>
      <c r="C102" s="266"/>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183"/>
      <c r="Z102" s="183"/>
      <c r="AA102" s="183"/>
      <c r="AB102" s="183"/>
      <c r="AC102" s="183"/>
      <c r="AD102" s="183"/>
      <c r="AE102" s="183"/>
      <c r="AF102" s="183"/>
      <c r="AG102" s="183"/>
      <c r="AH102" s="183"/>
      <c r="AI102" s="183"/>
      <c r="AJ102" s="183"/>
      <c r="AK102" s="183"/>
      <c r="AL102" s="183"/>
      <c r="AM102" s="183"/>
      <c r="AN102" s="183"/>
      <c r="AO102" s="183"/>
      <c r="AP102" s="183"/>
      <c r="AQ102" s="183"/>
      <c r="AR102" s="183"/>
      <c r="AS102" s="183"/>
      <c r="AT102" s="183"/>
      <c r="AU102" s="183"/>
      <c r="AV102" s="183"/>
      <c r="AW102" s="183"/>
      <c r="AX102" s="183"/>
      <c r="AY102" s="183"/>
      <c r="AZ102" s="183"/>
      <c r="BA102" s="183"/>
      <c r="BB102" s="183"/>
      <c r="BC102" s="183"/>
      <c r="BD102" s="183"/>
      <c r="BE102" s="183"/>
      <c r="BF102" s="183"/>
      <c r="BG102" s="183"/>
      <c r="BH102" s="183"/>
      <c r="BI102" s="183"/>
      <c r="BJ102" s="183"/>
      <c r="BK102" s="183"/>
      <c r="BL102" s="183"/>
      <c r="BM102" s="183"/>
      <c r="BN102" s="183"/>
      <c r="BO102" s="183"/>
      <c r="BP102" s="183"/>
      <c r="BQ102" s="183"/>
      <c r="BR102" s="183"/>
      <c r="BS102" s="183"/>
      <c r="BT102" s="183"/>
      <c r="BU102" s="183"/>
      <c r="BV102" s="183"/>
      <c r="BW102" s="183"/>
      <c r="BX102" s="183"/>
      <c r="BY102" s="183"/>
      <c r="BZ102" s="183"/>
      <c r="CA102" s="183"/>
      <c r="CB102" s="183"/>
      <c r="CC102" s="183"/>
      <c r="CD102" s="183"/>
      <c r="CE102" s="183"/>
      <c r="CF102" s="183"/>
      <c r="CG102" s="183"/>
      <c r="CH102" s="183"/>
      <c r="CI102" s="183"/>
      <c r="CJ102" s="183"/>
      <c r="CK102" s="183"/>
      <c r="CL102" s="183"/>
      <c r="CM102" s="183"/>
      <c r="CN102" s="183"/>
      <c r="CO102" s="183"/>
      <c r="CP102" s="183"/>
      <c r="CQ102" s="183"/>
      <c r="CR102" s="183"/>
      <c r="CS102" s="183"/>
      <c r="CT102" s="183"/>
      <c r="CU102" s="183"/>
      <c r="CV102" s="183"/>
      <c r="CW102" s="183"/>
      <c r="CX102" s="183"/>
      <c r="CY102" s="183"/>
      <c r="CZ102" s="183"/>
      <c r="DA102" s="183"/>
      <c r="DB102" s="183"/>
      <c r="DC102" s="183"/>
      <c r="DD102" s="183"/>
      <c r="DE102" s="183"/>
      <c r="DF102" s="183"/>
      <c r="DG102" s="183"/>
      <c r="DH102" s="183"/>
      <c r="DI102" s="183"/>
      <c r="DJ102" s="183"/>
      <c r="DK102" s="183"/>
      <c r="DL102" s="183"/>
      <c r="DM102" s="183"/>
      <c r="DN102" s="183"/>
      <c r="DO102" s="183"/>
      <c r="DP102" s="183"/>
      <c r="DQ102" s="183"/>
      <c r="DR102" s="183"/>
      <c r="DS102" s="183"/>
      <c r="DT102" s="183"/>
      <c r="DU102" s="183"/>
      <c r="DV102" s="183"/>
      <c r="DW102" s="183"/>
      <c r="DX102" s="183"/>
      <c r="DY102" s="183"/>
      <c r="DZ102" s="183"/>
      <c r="EA102" s="183"/>
      <c r="EB102" s="183"/>
      <c r="EC102" s="183"/>
      <c r="ED102" s="183"/>
      <c r="EE102" s="183"/>
      <c r="EF102" s="183"/>
      <c r="EG102" s="183"/>
      <c r="EH102" s="183"/>
      <c r="EI102" s="183"/>
      <c r="EJ102" s="183"/>
      <c r="EK102" s="183"/>
      <c r="EL102" s="183"/>
      <c r="EM102" s="183"/>
      <c r="EN102" s="183"/>
      <c r="EO102" s="183"/>
      <c r="EP102" s="183"/>
      <c r="EQ102" s="183"/>
      <c r="ER102" s="183"/>
      <c r="ES102" s="183"/>
      <c r="ET102" s="183"/>
      <c r="EU102" s="183"/>
      <c r="EV102" s="183"/>
      <c r="EW102" s="183"/>
      <c r="EX102" s="183"/>
      <c r="EY102" s="183"/>
      <c r="EZ102" s="183"/>
      <c r="FA102" s="183"/>
      <c r="FB102" s="183"/>
      <c r="FC102" s="183"/>
      <c r="FD102" s="183"/>
      <c r="FE102" s="183"/>
      <c r="FF102" s="183"/>
      <c r="FG102" s="183"/>
      <c r="FH102" s="183"/>
      <c r="FI102" s="183"/>
      <c r="FJ102" s="183"/>
      <c r="FK102" s="183"/>
      <c r="FL102" s="183"/>
      <c r="FM102" s="183"/>
      <c r="FN102" s="183"/>
      <c r="FO102" s="183"/>
      <c r="FP102" s="183"/>
      <c r="FQ102" s="183"/>
      <c r="FR102" s="183"/>
      <c r="FS102" s="183"/>
      <c r="FT102" s="183"/>
      <c r="FU102" s="183"/>
      <c r="FV102" s="183"/>
      <c r="FW102" s="183"/>
      <c r="FX102" s="183"/>
      <c r="FY102" s="183"/>
      <c r="FZ102" s="183"/>
      <c r="GA102" s="183"/>
      <c r="GB102" s="183"/>
      <c r="GC102" s="183"/>
      <c r="GD102" s="183"/>
      <c r="GE102" s="183"/>
      <c r="GF102" s="183"/>
      <c r="GG102" s="183"/>
      <c r="GH102" s="183"/>
      <c r="GI102" s="183"/>
      <c r="GJ102" s="183"/>
      <c r="GK102" s="183"/>
      <c r="GL102" s="183"/>
      <c r="GM102" s="183"/>
      <c r="GN102" s="183"/>
      <c r="GO102" s="183"/>
      <c r="GP102" s="183"/>
      <c r="GQ102" s="183"/>
      <c r="GR102" s="183"/>
      <c r="GS102" s="183"/>
      <c r="GT102" s="183"/>
      <c r="GU102" s="183"/>
      <c r="GV102" s="183"/>
      <c r="GW102" s="183"/>
      <c r="GX102" s="183"/>
      <c r="GY102" s="183"/>
      <c r="GZ102" s="183"/>
      <c r="HA102" s="183"/>
      <c r="HB102" s="183"/>
      <c r="HC102" s="183"/>
      <c r="HD102" s="183"/>
      <c r="HE102" s="183"/>
      <c r="HF102" s="183"/>
      <c r="HG102" s="183"/>
      <c r="HH102" s="183"/>
      <c r="HI102" s="183"/>
      <c r="HJ102" s="183"/>
      <c r="HK102" s="183"/>
      <c r="HL102" s="183"/>
      <c r="HM102" s="183"/>
      <c r="HN102" s="183"/>
      <c r="HO102" s="183"/>
      <c r="HP102" s="183"/>
      <c r="HQ102" s="183"/>
      <c r="HR102" s="183"/>
      <c r="HS102" s="183"/>
      <c r="HT102" s="183"/>
      <c r="HU102" s="183"/>
      <c r="HV102" s="183"/>
      <c r="HW102" s="183"/>
      <c r="HX102" s="183"/>
      <c r="HY102" s="183"/>
      <c r="HZ102" s="183"/>
      <c r="IA102" s="183"/>
      <c r="IB102" s="183"/>
      <c r="IC102" s="183"/>
      <c r="ID102" s="183"/>
      <c r="IE102" s="183"/>
      <c r="IF102" s="183"/>
      <c r="IG102" s="183"/>
      <c r="IH102" s="183"/>
      <c r="II102" s="183"/>
      <c r="IJ102" s="183"/>
      <c r="IK102" s="183"/>
      <c r="IL102" s="183"/>
      <c r="IM102" s="183"/>
      <c r="IN102" s="183"/>
      <c r="IO102" s="183"/>
      <c r="IP102" s="183"/>
      <c r="IQ102" s="183"/>
      <c r="IR102" s="183"/>
      <c r="IS102" s="183"/>
      <c r="IT102" s="183"/>
      <c r="IU102" s="183"/>
      <c r="IV102" s="183"/>
    </row>
    <row r="103" ht="15" customHeight="1">
      <c r="A103" s="192" t="s">
        <v>501</v>
      </c>
      <c r="B103" s="266"/>
      <c r="C103" s="266"/>
      <c r="D103" s="183"/>
      <c r="E103" s="183"/>
      <c r="F103" s="183"/>
      <c r="G103" s="183"/>
      <c r="H103" s="183"/>
      <c r="I103" s="183"/>
      <c r="J103" s="267" t="s">
        <v>502</v>
      </c>
      <c r="K103" s="267"/>
      <c r="L103" s="267"/>
      <c r="M103" s="267"/>
      <c r="N103" s="267"/>
      <c r="O103" s="267"/>
      <c r="P103" s="267"/>
      <c r="Q103" s="267"/>
      <c r="R103" s="267"/>
      <c r="S103" s="267"/>
      <c r="T103" s="267"/>
      <c r="U103" s="267"/>
      <c r="V103" s="267"/>
      <c r="W103" s="183"/>
      <c r="X103" s="183"/>
      <c r="Y103" s="183"/>
      <c r="Z103" s="183"/>
      <c r="AA103" s="183"/>
      <c r="AB103" s="183"/>
      <c r="AC103" s="183"/>
      <c r="AD103" s="183"/>
      <c r="AE103" s="183"/>
      <c r="AF103" s="183"/>
      <c r="AG103" s="183"/>
      <c r="AH103" s="183"/>
      <c r="AI103" s="183"/>
      <c r="AJ103" s="183"/>
      <c r="AK103" s="183"/>
      <c r="AL103" s="183"/>
      <c r="AM103" s="183"/>
      <c r="AN103" s="183"/>
      <c r="AO103" s="183"/>
      <c r="AP103" s="183"/>
      <c r="AQ103" s="183"/>
      <c r="AR103" s="183"/>
      <c r="AS103" s="183"/>
      <c r="AT103" s="183"/>
      <c r="AU103" s="183"/>
      <c r="AV103" s="183"/>
      <c r="AW103" s="183"/>
      <c r="AX103" s="183"/>
      <c r="AY103" s="183"/>
      <c r="AZ103" s="183"/>
      <c r="BA103" s="183"/>
      <c r="BB103" s="183"/>
      <c r="BC103" s="183"/>
      <c r="BD103" s="183"/>
      <c r="BE103" s="183"/>
      <c r="BF103" s="183"/>
      <c r="BG103" s="183"/>
      <c r="BH103" s="183"/>
      <c r="BI103" s="183"/>
      <c r="BJ103" s="183"/>
      <c r="BK103" s="183"/>
      <c r="BL103" s="183"/>
      <c r="BM103" s="183"/>
      <c r="BN103" s="183"/>
      <c r="BO103" s="183"/>
      <c r="BP103" s="183"/>
      <c r="BQ103" s="183"/>
      <c r="BR103" s="183"/>
      <c r="BS103" s="183"/>
      <c r="BT103" s="183"/>
      <c r="BU103" s="183"/>
      <c r="BV103" s="183"/>
      <c r="BW103" s="183"/>
      <c r="BX103" s="183"/>
      <c r="BY103" s="183"/>
      <c r="BZ103" s="183"/>
      <c r="CA103" s="183"/>
      <c r="CB103" s="183"/>
      <c r="CC103" s="183"/>
      <c r="CD103" s="183"/>
      <c r="CE103" s="183"/>
      <c r="CF103" s="183"/>
      <c r="CG103" s="183"/>
      <c r="CH103" s="183"/>
      <c r="CI103" s="183"/>
      <c r="CJ103" s="183"/>
      <c r="CK103" s="183"/>
      <c r="CL103" s="183"/>
      <c r="CM103" s="183"/>
      <c r="CN103" s="183"/>
      <c r="CO103" s="183"/>
      <c r="CP103" s="183"/>
      <c r="CQ103" s="183"/>
      <c r="CR103" s="183"/>
      <c r="CS103" s="183"/>
      <c r="CT103" s="183"/>
      <c r="CU103" s="183"/>
      <c r="CV103" s="183"/>
      <c r="CW103" s="183"/>
      <c r="CX103" s="183"/>
      <c r="CY103" s="183"/>
      <c r="CZ103" s="183"/>
      <c r="DA103" s="183"/>
      <c r="DB103" s="183"/>
      <c r="DC103" s="183"/>
      <c r="DD103" s="183"/>
      <c r="DE103" s="183"/>
      <c r="DF103" s="183"/>
      <c r="DG103" s="183"/>
      <c r="DH103" s="183"/>
      <c r="DI103" s="183"/>
      <c r="DJ103" s="183"/>
      <c r="DK103" s="183"/>
      <c r="DL103" s="183"/>
      <c r="DM103" s="183"/>
      <c r="DN103" s="183"/>
      <c r="DO103" s="183"/>
      <c r="DP103" s="183"/>
      <c r="DQ103" s="183"/>
      <c r="DR103" s="183"/>
      <c r="DS103" s="183"/>
      <c r="DT103" s="183"/>
      <c r="DU103" s="183"/>
      <c r="DV103" s="183"/>
      <c r="DW103" s="183"/>
      <c r="DX103" s="183"/>
      <c r="DY103" s="183"/>
      <c r="DZ103" s="183"/>
      <c r="EA103" s="183"/>
      <c r="EB103" s="183"/>
      <c r="EC103" s="183"/>
      <c r="ED103" s="183"/>
      <c r="EE103" s="183"/>
      <c r="EF103" s="183"/>
      <c r="EG103" s="183"/>
      <c r="EH103" s="183"/>
      <c r="EI103" s="183"/>
      <c r="EJ103" s="183"/>
      <c r="EK103" s="183"/>
      <c r="EL103" s="183"/>
      <c r="EM103" s="183"/>
      <c r="EN103" s="183"/>
      <c r="EO103" s="183"/>
      <c r="EP103" s="183"/>
      <c r="EQ103" s="183"/>
      <c r="ER103" s="183"/>
      <c r="ES103" s="183"/>
      <c r="ET103" s="183"/>
      <c r="EU103" s="183"/>
      <c r="EV103" s="183"/>
      <c r="EW103" s="183"/>
      <c r="EX103" s="183"/>
      <c r="EY103" s="183"/>
      <c r="EZ103" s="183"/>
      <c r="FA103" s="183"/>
      <c r="FB103" s="183"/>
      <c r="FC103" s="183"/>
      <c r="FD103" s="183"/>
      <c r="FE103" s="183"/>
      <c r="FF103" s="183"/>
      <c r="FG103" s="183"/>
      <c r="FH103" s="183"/>
      <c r="FI103" s="183"/>
      <c r="FJ103" s="183"/>
      <c r="FK103" s="183"/>
      <c r="FL103" s="183"/>
      <c r="FM103" s="183"/>
      <c r="FN103" s="183"/>
      <c r="FO103" s="183"/>
      <c r="FP103" s="183"/>
      <c r="FQ103" s="183"/>
      <c r="FR103" s="183"/>
      <c r="FS103" s="183"/>
      <c r="FT103" s="183"/>
      <c r="FU103" s="183"/>
      <c r="FV103" s="183"/>
      <c r="FW103" s="183"/>
      <c r="FX103" s="183"/>
      <c r="FY103" s="183"/>
      <c r="FZ103" s="183"/>
      <c r="GA103" s="183"/>
      <c r="GB103" s="183"/>
      <c r="GC103" s="183"/>
      <c r="GD103" s="183"/>
      <c r="GE103" s="183"/>
      <c r="GF103" s="183"/>
      <c r="GG103" s="183"/>
      <c r="GH103" s="183"/>
      <c r="GI103" s="183"/>
      <c r="GJ103" s="183"/>
      <c r="GK103" s="183"/>
      <c r="GL103" s="183"/>
      <c r="GM103" s="183"/>
      <c r="GN103" s="183"/>
      <c r="GO103" s="183"/>
      <c r="GP103" s="183"/>
      <c r="GQ103" s="183"/>
      <c r="GR103" s="183"/>
      <c r="GS103" s="183"/>
      <c r="GT103" s="183"/>
      <c r="GU103" s="183"/>
      <c r="GV103" s="183"/>
      <c r="GW103" s="183"/>
      <c r="GX103" s="183"/>
      <c r="GY103" s="183"/>
      <c r="GZ103" s="183"/>
      <c r="HA103" s="183"/>
      <c r="HB103" s="183"/>
      <c r="HC103" s="183"/>
      <c r="HD103" s="183"/>
      <c r="HE103" s="183"/>
      <c r="HF103" s="183"/>
      <c r="HG103" s="183"/>
      <c r="HH103" s="183"/>
      <c r="HI103" s="183"/>
      <c r="HJ103" s="183"/>
      <c r="HK103" s="183"/>
      <c r="HL103" s="183"/>
      <c r="HM103" s="183"/>
      <c r="HN103" s="183"/>
      <c r="HO103" s="183"/>
      <c r="HP103" s="183"/>
      <c r="HQ103" s="183"/>
      <c r="HR103" s="183"/>
      <c r="HS103" s="183"/>
      <c r="HT103" s="183"/>
      <c r="HU103" s="183"/>
      <c r="HV103" s="183"/>
      <c r="HW103" s="183"/>
      <c r="HX103" s="183"/>
      <c r="HY103" s="183"/>
      <c r="HZ103" s="183"/>
      <c r="IA103" s="183"/>
      <c r="IB103" s="183"/>
      <c r="IC103" s="183"/>
      <c r="ID103" s="183"/>
      <c r="IE103" s="183"/>
      <c r="IF103" s="183"/>
      <c r="IG103" s="183"/>
      <c r="IH103" s="183"/>
      <c r="II103" s="183"/>
      <c r="IJ103" s="183"/>
      <c r="IK103" s="183"/>
      <c r="IL103" s="183"/>
      <c r="IM103" s="183"/>
      <c r="IN103" s="183"/>
      <c r="IO103" s="183"/>
      <c r="IP103" s="183"/>
      <c r="IQ103" s="183"/>
      <c r="IR103" s="183"/>
      <c r="IS103" s="183"/>
      <c r="IT103" s="183"/>
      <c r="IU103" s="183"/>
      <c r="IV103" s="183"/>
    </row>
    <row r="104" ht="27" customHeight="1">
      <c r="A104" s="168" t="s">
        <v>177</v>
      </c>
      <c r="B104" s="168" t="str">
        <f>B97</f>
        <v xml:space="preserve">2019 год</v>
      </c>
      <c r="C104" s="168" t="str">
        <f>C97</f>
        <v xml:space="preserve">2018 год</v>
      </c>
      <c r="D104" s="168" t="str">
        <f>D97</f>
        <v xml:space="preserve">2017 год</v>
      </c>
      <c r="E104" s="168" t="str">
        <f>E97</f>
        <v xml:space="preserve">2016 год</v>
      </c>
      <c r="F104" s="168" t="str">
        <f>F97</f>
        <v xml:space="preserve">2015 год</v>
      </c>
      <c r="G104" s="168" t="str">
        <f>G97</f>
        <v xml:space="preserve">2014 год</v>
      </c>
      <c r="H104" s="168" t="str">
        <f>H97</f>
        <v xml:space="preserve">2013 год</v>
      </c>
      <c r="I104" s="183"/>
      <c r="J104" s="267"/>
      <c r="K104" s="267"/>
      <c r="L104" s="267"/>
      <c r="M104" s="267"/>
      <c r="N104" s="267"/>
      <c r="O104" s="267"/>
      <c r="P104" s="267"/>
      <c r="Q104" s="267"/>
      <c r="R104" s="267"/>
      <c r="S104" s="267"/>
      <c r="T104" s="267"/>
      <c r="U104" s="267"/>
      <c r="V104" s="267"/>
      <c r="W104" s="183"/>
      <c r="X104" s="183"/>
      <c r="Y104" s="183"/>
      <c r="Z104" s="183"/>
      <c r="AA104" s="183"/>
      <c r="AB104" s="183"/>
      <c r="AC104" s="183"/>
      <c r="AD104" s="183"/>
      <c r="AE104" s="183"/>
      <c r="AF104" s="183"/>
      <c r="AG104" s="183"/>
      <c r="AH104" s="183"/>
      <c r="AI104" s="183"/>
      <c r="AJ104" s="183"/>
      <c r="AK104" s="183"/>
      <c r="AL104" s="183"/>
      <c r="AM104" s="183"/>
      <c r="AN104" s="183"/>
      <c r="AO104" s="183"/>
      <c r="AP104" s="183"/>
      <c r="AQ104" s="183"/>
      <c r="AR104" s="183"/>
      <c r="AS104" s="183"/>
      <c r="AT104" s="183"/>
      <c r="AU104" s="183"/>
      <c r="AV104" s="183"/>
      <c r="AW104" s="183"/>
      <c r="AX104" s="183"/>
      <c r="AY104" s="183"/>
      <c r="AZ104" s="183"/>
      <c r="BA104" s="183"/>
      <c r="BB104" s="183"/>
      <c r="BC104" s="183"/>
      <c r="BD104" s="183"/>
      <c r="BE104" s="183"/>
      <c r="BF104" s="183"/>
      <c r="BG104" s="183"/>
      <c r="BH104" s="183"/>
      <c r="BI104" s="183"/>
      <c r="BJ104" s="183"/>
      <c r="BK104" s="183"/>
      <c r="BL104" s="183"/>
      <c r="BM104" s="183"/>
      <c r="BN104" s="183"/>
      <c r="BO104" s="183"/>
      <c r="BP104" s="183"/>
      <c r="BQ104" s="183"/>
      <c r="BR104" s="183"/>
      <c r="BS104" s="183"/>
      <c r="BT104" s="183"/>
      <c r="BU104" s="183"/>
      <c r="BV104" s="183"/>
      <c r="BW104" s="183"/>
      <c r="BX104" s="183"/>
      <c r="BY104" s="183"/>
      <c r="BZ104" s="183"/>
      <c r="CA104" s="183"/>
      <c r="CB104" s="183"/>
      <c r="CC104" s="183"/>
      <c r="CD104" s="183"/>
      <c r="CE104" s="183"/>
      <c r="CF104" s="183"/>
      <c r="CG104" s="183"/>
      <c r="CH104" s="183"/>
      <c r="CI104" s="183"/>
      <c r="CJ104" s="183"/>
      <c r="CK104" s="183"/>
      <c r="CL104" s="183"/>
      <c r="CM104" s="183"/>
      <c r="CN104" s="183"/>
      <c r="CO104" s="183"/>
      <c r="CP104" s="183"/>
      <c r="CQ104" s="183"/>
      <c r="CR104" s="183"/>
      <c r="CS104" s="183"/>
      <c r="CT104" s="183"/>
      <c r="CU104" s="183"/>
      <c r="CV104" s="183"/>
      <c r="CW104" s="183"/>
      <c r="CX104" s="183"/>
      <c r="CY104" s="183"/>
      <c r="CZ104" s="183"/>
      <c r="DA104" s="183"/>
      <c r="DB104" s="183"/>
      <c r="DC104" s="183"/>
      <c r="DD104" s="183"/>
      <c r="DE104" s="183"/>
      <c r="DF104" s="183"/>
      <c r="DG104" s="183"/>
      <c r="DH104" s="183"/>
      <c r="DI104" s="183"/>
      <c r="DJ104" s="183"/>
      <c r="DK104" s="183"/>
      <c r="DL104" s="183"/>
      <c r="DM104" s="183"/>
      <c r="DN104" s="183"/>
      <c r="DO104" s="183"/>
      <c r="DP104" s="183"/>
      <c r="DQ104" s="183"/>
      <c r="DR104" s="183"/>
      <c r="DS104" s="183"/>
      <c r="DT104" s="183"/>
      <c r="DU104" s="183"/>
      <c r="DV104" s="183"/>
      <c r="DW104" s="183"/>
      <c r="DX104" s="183"/>
      <c r="DY104" s="183"/>
      <c r="DZ104" s="183"/>
      <c r="EA104" s="183"/>
      <c r="EB104" s="183"/>
      <c r="EC104" s="183"/>
      <c r="ED104" s="183"/>
      <c r="EE104" s="183"/>
      <c r="EF104" s="183"/>
      <c r="EG104" s="183"/>
      <c r="EH104" s="183"/>
      <c r="EI104" s="183"/>
      <c r="EJ104" s="183"/>
      <c r="EK104" s="183"/>
      <c r="EL104" s="183"/>
      <c r="EM104" s="183"/>
      <c r="EN104" s="183"/>
      <c r="EO104" s="183"/>
      <c r="EP104" s="183"/>
      <c r="EQ104" s="183"/>
      <c r="ER104" s="183"/>
      <c r="ES104" s="183"/>
      <c r="ET104" s="183"/>
      <c r="EU104" s="183"/>
      <c r="EV104" s="183"/>
      <c r="EW104" s="183"/>
      <c r="EX104" s="183"/>
      <c r="EY104" s="183"/>
      <c r="EZ104" s="183"/>
      <c r="FA104" s="183"/>
      <c r="FB104" s="183"/>
      <c r="FC104" s="183"/>
      <c r="FD104" s="183"/>
      <c r="FE104" s="183"/>
      <c r="FF104" s="183"/>
      <c r="FG104" s="183"/>
      <c r="FH104" s="183"/>
      <c r="FI104" s="183"/>
      <c r="FJ104" s="183"/>
      <c r="FK104" s="183"/>
      <c r="FL104" s="183"/>
      <c r="FM104" s="183"/>
      <c r="FN104" s="183"/>
      <c r="FO104" s="183"/>
      <c r="FP104" s="183"/>
      <c r="FQ104" s="183"/>
      <c r="FR104" s="183"/>
      <c r="FS104" s="183"/>
      <c r="FT104" s="183"/>
      <c r="FU104" s="183"/>
      <c r="FV104" s="183"/>
      <c r="FW104" s="183"/>
      <c r="FX104" s="183"/>
      <c r="FY104" s="183"/>
      <c r="FZ104" s="183"/>
      <c r="GA104" s="183"/>
      <c r="GB104" s="183"/>
      <c r="GC104" s="183"/>
      <c r="GD104" s="183"/>
      <c r="GE104" s="183"/>
      <c r="GF104" s="183"/>
      <c r="GG104" s="183"/>
      <c r="GH104" s="183"/>
      <c r="GI104" s="183"/>
      <c r="GJ104" s="183"/>
      <c r="GK104" s="183"/>
      <c r="GL104" s="183"/>
      <c r="GM104" s="183"/>
      <c r="GN104" s="183"/>
      <c r="GO104" s="183"/>
      <c r="GP104" s="183"/>
      <c r="GQ104" s="183"/>
      <c r="GR104" s="183"/>
      <c r="GS104" s="183"/>
      <c r="GT104" s="183"/>
      <c r="GU104" s="183"/>
      <c r="GV104" s="183"/>
      <c r="GW104" s="183"/>
      <c r="GX104" s="183"/>
      <c r="GY104" s="183"/>
      <c r="GZ104" s="183"/>
      <c r="HA104" s="183"/>
      <c r="HB104" s="183"/>
      <c r="HC104" s="183"/>
      <c r="HD104" s="183"/>
      <c r="HE104" s="183"/>
      <c r="HF104" s="183"/>
      <c r="HG104" s="183"/>
      <c r="HH104" s="183"/>
      <c r="HI104" s="183"/>
      <c r="HJ104" s="183"/>
      <c r="HK104" s="183"/>
      <c r="HL104" s="183"/>
      <c r="HM104" s="183"/>
      <c r="HN104" s="183"/>
      <c r="HO104" s="183"/>
      <c r="HP104" s="183"/>
      <c r="HQ104" s="183"/>
      <c r="HR104" s="183"/>
      <c r="HS104" s="183"/>
      <c r="HT104" s="183"/>
      <c r="HU104" s="183"/>
      <c r="HV104" s="183"/>
      <c r="HW104" s="183"/>
      <c r="HX104" s="183"/>
      <c r="HY104" s="183"/>
      <c r="HZ104" s="183"/>
      <c r="IA104" s="183"/>
      <c r="IB104" s="183"/>
      <c r="IC104" s="183"/>
      <c r="ID104" s="183"/>
      <c r="IE104" s="183"/>
      <c r="IF104" s="183"/>
      <c r="IG104" s="183"/>
      <c r="IH104" s="183"/>
      <c r="II104" s="183"/>
      <c r="IJ104" s="183"/>
      <c r="IK104" s="183"/>
      <c r="IL104" s="183"/>
      <c r="IM104" s="183"/>
      <c r="IN104" s="183"/>
      <c r="IO104" s="183"/>
      <c r="IP104" s="183"/>
      <c r="IQ104" s="183"/>
      <c r="IR104" s="183"/>
      <c r="IS104" s="183"/>
      <c r="IT104" s="183"/>
      <c r="IU104" s="183"/>
      <c r="IV104" s="183"/>
    </row>
    <row r="105" ht="31.5" customHeight="1">
      <c r="A105" s="184" t="s">
        <v>503</v>
      </c>
      <c r="B105" s="268">
        <f>'2'!C7/бс!C15</f>
        <v>1.2689145528263399</v>
      </c>
      <c r="C105" s="268">
        <f>'2'!D7/бс!D15</f>
        <v>1.6122621203599801</v>
      </c>
      <c r="D105" s="268">
        <f>'2'!E7/бс!E15</f>
        <v>1.6969446313191301</v>
      </c>
      <c r="E105" s="268">
        <f>'2'!F7/бс!F15</f>
        <v>2.3721464395466398</v>
      </c>
      <c r="F105" s="268">
        <f>'2'!G7/бс!G15</f>
        <v>2.4521842103580598</v>
      </c>
      <c r="G105" s="268">
        <f>'2'!H7/бс!H15</f>
        <v>1.18057610262954</v>
      </c>
      <c r="H105" s="268">
        <f>'2'!I7/бс!I15</f>
        <v>0.99422873699352499</v>
      </c>
      <c r="I105" s="262" t="s">
        <v>504</v>
      </c>
      <c r="J105" s="267"/>
      <c r="K105" s="267"/>
      <c r="L105" s="267"/>
      <c r="M105" s="267"/>
      <c r="N105" s="267"/>
      <c r="O105" s="267"/>
      <c r="P105" s="267"/>
      <c r="Q105" s="267"/>
      <c r="R105" s="267"/>
      <c r="S105" s="267"/>
      <c r="T105" s="267"/>
      <c r="U105" s="267"/>
      <c r="V105" s="267"/>
      <c r="W105" s="183"/>
      <c r="X105" s="183"/>
      <c r="Y105" s="183"/>
      <c r="Z105" s="183"/>
      <c r="AA105" s="183"/>
      <c r="AB105" s="183"/>
      <c r="AC105" s="183"/>
      <c r="AD105" s="183"/>
      <c r="AE105" s="183"/>
      <c r="AF105" s="183"/>
      <c r="AG105" s="183"/>
      <c r="AH105" s="183"/>
      <c r="AI105" s="183"/>
      <c r="AJ105" s="183"/>
      <c r="AK105" s="183"/>
      <c r="AL105" s="183"/>
      <c r="AM105" s="183"/>
      <c r="AN105" s="183"/>
      <c r="AO105" s="183"/>
      <c r="AP105" s="183"/>
      <c r="AQ105" s="183"/>
      <c r="AR105" s="183"/>
      <c r="AS105" s="183"/>
      <c r="AT105" s="183"/>
      <c r="AU105" s="183"/>
      <c r="AV105" s="183"/>
      <c r="AW105" s="183"/>
      <c r="AX105" s="183"/>
      <c r="AY105" s="183"/>
      <c r="AZ105" s="183"/>
      <c r="BA105" s="183"/>
      <c r="BB105" s="183"/>
      <c r="BC105" s="183"/>
      <c r="BD105" s="183"/>
      <c r="BE105" s="183"/>
      <c r="BF105" s="183"/>
      <c r="BG105" s="183"/>
      <c r="BH105" s="183"/>
      <c r="BI105" s="183"/>
      <c r="BJ105" s="183"/>
      <c r="BK105" s="183"/>
      <c r="BL105" s="183"/>
      <c r="BM105" s="183"/>
      <c r="BN105" s="183"/>
      <c r="BO105" s="183"/>
      <c r="BP105" s="183"/>
      <c r="BQ105" s="183"/>
      <c r="BR105" s="183"/>
      <c r="BS105" s="183"/>
      <c r="BT105" s="183"/>
      <c r="BU105" s="183"/>
      <c r="BV105" s="183"/>
      <c r="BW105" s="183"/>
      <c r="BX105" s="183"/>
      <c r="BY105" s="183"/>
      <c r="BZ105" s="183"/>
      <c r="CA105" s="183"/>
      <c r="CB105" s="183"/>
      <c r="CC105" s="183"/>
      <c r="CD105" s="183"/>
      <c r="CE105" s="183"/>
      <c r="CF105" s="183"/>
      <c r="CG105" s="183"/>
      <c r="CH105" s="183"/>
      <c r="CI105" s="183"/>
      <c r="CJ105" s="183"/>
      <c r="CK105" s="183"/>
      <c r="CL105" s="183"/>
      <c r="CM105" s="183"/>
      <c r="CN105" s="183"/>
      <c r="CO105" s="183"/>
      <c r="CP105" s="183"/>
      <c r="CQ105" s="183"/>
      <c r="CR105" s="183"/>
      <c r="CS105" s="183"/>
      <c r="CT105" s="183"/>
      <c r="CU105" s="183"/>
      <c r="CV105" s="183"/>
      <c r="CW105" s="183"/>
      <c r="CX105" s="183"/>
      <c r="CY105" s="183"/>
      <c r="CZ105" s="183"/>
      <c r="DA105" s="183"/>
      <c r="DB105" s="183"/>
      <c r="DC105" s="183"/>
      <c r="DD105" s="183"/>
      <c r="DE105" s="183"/>
      <c r="DF105" s="183"/>
      <c r="DG105" s="183"/>
      <c r="DH105" s="183"/>
      <c r="DI105" s="183"/>
      <c r="DJ105" s="183"/>
      <c r="DK105" s="183"/>
      <c r="DL105" s="183"/>
      <c r="DM105" s="183"/>
      <c r="DN105" s="183"/>
      <c r="DO105" s="183"/>
      <c r="DP105" s="183"/>
      <c r="DQ105" s="183"/>
      <c r="DR105" s="183"/>
      <c r="DS105" s="183"/>
      <c r="DT105" s="183"/>
      <c r="DU105" s="183"/>
      <c r="DV105" s="183"/>
      <c r="DW105" s="183"/>
      <c r="DX105" s="183"/>
      <c r="DY105" s="183"/>
      <c r="DZ105" s="183"/>
      <c r="EA105" s="183"/>
      <c r="EB105" s="183"/>
      <c r="EC105" s="183"/>
      <c r="ED105" s="183"/>
      <c r="EE105" s="183"/>
      <c r="EF105" s="183"/>
      <c r="EG105" s="183"/>
      <c r="EH105" s="183"/>
      <c r="EI105" s="183"/>
      <c r="EJ105" s="183"/>
      <c r="EK105" s="183"/>
      <c r="EL105" s="183"/>
      <c r="EM105" s="183"/>
      <c r="EN105" s="183"/>
      <c r="EO105" s="183"/>
      <c r="EP105" s="183"/>
      <c r="EQ105" s="183"/>
      <c r="ER105" s="183"/>
      <c r="ES105" s="183"/>
      <c r="ET105" s="183"/>
      <c r="EU105" s="183"/>
      <c r="EV105" s="183"/>
      <c r="EW105" s="183"/>
      <c r="EX105" s="183"/>
      <c r="EY105" s="183"/>
      <c r="EZ105" s="183"/>
      <c r="FA105" s="183"/>
      <c r="FB105" s="183"/>
      <c r="FC105" s="183"/>
      <c r="FD105" s="183"/>
      <c r="FE105" s="183"/>
      <c r="FF105" s="183"/>
      <c r="FG105" s="183"/>
      <c r="FH105" s="183"/>
      <c r="FI105" s="183"/>
      <c r="FJ105" s="183"/>
      <c r="FK105" s="183"/>
      <c r="FL105" s="183"/>
      <c r="FM105" s="183"/>
      <c r="FN105" s="183"/>
      <c r="FO105" s="183"/>
      <c r="FP105" s="183"/>
      <c r="FQ105" s="183"/>
      <c r="FR105" s="183"/>
      <c r="FS105" s="183"/>
      <c r="FT105" s="183"/>
      <c r="FU105" s="183"/>
      <c r="FV105" s="183"/>
      <c r="FW105" s="183"/>
      <c r="FX105" s="183"/>
      <c r="FY105" s="183"/>
      <c r="FZ105" s="183"/>
      <c r="GA105" s="183"/>
      <c r="GB105" s="183"/>
      <c r="GC105" s="183"/>
      <c r="GD105" s="183"/>
      <c r="GE105" s="183"/>
      <c r="GF105" s="183"/>
      <c r="GG105" s="183"/>
      <c r="GH105" s="183"/>
      <c r="GI105" s="183"/>
      <c r="GJ105" s="183"/>
      <c r="GK105" s="183"/>
      <c r="GL105" s="183"/>
      <c r="GM105" s="183"/>
      <c r="GN105" s="183"/>
      <c r="GO105" s="183"/>
      <c r="GP105" s="183"/>
      <c r="GQ105" s="183"/>
      <c r="GR105" s="183"/>
      <c r="GS105" s="183"/>
      <c r="GT105" s="183"/>
      <c r="GU105" s="183"/>
      <c r="GV105" s="183"/>
      <c r="GW105" s="183"/>
      <c r="GX105" s="183"/>
      <c r="GY105" s="183"/>
      <c r="GZ105" s="183"/>
      <c r="HA105" s="183"/>
      <c r="HB105" s="183"/>
      <c r="HC105" s="183"/>
      <c r="HD105" s="183"/>
      <c r="HE105" s="183"/>
      <c r="HF105" s="183"/>
      <c r="HG105" s="183"/>
      <c r="HH105" s="183"/>
      <c r="HI105" s="183"/>
      <c r="HJ105" s="183"/>
      <c r="HK105" s="183"/>
      <c r="HL105" s="183"/>
      <c r="HM105" s="183"/>
      <c r="HN105" s="183"/>
      <c r="HO105" s="183"/>
      <c r="HP105" s="183"/>
      <c r="HQ105" s="183"/>
      <c r="HR105" s="183"/>
      <c r="HS105" s="183"/>
      <c r="HT105" s="183"/>
      <c r="HU105" s="183"/>
      <c r="HV105" s="183"/>
      <c r="HW105" s="183"/>
      <c r="HX105" s="183"/>
      <c r="HY105" s="183"/>
      <c r="HZ105" s="183"/>
      <c r="IA105" s="183"/>
      <c r="IB105" s="183"/>
      <c r="IC105" s="183"/>
      <c r="ID105" s="183"/>
      <c r="IE105" s="183"/>
      <c r="IF105" s="183"/>
      <c r="IG105" s="183"/>
      <c r="IH105" s="183"/>
      <c r="II105" s="183"/>
      <c r="IJ105" s="183"/>
      <c r="IK105" s="183"/>
      <c r="IL105" s="183"/>
      <c r="IM105" s="183"/>
      <c r="IN105" s="183"/>
      <c r="IO105" s="183"/>
      <c r="IP105" s="183"/>
      <c r="IQ105" s="183"/>
      <c r="IR105" s="183"/>
      <c r="IS105" s="183"/>
      <c r="IT105" s="183"/>
      <c r="IU105" s="183"/>
      <c r="IV105" s="183"/>
    </row>
    <row r="106" ht="15">
      <c r="A106" s="184" t="s">
        <v>505</v>
      </c>
      <c r="B106" s="268">
        <f>'2'!C25/бс!C37</f>
        <v>0.085605067787664899</v>
      </c>
      <c r="C106" s="268">
        <f>'2'!D25/бс!D37</f>
        <v>0.102314185897941</v>
      </c>
      <c r="D106" s="268">
        <f>'2'!E25/бс!E37</f>
        <v>0.18250807832524099</v>
      </c>
      <c r="E106" s="268">
        <f>'2'!F25/бс!F37</f>
        <v>0.195860059722236</v>
      </c>
      <c r="F106" s="268">
        <f>'2'!G25/бс!G37</f>
        <v>0.297295306784362</v>
      </c>
      <c r="G106" s="268">
        <f>'2'!H25/бс!H37</f>
        <v>0.0158522528589745</v>
      </c>
      <c r="H106" s="268">
        <f>'2'!I25/бс!I37</f>
        <v>0.16796219628946199</v>
      </c>
      <c r="I106" s="262"/>
      <c r="J106" s="267"/>
      <c r="K106" s="267"/>
      <c r="L106" s="267"/>
      <c r="M106" s="267"/>
      <c r="N106" s="267"/>
      <c r="O106" s="267"/>
      <c r="P106" s="267"/>
      <c r="Q106" s="267"/>
      <c r="R106" s="267"/>
      <c r="S106" s="267"/>
      <c r="T106" s="267"/>
      <c r="U106" s="267"/>
      <c r="V106" s="267"/>
      <c r="W106" s="183"/>
      <c r="X106" s="183"/>
      <c r="Y106" s="183"/>
      <c r="Z106" s="183"/>
      <c r="AA106" s="183"/>
      <c r="AB106" s="183"/>
      <c r="AC106" s="183"/>
      <c r="AD106" s="183"/>
      <c r="AE106" s="183"/>
      <c r="AF106" s="183"/>
      <c r="AG106" s="183"/>
      <c r="AH106" s="183"/>
      <c r="AI106" s="183"/>
      <c r="AJ106" s="183"/>
      <c r="AK106" s="183"/>
      <c r="AL106" s="183"/>
      <c r="AM106" s="183"/>
      <c r="AN106" s="183"/>
      <c r="AO106" s="183"/>
      <c r="AP106" s="183"/>
      <c r="AQ106" s="183"/>
      <c r="AR106" s="183"/>
      <c r="AS106" s="183"/>
      <c r="AT106" s="183"/>
      <c r="AU106" s="183"/>
      <c r="AV106" s="183"/>
      <c r="AW106" s="183"/>
      <c r="AX106" s="183"/>
      <c r="AY106" s="183"/>
      <c r="AZ106" s="183"/>
      <c r="BA106" s="183"/>
      <c r="BB106" s="183"/>
      <c r="BC106" s="183"/>
      <c r="BD106" s="183"/>
      <c r="BE106" s="183"/>
      <c r="BF106" s="183"/>
      <c r="BG106" s="183"/>
      <c r="BH106" s="183"/>
      <c r="BI106" s="183"/>
      <c r="BJ106" s="183"/>
      <c r="BK106" s="183"/>
      <c r="BL106" s="183"/>
      <c r="BM106" s="183"/>
      <c r="BN106" s="183"/>
      <c r="BO106" s="183"/>
      <c r="BP106" s="183"/>
      <c r="BQ106" s="183"/>
      <c r="BR106" s="183"/>
      <c r="BS106" s="183"/>
      <c r="BT106" s="183"/>
      <c r="BU106" s="183"/>
      <c r="BV106" s="183"/>
      <c r="BW106" s="183"/>
      <c r="BX106" s="183"/>
      <c r="BY106" s="183"/>
      <c r="BZ106" s="183"/>
      <c r="CA106" s="183"/>
      <c r="CB106" s="183"/>
      <c r="CC106" s="183"/>
      <c r="CD106" s="183"/>
      <c r="CE106" s="183"/>
      <c r="CF106" s="183"/>
      <c r="CG106" s="183"/>
      <c r="CH106" s="183"/>
      <c r="CI106" s="183"/>
      <c r="CJ106" s="183"/>
      <c r="CK106" s="183"/>
      <c r="CL106" s="183"/>
      <c r="CM106" s="183"/>
      <c r="CN106" s="183"/>
      <c r="CO106" s="183"/>
      <c r="CP106" s="183"/>
      <c r="CQ106" s="183"/>
      <c r="CR106" s="183"/>
      <c r="CS106" s="183"/>
      <c r="CT106" s="183"/>
      <c r="CU106" s="183"/>
      <c r="CV106" s="183"/>
      <c r="CW106" s="183"/>
      <c r="CX106" s="183"/>
      <c r="CY106" s="183"/>
      <c r="CZ106" s="183"/>
      <c r="DA106" s="183"/>
      <c r="DB106" s="183"/>
      <c r="DC106" s="183"/>
      <c r="DD106" s="183"/>
      <c r="DE106" s="183"/>
      <c r="DF106" s="183"/>
      <c r="DG106" s="183"/>
      <c r="DH106" s="183"/>
      <c r="DI106" s="183"/>
      <c r="DJ106" s="183"/>
      <c r="DK106" s="183"/>
      <c r="DL106" s="183"/>
      <c r="DM106" s="183"/>
      <c r="DN106" s="183"/>
      <c r="DO106" s="183"/>
      <c r="DP106" s="183"/>
      <c r="DQ106" s="183"/>
      <c r="DR106" s="183"/>
      <c r="DS106" s="183"/>
      <c r="DT106" s="183"/>
      <c r="DU106" s="183"/>
      <c r="DV106" s="183"/>
      <c r="DW106" s="183"/>
      <c r="DX106" s="183"/>
      <c r="DY106" s="183"/>
      <c r="DZ106" s="183"/>
      <c r="EA106" s="183"/>
      <c r="EB106" s="183"/>
      <c r="EC106" s="183"/>
      <c r="ED106" s="183"/>
      <c r="EE106" s="183"/>
      <c r="EF106" s="183"/>
      <c r="EG106" s="183"/>
      <c r="EH106" s="183"/>
      <c r="EI106" s="183"/>
      <c r="EJ106" s="183"/>
      <c r="EK106" s="183"/>
      <c r="EL106" s="183"/>
      <c r="EM106" s="183"/>
      <c r="EN106" s="183"/>
      <c r="EO106" s="183"/>
      <c r="EP106" s="183"/>
      <c r="EQ106" s="183"/>
      <c r="ER106" s="183"/>
      <c r="ES106" s="183"/>
      <c r="ET106" s="183"/>
      <c r="EU106" s="183"/>
      <c r="EV106" s="183"/>
      <c r="EW106" s="183"/>
      <c r="EX106" s="183"/>
      <c r="EY106" s="183"/>
      <c r="EZ106" s="183"/>
      <c r="FA106" s="183"/>
      <c r="FB106" s="183"/>
      <c r="FC106" s="183"/>
      <c r="FD106" s="183"/>
      <c r="FE106" s="183"/>
      <c r="FF106" s="183"/>
      <c r="FG106" s="183"/>
      <c r="FH106" s="183"/>
      <c r="FI106" s="183"/>
      <c r="FJ106" s="183"/>
      <c r="FK106" s="183"/>
      <c r="FL106" s="183"/>
      <c r="FM106" s="183"/>
      <c r="FN106" s="183"/>
      <c r="FO106" s="183"/>
      <c r="FP106" s="183"/>
      <c r="FQ106" s="183"/>
      <c r="FR106" s="183"/>
      <c r="FS106" s="183"/>
      <c r="FT106" s="183"/>
      <c r="FU106" s="183"/>
      <c r="FV106" s="183"/>
      <c r="FW106" s="183"/>
      <c r="FX106" s="183"/>
      <c r="FY106" s="183"/>
      <c r="FZ106" s="183"/>
      <c r="GA106" s="183"/>
      <c r="GB106" s="183"/>
      <c r="GC106" s="183"/>
      <c r="GD106" s="183"/>
      <c r="GE106" s="183"/>
      <c r="GF106" s="183"/>
      <c r="GG106" s="183"/>
      <c r="GH106" s="183"/>
      <c r="GI106" s="183"/>
      <c r="GJ106" s="183"/>
      <c r="GK106" s="183"/>
      <c r="GL106" s="183"/>
      <c r="GM106" s="183"/>
      <c r="GN106" s="183"/>
      <c r="GO106" s="183"/>
      <c r="GP106" s="183"/>
      <c r="GQ106" s="183"/>
      <c r="GR106" s="183"/>
      <c r="GS106" s="183"/>
      <c r="GT106" s="183"/>
      <c r="GU106" s="183"/>
      <c r="GV106" s="183"/>
      <c r="GW106" s="183"/>
      <c r="GX106" s="183"/>
      <c r="GY106" s="183"/>
      <c r="GZ106" s="183"/>
      <c r="HA106" s="183"/>
      <c r="HB106" s="183"/>
      <c r="HC106" s="183"/>
      <c r="HD106" s="183"/>
      <c r="HE106" s="183"/>
      <c r="HF106" s="183"/>
      <c r="HG106" s="183"/>
      <c r="HH106" s="183"/>
      <c r="HI106" s="183"/>
      <c r="HJ106" s="183"/>
      <c r="HK106" s="183"/>
      <c r="HL106" s="183"/>
      <c r="HM106" s="183"/>
      <c r="HN106" s="183"/>
      <c r="HO106" s="183"/>
      <c r="HP106" s="183"/>
      <c r="HQ106" s="183"/>
      <c r="HR106" s="183"/>
      <c r="HS106" s="183"/>
      <c r="HT106" s="183"/>
      <c r="HU106" s="183"/>
      <c r="HV106" s="183"/>
      <c r="HW106" s="183"/>
      <c r="HX106" s="183"/>
      <c r="HY106" s="183"/>
      <c r="HZ106" s="183"/>
      <c r="IA106" s="183"/>
      <c r="IB106" s="183"/>
      <c r="IC106" s="183"/>
      <c r="ID106" s="183"/>
      <c r="IE106" s="183"/>
      <c r="IF106" s="183"/>
      <c r="IG106" s="183"/>
      <c r="IH106" s="183"/>
      <c r="II106" s="183"/>
      <c r="IJ106" s="183"/>
      <c r="IK106" s="183"/>
      <c r="IL106" s="183"/>
      <c r="IM106" s="183"/>
      <c r="IN106" s="183"/>
      <c r="IO106" s="183"/>
      <c r="IP106" s="183"/>
      <c r="IQ106" s="183"/>
      <c r="IR106" s="183"/>
      <c r="IS106" s="183"/>
      <c r="IT106" s="183"/>
      <c r="IU106" s="183"/>
      <c r="IV106" s="183"/>
    </row>
    <row r="107" ht="15">
      <c r="A107" s="269" t="s">
        <v>506</v>
      </c>
      <c r="B107" s="270">
        <f>(бс!C25/'2'!C7)*365</f>
        <v>527.96937771895603</v>
      </c>
      <c r="C107" s="270">
        <f>(бс!D25/'2'!D7)*365</f>
        <v>443.55629271548401</v>
      </c>
      <c r="D107" s="270">
        <f>(бс!E25/'2'!E7)*365</f>
        <v>618.15409863230104</v>
      </c>
      <c r="E107" s="270">
        <f>(бс!F25/'2'!F7)*365</f>
        <v>699.40340587415699</v>
      </c>
      <c r="F107" s="270">
        <f>(бс!G25/'2'!G7)*365</f>
        <v>513.18079808170501</v>
      </c>
      <c r="G107" s="270">
        <f>(бс!H25/'2'!H7)*365</f>
        <v>593.76136485366305</v>
      </c>
      <c r="H107" s="270">
        <f>(бс!I25/'2'!I7)*365</f>
        <v>296.64227058874201</v>
      </c>
      <c r="I107" s="262"/>
      <c r="J107" s="267"/>
      <c r="K107" s="267"/>
      <c r="L107" s="267"/>
      <c r="M107" s="267"/>
      <c r="N107" s="267"/>
      <c r="O107" s="267"/>
      <c r="P107" s="267"/>
      <c r="Q107" s="267"/>
      <c r="R107" s="267"/>
      <c r="S107" s="267"/>
      <c r="T107" s="267"/>
      <c r="U107" s="267"/>
      <c r="V107" s="267"/>
      <c r="W107" s="183"/>
      <c r="X107" s="183"/>
      <c r="Y107" s="183"/>
      <c r="Z107" s="183"/>
      <c r="AA107" s="183"/>
      <c r="AB107" s="183"/>
      <c r="AC107" s="183"/>
      <c r="AD107" s="183"/>
      <c r="AE107" s="183"/>
      <c r="AF107" s="183"/>
      <c r="AG107" s="183"/>
      <c r="AH107" s="183"/>
      <c r="AI107" s="183"/>
      <c r="AJ107" s="183"/>
      <c r="AK107" s="183"/>
      <c r="AL107" s="183"/>
      <c r="AM107" s="183"/>
      <c r="AN107" s="183"/>
      <c r="AO107" s="183"/>
      <c r="AP107" s="183"/>
      <c r="AQ107" s="183"/>
      <c r="AR107" s="183"/>
      <c r="AS107" s="183"/>
      <c r="AT107" s="183"/>
      <c r="AU107" s="183"/>
      <c r="AV107" s="183"/>
      <c r="AW107" s="183"/>
      <c r="AX107" s="183"/>
      <c r="AY107" s="183"/>
      <c r="AZ107" s="183"/>
      <c r="BA107" s="183"/>
      <c r="BB107" s="183"/>
      <c r="BC107" s="183"/>
      <c r="BD107" s="183"/>
      <c r="BE107" s="183"/>
      <c r="BF107" s="183"/>
      <c r="BG107" s="183"/>
      <c r="BH107" s="183"/>
      <c r="BI107" s="183"/>
      <c r="BJ107" s="183"/>
      <c r="BK107" s="183"/>
      <c r="BL107" s="183"/>
      <c r="BM107" s="183"/>
      <c r="BN107" s="183"/>
      <c r="BO107" s="183"/>
      <c r="BP107" s="183"/>
      <c r="BQ107" s="183"/>
      <c r="BR107" s="183"/>
      <c r="BS107" s="183"/>
      <c r="BT107" s="183"/>
      <c r="BU107" s="183"/>
      <c r="BV107" s="183"/>
      <c r="BW107" s="183"/>
      <c r="BX107" s="183"/>
      <c r="BY107" s="183"/>
      <c r="BZ107" s="183"/>
      <c r="CA107" s="183"/>
      <c r="CB107" s="183"/>
      <c r="CC107" s="183"/>
      <c r="CD107" s="183"/>
      <c r="CE107" s="183"/>
      <c r="CF107" s="183"/>
      <c r="CG107" s="183"/>
      <c r="CH107" s="183"/>
      <c r="CI107" s="183"/>
      <c r="CJ107" s="183"/>
      <c r="CK107" s="183"/>
      <c r="CL107" s="183"/>
      <c r="CM107" s="183"/>
      <c r="CN107" s="183"/>
      <c r="CO107" s="183"/>
      <c r="CP107" s="183"/>
      <c r="CQ107" s="183"/>
      <c r="CR107" s="183"/>
      <c r="CS107" s="183"/>
      <c r="CT107" s="183"/>
      <c r="CU107" s="183"/>
      <c r="CV107" s="183"/>
      <c r="CW107" s="183"/>
      <c r="CX107" s="183"/>
      <c r="CY107" s="183"/>
      <c r="CZ107" s="183"/>
      <c r="DA107" s="183"/>
      <c r="DB107" s="183"/>
      <c r="DC107" s="183"/>
      <c r="DD107" s="183"/>
      <c r="DE107" s="183"/>
      <c r="DF107" s="183"/>
      <c r="DG107" s="183"/>
      <c r="DH107" s="183"/>
      <c r="DI107" s="183"/>
      <c r="DJ107" s="183"/>
      <c r="DK107" s="183"/>
      <c r="DL107" s="183"/>
      <c r="DM107" s="183"/>
      <c r="DN107" s="183"/>
      <c r="DO107" s="183"/>
      <c r="DP107" s="183"/>
      <c r="DQ107" s="183"/>
      <c r="DR107" s="183"/>
      <c r="DS107" s="183"/>
      <c r="DT107" s="183"/>
      <c r="DU107" s="183"/>
      <c r="DV107" s="183"/>
      <c r="DW107" s="183"/>
      <c r="DX107" s="183"/>
      <c r="DY107" s="183"/>
      <c r="DZ107" s="183"/>
      <c r="EA107" s="183"/>
      <c r="EB107" s="183"/>
      <c r="EC107" s="183"/>
      <c r="ED107" s="183"/>
      <c r="EE107" s="183"/>
      <c r="EF107" s="183"/>
      <c r="EG107" s="183"/>
      <c r="EH107" s="183"/>
      <c r="EI107" s="183"/>
      <c r="EJ107" s="183"/>
      <c r="EK107" s="183"/>
      <c r="EL107" s="183"/>
      <c r="EM107" s="183"/>
      <c r="EN107" s="183"/>
      <c r="EO107" s="183"/>
      <c r="EP107" s="183"/>
      <c r="EQ107" s="183"/>
      <c r="ER107" s="183"/>
      <c r="ES107" s="183"/>
      <c r="ET107" s="183"/>
      <c r="EU107" s="183"/>
      <c r="EV107" s="183"/>
      <c r="EW107" s="183"/>
      <c r="EX107" s="183"/>
      <c r="EY107" s="183"/>
      <c r="EZ107" s="183"/>
      <c r="FA107" s="183"/>
      <c r="FB107" s="183"/>
      <c r="FC107" s="183"/>
      <c r="FD107" s="183"/>
      <c r="FE107" s="183"/>
      <c r="FF107" s="183"/>
      <c r="FG107" s="183"/>
      <c r="FH107" s="183"/>
      <c r="FI107" s="183"/>
      <c r="FJ107" s="183"/>
      <c r="FK107" s="183"/>
      <c r="FL107" s="183"/>
      <c r="FM107" s="183"/>
      <c r="FN107" s="183"/>
      <c r="FO107" s="183"/>
      <c r="FP107" s="183"/>
      <c r="FQ107" s="183"/>
      <c r="FR107" s="183"/>
      <c r="FS107" s="183"/>
      <c r="FT107" s="183"/>
      <c r="FU107" s="183"/>
      <c r="FV107" s="183"/>
      <c r="FW107" s="183"/>
      <c r="FX107" s="183"/>
      <c r="FY107" s="183"/>
      <c r="FZ107" s="183"/>
      <c r="GA107" s="183"/>
      <c r="GB107" s="183"/>
      <c r="GC107" s="183"/>
      <c r="GD107" s="183"/>
      <c r="GE107" s="183"/>
      <c r="GF107" s="183"/>
      <c r="GG107" s="183"/>
      <c r="GH107" s="183"/>
      <c r="GI107" s="183"/>
      <c r="GJ107" s="183"/>
      <c r="GK107" s="183"/>
      <c r="GL107" s="183"/>
      <c r="GM107" s="183"/>
      <c r="GN107" s="183"/>
      <c r="GO107" s="183"/>
      <c r="GP107" s="183"/>
      <c r="GQ107" s="183"/>
      <c r="GR107" s="183"/>
      <c r="GS107" s="183"/>
      <c r="GT107" s="183"/>
      <c r="GU107" s="183"/>
      <c r="GV107" s="183"/>
      <c r="GW107" s="183"/>
      <c r="GX107" s="183"/>
      <c r="GY107" s="183"/>
      <c r="GZ107" s="183"/>
      <c r="HA107" s="183"/>
      <c r="HB107" s="183"/>
      <c r="HC107" s="183"/>
      <c r="HD107" s="183"/>
      <c r="HE107" s="183"/>
      <c r="HF107" s="183"/>
      <c r="HG107" s="183"/>
      <c r="HH107" s="183"/>
      <c r="HI107" s="183"/>
      <c r="HJ107" s="183"/>
      <c r="HK107" s="183"/>
      <c r="HL107" s="183"/>
      <c r="HM107" s="183"/>
      <c r="HN107" s="183"/>
      <c r="HO107" s="183"/>
      <c r="HP107" s="183"/>
      <c r="HQ107" s="183"/>
      <c r="HR107" s="183"/>
      <c r="HS107" s="183"/>
      <c r="HT107" s="183"/>
      <c r="HU107" s="183"/>
      <c r="HV107" s="183"/>
      <c r="HW107" s="183"/>
      <c r="HX107" s="183"/>
      <c r="HY107" s="183"/>
      <c r="HZ107" s="183"/>
      <c r="IA107" s="183"/>
      <c r="IB107" s="183"/>
      <c r="IC107" s="183"/>
      <c r="ID107" s="183"/>
      <c r="IE107" s="183"/>
      <c r="IF107" s="183"/>
      <c r="IG107" s="183"/>
      <c r="IH107" s="183"/>
      <c r="II107" s="183"/>
      <c r="IJ107" s="183"/>
      <c r="IK107" s="183"/>
      <c r="IL107" s="183"/>
      <c r="IM107" s="183"/>
      <c r="IN107" s="183"/>
      <c r="IO107" s="183"/>
      <c r="IP107" s="183"/>
      <c r="IQ107" s="183"/>
      <c r="IR107" s="183"/>
      <c r="IS107" s="183"/>
      <c r="IT107" s="183"/>
      <c r="IU107" s="183"/>
      <c r="IV107" s="183"/>
    </row>
    <row r="108" ht="15">
      <c r="A108" s="269" t="s">
        <v>507</v>
      </c>
      <c r="B108" s="271">
        <f>((бс!C17+бс!C18)/'2'!C8)*365</f>
        <v>-79.740580578843904</v>
      </c>
      <c r="C108" s="271">
        <f>((бс!D17+бс!D18)/'2'!D8)*365</f>
        <v>-70.102268058518007</v>
      </c>
      <c r="D108" s="271">
        <f>((бс!E17+бс!E18)/'2'!E8)*365</f>
        <v>-78.728664027251497</v>
      </c>
      <c r="E108" s="271">
        <f>((бс!F17+бс!F18)/'2'!F8)*365</f>
        <v>-67.3448357472666</v>
      </c>
      <c r="F108" s="271">
        <f>((бс!G17+бс!G18)/'2'!G8)*365</f>
        <v>-69.461805942650003</v>
      </c>
      <c r="G108" s="271">
        <f>((бс!H17+бс!H18)/'2'!H8)*365</f>
        <v>-73.158581954069305</v>
      </c>
      <c r="H108" s="271">
        <f>((бс!I17+бс!I18)/'2'!I8)*365</f>
        <v>-67.896391702922799</v>
      </c>
      <c r="I108" s="262"/>
      <c r="J108" s="267"/>
      <c r="K108" s="267"/>
      <c r="L108" s="267"/>
      <c r="M108" s="267"/>
      <c r="N108" s="267"/>
      <c r="O108" s="267"/>
      <c r="P108" s="267"/>
      <c r="Q108" s="267"/>
      <c r="R108" s="267"/>
      <c r="S108" s="267"/>
      <c r="T108" s="267"/>
      <c r="U108" s="267"/>
      <c r="V108" s="267"/>
      <c r="W108" s="183"/>
      <c r="X108" s="183"/>
      <c r="Y108" s="183"/>
      <c r="Z108" s="183"/>
      <c r="AA108" s="183"/>
      <c r="AB108" s="183"/>
      <c r="AC108" s="183"/>
      <c r="AD108" s="183"/>
      <c r="AE108" s="183"/>
      <c r="AF108" s="183"/>
      <c r="AG108" s="183"/>
      <c r="AH108" s="183"/>
      <c r="AI108" s="183"/>
      <c r="AJ108" s="183"/>
      <c r="AK108" s="183"/>
      <c r="AL108" s="183"/>
      <c r="AM108" s="183"/>
      <c r="AN108" s="183"/>
      <c r="AO108" s="183"/>
      <c r="AP108" s="183"/>
      <c r="AQ108" s="183"/>
      <c r="AR108" s="183"/>
      <c r="AS108" s="183"/>
      <c r="AT108" s="183"/>
      <c r="AU108" s="183"/>
      <c r="AV108" s="183"/>
      <c r="AW108" s="183"/>
      <c r="AX108" s="183"/>
      <c r="AY108" s="183"/>
      <c r="AZ108" s="183"/>
      <c r="BA108" s="183"/>
      <c r="BB108" s="183"/>
      <c r="BC108" s="183"/>
      <c r="BD108" s="183"/>
      <c r="BE108" s="183"/>
      <c r="BF108" s="183"/>
      <c r="BG108" s="183"/>
      <c r="BH108" s="183"/>
      <c r="BI108" s="183"/>
      <c r="BJ108" s="183"/>
      <c r="BK108" s="183"/>
      <c r="BL108" s="183"/>
      <c r="BM108" s="183"/>
      <c r="BN108" s="183"/>
      <c r="BO108" s="183"/>
      <c r="BP108" s="183"/>
      <c r="BQ108" s="183"/>
      <c r="BR108" s="183"/>
      <c r="BS108" s="183"/>
      <c r="BT108" s="183"/>
      <c r="BU108" s="183"/>
      <c r="BV108" s="183"/>
      <c r="BW108" s="183"/>
      <c r="BX108" s="183"/>
      <c r="BY108" s="183"/>
      <c r="BZ108" s="183"/>
      <c r="CA108" s="183"/>
      <c r="CB108" s="183"/>
      <c r="CC108" s="183"/>
      <c r="CD108" s="183"/>
      <c r="CE108" s="183"/>
      <c r="CF108" s="183"/>
      <c r="CG108" s="183"/>
      <c r="CH108" s="183"/>
      <c r="CI108" s="183"/>
      <c r="CJ108" s="183"/>
      <c r="CK108" s="183"/>
      <c r="CL108" s="183"/>
      <c r="CM108" s="183"/>
      <c r="CN108" s="183"/>
      <c r="CO108" s="183"/>
      <c r="CP108" s="183"/>
      <c r="CQ108" s="183"/>
      <c r="CR108" s="183"/>
      <c r="CS108" s="183"/>
      <c r="CT108" s="183"/>
      <c r="CU108" s="183"/>
      <c r="CV108" s="183"/>
      <c r="CW108" s="183"/>
      <c r="CX108" s="183"/>
      <c r="CY108" s="183"/>
      <c r="CZ108" s="183"/>
      <c r="DA108" s="183"/>
      <c r="DB108" s="183"/>
      <c r="DC108" s="183"/>
      <c r="DD108" s="183"/>
      <c r="DE108" s="183"/>
      <c r="DF108" s="183"/>
      <c r="DG108" s="183"/>
      <c r="DH108" s="183"/>
      <c r="DI108" s="183"/>
      <c r="DJ108" s="183"/>
      <c r="DK108" s="183"/>
      <c r="DL108" s="183"/>
      <c r="DM108" s="183"/>
      <c r="DN108" s="183"/>
      <c r="DO108" s="183"/>
      <c r="DP108" s="183"/>
      <c r="DQ108" s="183"/>
      <c r="DR108" s="183"/>
      <c r="DS108" s="183"/>
      <c r="DT108" s="183"/>
      <c r="DU108" s="183"/>
      <c r="DV108" s="183"/>
      <c r="DW108" s="183"/>
      <c r="DX108" s="183"/>
      <c r="DY108" s="183"/>
      <c r="DZ108" s="183"/>
      <c r="EA108" s="183"/>
      <c r="EB108" s="183"/>
      <c r="EC108" s="183"/>
      <c r="ED108" s="183"/>
      <c r="EE108" s="183"/>
      <c r="EF108" s="183"/>
      <c r="EG108" s="183"/>
      <c r="EH108" s="183"/>
      <c r="EI108" s="183"/>
      <c r="EJ108" s="183"/>
      <c r="EK108" s="183"/>
      <c r="EL108" s="183"/>
      <c r="EM108" s="183"/>
      <c r="EN108" s="183"/>
      <c r="EO108" s="183"/>
      <c r="EP108" s="183"/>
      <c r="EQ108" s="183"/>
      <c r="ER108" s="183"/>
      <c r="ES108" s="183"/>
      <c r="ET108" s="183"/>
      <c r="EU108" s="183"/>
      <c r="EV108" s="183"/>
      <c r="EW108" s="183"/>
      <c r="EX108" s="183"/>
      <c r="EY108" s="183"/>
      <c r="EZ108" s="183"/>
      <c r="FA108" s="183"/>
      <c r="FB108" s="183"/>
      <c r="FC108" s="183"/>
      <c r="FD108" s="183"/>
      <c r="FE108" s="183"/>
      <c r="FF108" s="183"/>
      <c r="FG108" s="183"/>
      <c r="FH108" s="183"/>
      <c r="FI108" s="183"/>
      <c r="FJ108" s="183"/>
      <c r="FK108" s="183"/>
      <c r="FL108" s="183"/>
      <c r="FM108" s="183"/>
      <c r="FN108" s="183"/>
      <c r="FO108" s="183"/>
      <c r="FP108" s="183"/>
      <c r="FQ108" s="183"/>
      <c r="FR108" s="183"/>
      <c r="FS108" s="183"/>
      <c r="FT108" s="183"/>
      <c r="FU108" s="183"/>
      <c r="FV108" s="183"/>
      <c r="FW108" s="183"/>
      <c r="FX108" s="183"/>
      <c r="FY108" s="183"/>
      <c r="FZ108" s="183"/>
      <c r="GA108" s="183"/>
      <c r="GB108" s="183"/>
      <c r="GC108" s="183"/>
      <c r="GD108" s="183"/>
      <c r="GE108" s="183"/>
      <c r="GF108" s="183"/>
      <c r="GG108" s="183"/>
      <c r="GH108" s="183"/>
      <c r="GI108" s="183"/>
      <c r="GJ108" s="183"/>
      <c r="GK108" s="183"/>
      <c r="GL108" s="183"/>
      <c r="GM108" s="183"/>
      <c r="GN108" s="183"/>
      <c r="GO108" s="183"/>
      <c r="GP108" s="183"/>
      <c r="GQ108" s="183"/>
      <c r="GR108" s="183"/>
      <c r="GS108" s="183"/>
      <c r="GT108" s="183"/>
      <c r="GU108" s="183"/>
      <c r="GV108" s="183"/>
      <c r="GW108" s="183"/>
      <c r="GX108" s="183"/>
      <c r="GY108" s="183"/>
      <c r="GZ108" s="183"/>
      <c r="HA108" s="183"/>
      <c r="HB108" s="183"/>
      <c r="HC108" s="183"/>
      <c r="HD108" s="183"/>
      <c r="HE108" s="183"/>
      <c r="HF108" s="183"/>
      <c r="HG108" s="183"/>
      <c r="HH108" s="183"/>
      <c r="HI108" s="183"/>
      <c r="HJ108" s="183"/>
      <c r="HK108" s="183"/>
      <c r="HL108" s="183"/>
      <c r="HM108" s="183"/>
      <c r="HN108" s="183"/>
      <c r="HO108" s="183"/>
      <c r="HP108" s="183"/>
      <c r="HQ108" s="183"/>
      <c r="HR108" s="183"/>
      <c r="HS108" s="183"/>
      <c r="HT108" s="183"/>
      <c r="HU108" s="183"/>
      <c r="HV108" s="183"/>
      <c r="HW108" s="183"/>
      <c r="HX108" s="183"/>
      <c r="HY108" s="183"/>
      <c r="HZ108" s="183"/>
      <c r="IA108" s="183"/>
      <c r="IB108" s="183"/>
      <c r="IC108" s="183"/>
      <c r="ID108" s="183"/>
      <c r="IE108" s="183"/>
      <c r="IF108" s="183"/>
      <c r="IG108" s="183"/>
      <c r="IH108" s="183"/>
      <c r="II108" s="183"/>
      <c r="IJ108" s="183"/>
      <c r="IK108" s="183"/>
      <c r="IL108" s="183"/>
      <c r="IM108" s="183"/>
      <c r="IN108" s="183"/>
      <c r="IO108" s="183"/>
      <c r="IP108" s="183"/>
      <c r="IQ108" s="183"/>
      <c r="IR108" s="183"/>
      <c r="IS108" s="183"/>
      <c r="IT108" s="183"/>
      <c r="IU108" s="183"/>
      <c r="IV108" s="183"/>
    </row>
    <row r="109" ht="15">
      <c r="A109" s="269" t="s">
        <v>508</v>
      </c>
      <c r="B109" s="272">
        <f>'2'!C7/э!B5</f>
        <v>8157.6164280331604</v>
      </c>
      <c r="C109" s="272">
        <f>'2'!D7/э!C5</f>
        <v>10305.434155597701</v>
      </c>
      <c r="D109" s="272">
        <f>'2'!E7/э!D5</f>
        <v>9150.0865421273393</v>
      </c>
      <c r="E109" s="272">
        <f>'2'!F7/э!E5</f>
        <v>9058.67510712894</v>
      </c>
      <c r="F109" s="272">
        <f>'2'!G7/э!F5</f>
        <v>10177.516227567799</v>
      </c>
      <c r="G109" s="272">
        <f>'2'!H7/э!G5</f>
        <v>6944.0774860094698</v>
      </c>
      <c r="H109" s="272">
        <f>'2'!I7/э!H5</f>
        <v>7858.5880488908997</v>
      </c>
      <c r="I109" s="262"/>
      <c r="J109" s="267"/>
      <c r="K109" s="267"/>
      <c r="L109" s="267"/>
      <c r="M109" s="267"/>
      <c r="N109" s="267"/>
      <c r="O109" s="267"/>
      <c r="P109" s="267"/>
      <c r="Q109" s="267"/>
      <c r="R109" s="267"/>
      <c r="S109" s="267"/>
      <c r="T109" s="267"/>
      <c r="U109" s="267"/>
      <c r="V109" s="267"/>
      <c r="W109" s="183"/>
      <c r="X109" s="183"/>
      <c r="Y109" s="183"/>
      <c r="Z109" s="183"/>
      <c r="AA109" s="183"/>
      <c r="AB109" s="183"/>
      <c r="AC109" s="183"/>
      <c r="AD109" s="183"/>
      <c r="AE109" s="183"/>
      <c r="AF109" s="183"/>
      <c r="AG109" s="183"/>
      <c r="AH109" s="183"/>
      <c r="AI109" s="183"/>
      <c r="AJ109" s="183"/>
      <c r="AK109" s="183"/>
      <c r="AL109" s="183"/>
      <c r="AM109" s="183"/>
      <c r="AN109" s="183"/>
      <c r="AO109" s="183"/>
      <c r="AP109" s="183"/>
      <c r="AQ109" s="183"/>
      <c r="AR109" s="183"/>
      <c r="AS109" s="183"/>
      <c r="AT109" s="183"/>
      <c r="AU109" s="183"/>
      <c r="AV109" s="183"/>
      <c r="AW109" s="183"/>
      <c r="AX109" s="183"/>
      <c r="AY109" s="183"/>
      <c r="AZ109" s="183"/>
      <c r="BA109" s="183"/>
      <c r="BB109" s="183"/>
      <c r="BC109" s="183"/>
      <c r="BD109" s="183"/>
      <c r="BE109" s="183"/>
      <c r="BF109" s="183"/>
      <c r="BG109" s="183"/>
      <c r="BH109" s="183"/>
      <c r="BI109" s="183"/>
      <c r="BJ109" s="183"/>
      <c r="BK109" s="183"/>
      <c r="BL109" s="183"/>
      <c r="BM109" s="183"/>
      <c r="BN109" s="183"/>
      <c r="BO109" s="183"/>
      <c r="BP109" s="183"/>
      <c r="BQ109" s="183"/>
      <c r="BR109" s="183"/>
      <c r="BS109" s="183"/>
      <c r="BT109" s="183"/>
      <c r="BU109" s="183"/>
      <c r="BV109" s="183"/>
      <c r="BW109" s="183"/>
      <c r="BX109" s="183"/>
      <c r="BY109" s="183"/>
      <c r="BZ109" s="183"/>
      <c r="CA109" s="183"/>
      <c r="CB109" s="183"/>
      <c r="CC109" s="183"/>
      <c r="CD109" s="183"/>
      <c r="CE109" s="183"/>
      <c r="CF109" s="183"/>
      <c r="CG109" s="183"/>
      <c r="CH109" s="183"/>
      <c r="CI109" s="183"/>
      <c r="CJ109" s="183"/>
      <c r="CK109" s="183"/>
      <c r="CL109" s="183"/>
      <c r="CM109" s="183"/>
      <c r="CN109" s="183"/>
      <c r="CO109" s="183"/>
      <c r="CP109" s="183"/>
      <c r="CQ109" s="183"/>
      <c r="CR109" s="183"/>
      <c r="CS109" s="183"/>
      <c r="CT109" s="183"/>
      <c r="CU109" s="183"/>
      <c r="CV109" s="183"/>
      <c r="CW109" s="183"/>
      <c r="CX109" s="183"/>
      <c r="CY109" s="183"/>
      <c r="CZ109" s="183"/>
      <c r="DA109" s="183"/>
      <c r="DB109" s="183"/>
      <c r="DC109" s="183"/>
      <c r="DD109" s="183"/>
      <c r="DE109" s="183"/>
      <c r="DF109" s="183"/>
      <c r="DG109" s="183"/>
      <c r="DH109" s="183"/>
      <c r="DI109" s="183"/>
      <c r="DJ109" s="183"/>
      <c r="DK109" s="183"/>
      <c r="DL109" s="183"/>
      <c r="DM109" s="183"/>
      <c r="DN109" s="183"/>
      <c r="DO109" s="183"/>
      <c r="DP109" s="183"/>
      <c r="DQ109" s="183"/>
      <c r="DR109" s="183"/>
      <c r="DS109" s="183"/>
      <c r="DT109" s="183"/>
      <c r="DU109" s="183"/>
      <c r="DV109" s="183"/>
      <c r="DW109" s="183"/>
      <c r="DX109" s="183"/>
      <c r="DY109" s="183"/>
      <c r="DZ109" s="183"/>
      <c r="EA109" s="183"/>
      <c r="EB109" s="183"/>
      <c r="EC109" s="183"/>
      <c r="ED109" s="183"/>
      <c r="EE109" s="183"/>
      <c r="EF109" s="183"/>
      <c r="EG109" s="183"/>
      <c r="EH109" s="183"/>
      <c r="EI109" s="183"/>
      <c r="EJ109" s="183"/>
      <c r="EK109" s="183"/>
      <c r="EL109" s="183"/>
      <c r="EM109" s="183"/>
      <c r="EN109" s="183"/>
      <c r="EO109" s="183"/>
      <c r="EP109" s="183"/>
      <c r="EQ109" s="183"/>
      <c r="ER109" s="183"/>
      <c r="ES109" s="183"/>
      <c r="ET109" s="183"/>
      <c r="EU109" s="183"/>
      <c r="EV109" s="183"/>
      <c r="EW109" s="183"/>
      <c r="EX109" s="183"/>
      <c r="EY109" s="183"/>
      <c r="EZ109" s="183"/>
      <c r="FA109" s="183"/>
      <c r="FB109" s="183"/>
      <c r="FC109" s="183"/>
      <c r="FD109" s="183"/>
      <c r="FE109" s="183"/>
      <c r="FF109" s="183"/>
      <c r="FG109" s="183"/>
      <c r="FH109" s="183"/>
      <c r="FI109" s="183"/>
      <c r="FJ109" s="183"/>
      <c r="FK109" s="183"/>
      <c r="FL109" s="183"/>
      <c r="FM109" s="183"/>
      <c r="FN109" s="183"/>
      <c r="FO109" s="183"/>
      <c r="FP109" s="183"/>
      <c r="FQ109" s="183"/>
      <c r="FR109" s="183"/>
      <c r="FS109" s="183"/>
      <c r="FT109" s="183"/>
      <c r="FU109" s="183"/>
      <c r="FV109" s="183"/>
      <c r="FW109" s="183"/>
      <c r="FX109" s="183"/>
      <c r="FY109" s="183"/>
      <c r="FZ109" s="183"/>
      <c r="GA109" s="183"/>
      <c r="GB109" s="183"/>
      <c r="GC109" s="183"/>
      <c r="GD109" s="183"/>
      <c r="GE109" s="183"/>
      <c r="GF109" s="183"/>
      <c r="GG109" s="183"/>
      <c r="GH109" s="183"/>
      <c r="GI109" s="183"/>
      <c r="GJ109" s="183"/>
      <c r="GK109" s="183"/>
      <c r="GL109" s="183"/>
      <c r="GM109" s="183"/>
      <c r="GN109" s="183"/>
      <c r="GO109" s="183"/>
      <c r="GP109" s="183"/>
      <c r="GQ109" s="183"/>
      <c r="GR109" s="183"/>
      <c r="GS109" s="183"/>
      <c r="GT109" s="183"/>
      <c r="GU109" s="183"/>
      <c r="GV109" s="183"/>
      <c r="GW109" s="183"/>
      <c r="GX109" s="183"/>
      <c r="GY109" s="183"/>
      <c r="GZ109" s="183"/>
      <c r="HA109" s="183"/>
      <c r="HB109" s="183"/>
      <c r="HC109" s="183"/>
      <c r="HD109" s="183"/>
      <c r="HE109" s="183"/>
      <c r="HF109" s="183"/>
      <c r="HG109" s="183"/>
      <c r="HH109" s="183"/>
      <c r="HI109" s="183"/>
      <c r="HJ109" s="183"/>
      <c r="HK109" s="183"/>
      <c r="HL109" s="183"/>
      <c r="HM109" s="183"/>
      <c r="HN109" s="183"/>
      <c r="HO109" s="183"/>
      <c r="HP109" s="183"/>
      <c r="HQ109" s="183"/>
      <c r="HR109" s="183"/>
      <c r="HS109" s="183"/>
      <c r="HT109" s="183"/>
      <c r="HU109" s="183"/>
      <c r="HV109" s="183"/>
      <c r="HW109" s="183"/>
      <c r="HX109" s="183"/>
      <c r="HY109" s="183"/>
      <c r="HZ109" s="183"/>
      <c r="IA109" s="183"/>
      <c r="IB109" s="183"/>
      <c r="IC109" s="183"/>
      <c r="ID109" s="183"/>
      <c r="IE109" s="183"/>
      <c r="IF109" s="183"/>
      <c r="IG109" s="183"/>
      <c r="IH109" s="183"/>
      <c r="II109" s="183"/>
      <c r="IJ109" s="183"/>
      <c r="IK109" s="183"/>
      <c r="IL109" s="183"/>
      <c r="IM109" s="183"/>
      <c r="IN109" s="183"/>
      <c r="IO109" s="183"/>
      <c r="IP109" s="183"/>
      <c r="IQ109" s="183"/>
      <c r="IR109" s="183"/>
      <c r="IS109" s="183"/>
      <c r="IT109" s="183"/>
      <c r="IU109" s="183"/>
      <c r="IV109" s="183"/>
    </row>
    <row r="110" ht="15">
      <c r="A110" s="269" t="s">
        <v>509</v>
      </c>
      <c r="B110" s="272">
        <f>2375956/э!B5</f>
        <v>895.23587038432595</v>
      </c>
      <c r="C110" s="272">
        <f>2159934/э!C5</f>
        <v>819.70929791271396</v>
      </c>
      <c r="D110" s="272">
        <f>1899152/э!D5</f>
        <v>724.03812428517006</v>
      </c>
      <c r="E110" s="272">
        <f>2252907/э!E5</f>
        <v>877.641994546163</v>
      </c>
      <c r="F110" s="272">
        <f>1717780/э!F5</f>
        <v>655.891561664758</v>
      </c>
      <c r="G110" s="272">
        <f>1272527/э!G5</f>
        <v>547.79466207490304</v>
      </c>
      <c r="H110" s="272">
        <f>1135067/э!H5</f>
        <v>513.83748302399295</v>
      </c>
      <c r="I110" s="183"/>
      <c r="J110" s="267"/>
      <c r="K110" s="267"/>
      <c r="L110" s="267"/>
      <c r="M110" s="267"/>
      <c r="N110" s="267"/>
      <c r="O110" s="267"/>
      <c r="P110" s="267"/>
      <c r="Q110" s="267"/>
      <c r="R110" s="267"/>
      <c r="S110" s="267"/>
      <c r="T110" s="267"/>
      <c r="U110" s="267"/>
      <c r="V110" s="267"/>
      <c r="W110" s="183"/>
      <c r="X110" s="183"/>
      <c r="Y110" s="183"/>
      <c r="Z110" s="183"/>
      <c r="AA110" s="183"/>
      <c r="AB110" s="183"/>
      <c r="AC110" s="183"/>
      <c r="AD110" s="183"/>
      <c r="AE110" s="183"/>
      <c r="AF110" s="183"/>
      <c r="AG110" s="183"/>
      <c r="AH110" s="183"/>
      <c r="AI110" s="183"/>
      <c r="AJ110" s="183"/>
      <c r="AK110" s="183"/>
      <c r="AL110" s="183"/>
      <c r="AM110" s="183"/>
      <c r="AN110" s="183"/>
      <c r="AO110" s="183"/>
      <c r="AP110" s="183"/>
      <c r="AQ110" s="183"/>
      <c r="AR110" s="183"/>
      <c r="AS110" s="183"/>
      <c r="AT110" s="183"/>
      <c r="AU110" s="183"/>
      <c r="AV110" s="183"/>
      <c r="AW110" s="183"/>
      <c r="AX110" s="183"/>
      <c r="AY110" s="183"/>
      <c r="AZ110" s="183"/>
      <c r="BA110" s="183"/>
      <c r="BB110" s="183"/>
      <c r="BC110" s="183"/>
      <c r="BD110" s="183"/>
      <c r="BE110" s="183"/>
      <c r="BF110" s="183"/>
      <c r="BG110" s="183"/>
      <c r="BH110" s="183"/>
      <c r="BI110" s="183"/>
      <c r="BJ110" s="183"/>
      <c r="BK110" s="183"/>
      <c r="BL110" s="183"/>
      <c r="BM110" s="183"/>
      <c r="BN110" s="183"/>
      <c r="BO110" s="183"/>
      <c r="BP110" s="183"/>
      <c r="BQ110" s="183"/>
      <c r="BR110" s="183"/>
      <c r="BS110" s="183"/>
      <c r="BT110" s="183"/>
      <c r="BU110" s="183"/>
      <c r="BV110" s="183"/>
      <c r="BW110" s="183"/>
      <c r="BX110" s="183"/>
      <c r="BY110" s="183"/>
      <c r="BZ110" s="183"/>
      <c r="CA110" s="183"/>
      <c r="CB110" s="183"/>
      <c r="CC110" s="183"/>
      <c r="CD110" s="183"/>
      <c r="CE110" s="183"/>
      <c r="CF110" s="183"/>
      <c r="CG110" s="183"/>
      <c r="CH110" s="183"/>
      <c r="CI110" s="183"/>
      <c r="CJ110" s="183"/>
      <c r="CK110" s="183"/>
      <c r="CL110" s="183"/>
      <c r="CM110" s="183"/>
      <c r="CN110" s="183"/>
      <c r="CO110" s="183"/>
      <c r="CP110" s="183"/>
      <c r="CQ110" s="183"/>
      <c r="CR110" s="183"/>
      <c r="CS110" s="183"/>
      <c r="CT110" s="183"/>
      <c r="CU110" s="183"/>
      <c r="CV110" s="183"/>
      <c r="CW110" s="183"/>
      <c r="CX110" s="183"/>
      <c r="CY110" s="183"/>
      <c r="CZ110" s="183"/>
      <c r="DA110" s="183"/>
      <c r="DB110" s="183"/>
      <c r="DC110" s="183"/>
      <c r="DD110" s="183"/>
      <c r="DE110" s="183"/>
      <c r="DF110" s="183"/>
      <c r="DG110" s="183"/>
      <c r="DH110" s="183"/>
      <c r="DI110" s="183"/>
      <c r="DJ110" s="183"/>
      <c r="DK110" s="183"/>
      <c r="DL110" s="183"/>
      <c r="DM110" s="183"/>
      <c r="DN110" s="183"/>
      <c r="DO110" s="183"/>
      <c r="DP110" s="183"/>
      <c r="DQ110" s="183"/>
      <c r="DR110" s="183"/>
      <c r="DS110" s="183"/>
      <c r="DT110" s="183"/>
      <c r="DU110" s="183"/>
      <c r="DV110" s="183"/>
      <c r="DW110" s="183"/>
      <c r="DX110" s="183"/>
      <c r="DY110" s="183"/>
      <c r="DZ110" s="183"/>
      <c r="EA110" s="183"/>
      <c r="EB110" s="183"/>
      <c r="EC110" s="183"/>
      <c r="ED110" s="183"/>
      <c r="EE110" s="183"/>
      <c r="EF110" s="183"/>
      <c r="EG110" s="183"/>
      <c r="EH110" s="183"/>
      <c r="EI110" s="183"/>
      <c r="EJ110" s="183"/>
      <c r="EK110" s="183"/>
      <c r="EL110" s="183"/>
      <c r="EM110" s="183"/>
      <c r="EN110" s="183"/>
      <c r="EO110" s="183"/>
      <c r="EP110" s="183"/>
      <c r="EQ110" s="183"/>
      <c r="ER110" s="183"/>
      <c r="ES110" s="183"/>
      <c r="ET110" s="183"/>
      <c r="EU110" s="183"/>
      <c r="EV110" s="183"/>
      <c r="EW110" s="183"/>
      <c r="EX110" s="183"/>
      <c r="EY110" s="183"/>
      <c r="EZ110" s="183"/>
      <c r="FA110" s="183"/>
      <c r="FB110" s="183"/>
      <c r="FC110" s="183"/>
      <c r="FD110" s="183"/>
      <c r="FE110" s="183"/>
      <c r="FF110" s="183"/>
      <c r="FG110" s="183"/>
      <c r="FH110" s="183"/>
      <c r="FI110" s="183"/>
      <c r="FJ110" s="183"/>
      <c r="FK110" s="183"/>
      <c r="FL110" s="183"/>
      <c r="FM110" s="183"/>
      <c r="FN110" s="183"/>
      <c r="FO110" s="183"/>
      <c r="FP110" s="183"/>
      <c r="FQ110" s="183"/>
      <c r="FR110" s="183"/>
      <c r="FS110" s="183"/>
      <c r="FT110" s="183"/>
      <c r="FU110" s="183"/>
      <c r="FV110" s="183"/>
      <c r="FW110" s="183"/>
      <c r="FX110" s="183"/>
      <c r="FY110" s="183"/>
      <c r="FZ110" s="183"/>
      <c r="GA110" s="183"/>
      <c r="GB110" s="183"/>
      <c r="GC110" s="183"/>
      <c r="GD110" s="183"/>
      <c r="GE110" s="183"/>
      <c r="GF110" s="183"/>
      <c r="GG110" s="183"/>
      <c r="GH110" s="183"/>
      <c r="GI110" s="183"/>
      <c r="GJ110" s="183"/>
      <c r="GK110" s="183"/>
      <c r="GL110" s="183"/>
      <c r="GM110" s="183"/>
      <c r="GN110" s="183"/>
      <c r="GO110" s="183"/>
      <c r="GP110" s="183"/>
      <c r="GQ110" s="183"/>
      <c r="GR110" s="183"/>
      <c r="GS110" s="183"/>
      <c r="GT110" s="183"/>
      <c r="GU110" s="183"/>
      <c r="GV110" s="183"/>
      <c r="GW110" s="183"/>
      <c r="GX110" s="183"/>
      <c r="GY110" s="183"/>
      <c r="GZ110" s="183"/>
      <c r="HA110" s="183"/>
      <c r="HB110" s="183"/>
      <c r="HC110" s="183"/>
      <c r="HD110" s="183"/>
      <c r="HE110" s="183"/>
      <c r="HF110" s="183"/>
      <c r="HG110" s="183"/>
      <c r="HH110" s="183"/>
      <c r="HI110" s="183"/>
      <c r="HJ110" s="183"/>
      <c r="HK110" s="183"/>
      <c r="HL110" s="183"/>
      <c r="HM110" s="183"/>
      <c r="HN110" s="183"/>
      <c r="HO110" s="183"/>
      <c r="HP110" s="183"/>
      <c r="HQ110" s="183"/>
      <c r="HR110" s="183"/>
      <c r="HS110" s="183"/>
      <c r="HT110" s="183"/>
      <c r="HU110" s="183"/>
      <c r="HV110" s="183"/>
      <c r="HW110" s="183"/>
      <c r="HX110" s="183"/>
      <c r="HY110" s="183"/>
      <c r="HZ110" s="183"/>
      <c r="IA110" s="183"/>
      <c r="IB110" s="183"/>
      <c r="IC110" s="183"/>
      <c r="ID110" s="183"/>
      <c r="IE110" s="183"/>
      <c r="IF110" s="183"/>
      <c r="IG110" s="183"/>
      <c r="IH110" s="183"/>
      <c r="II110" s="183"/>
      <c r="IJ110" s="183"/>
      <c r="IK110" s="183"/>
      <c r="IL110" s="183"/>
      <c r="IM110" s="183"/>
      <c r="IN110" s="183"/>
      <c r="IO110" s="183"/>
      <c r="IP110" s="183"/>
      <c r="IQ110" s="183"/>
      <c r="IR110" s="183"/>
      <c r="IS110" s="183"/>
      <c r="IT110" s="183"/>
      <c r="IU110" s="183"/>
      <c r="IV110" s="183"/>
    </row>
    <row r="111" ht="15">
      <c r="A111" s="183"/>
      <c r="B111" s="183"/>
      <c r="C111" s="183"/>
      <c r="D111" s="183"/>
      <c r="E111" s="183"/>
      <c r="F111" s="183"/>
      <c r="G111" s="183"/>
      <c r="H111" s="183"/>
      <c r="I111" s="183"/>
      <c r="J111" s="267"/>
      <c r="K111" s="267"/>
      <c r="L111" s="267"/>
      <c r="M111" s="267"/>
      <c r="N111" s="267"/>
      <c r="O111" s="267"/>
      <c r="P111" s="267"/>
      <c r="Q111" s="267"/>
      <c r="R111" s="267"/>
      <c r="S111" s="267"/>
      <c r="T111" s="267"/>
      <c r="U111" s="267"/>
      <c r="V111" s="267"/>
      <c r="W111" s="183"/>
      <c r="X111" s="183"/>
      <c r="Y111" s="183"/>
      <c r="Z111" s="183"/>
      <c r="AA111" s="183"/>
      <c r="AB111" s="183"/>
      <c r="AC111" s="183"/>
      <c r="AD111" s="183"/>
      <c r="AE111" s="183"/>
      <c r="AF111" s="183"/>
      <c r="AG111" s="183"/>
      <c r="AH111" s="183"/>
      <c r="AI111" s="183"/>
      <c r="AJ111" s="183"/>
      <c r="AK111" s="183"/>
      <c r="AL111" s="183"/>
      <c r="AM111" s="183"/>
      <c r="AN111" s="183"/>
      <c r="AO111" s="183"/>
      <c r="AP111" s="183"/>
      <c r="AQ111" s="183"/>
      <c r="AR111" s="183"/>
      <c r="AS111" s="183"/>
      <c r="AT111" s="183"/>
      <c r="AU111" s="183"/>
      <c r="AV111" s="183"/>
      <c r="AW111" s="183"/>
      <c r="AX111" s="183"/>
      <c r="AY111" s="183"/>
      <c r="AZ111" s="183"/>
      <c r="BA111" s="183"/>
      <c r="BB111" s="183"/>
      <c r="BC111" s="183"/>
      <c r="BD111" s="183"/>
      <c r="BE111" s="183"/>
      <c r="BF111" s="183"/>
      <c r="BG111" s="183"/>
      <c r="BH111" s="183"/>
      <c r="BI111" s="183"/>
      <c r="BJ111" s="183"/>
      <c r="BK111" s="183"/>
      <c r="BL111" s="183"/>
      <c r="BM111" s="183"/>
      <c r="BN111" s="183"/>
      <c r="BO111" s="183"/>
      <c r="BP111" s="183"/>
      <c r="BQ111" s="183"/>
      <c r="BR111" s="183"/>
      <c r="BS111" s="183"/>
      <c r="BT111" s="183"/>
      <c r="BU111" s="183"/>
      <c r="BV111" s="183"/>
      <c r="BW111" s="183"/>
      <c r="BX111" s="183"/>
      <c r="BY111" s="183"/>
      <c r="BZ111" s="183"/>
      <c r="CA111" s="183"/>
      <c r="CB111" s="183"/>
      <c r="CC111" s="183"/>
      <c r="CD111" s="183"/>
      <c r="CE111" s="183"/>
      <c r="CF111" s="183"/>
      <c r="CG111" s="183"/>
      <c r="CH111" s="183"/>
      <c r="CI111" s="183"/>
      <c r="CJ111" s="183"/>
      <c r="CK111" s="183"/>
      <c r="CL111" s="183"/>
      <c r="CM111" s="183"/>
      <c r="CN111" s="183"/>
      <c r="CO111" s="183"/>
      <c r="CP111" s="183"/>
      <c r="CQ111" s="183"/>
      <c r="CR111" s="183"/>
      <c r="CS111" s="183"/>
      <c r="CT111" s="183"/>
      <c r="CU111" s="183"/>
      <c r="CV111" s="183"/>
      <c r="CW111" s="183"/>
      <c r="CX111" s="183"/>
      <c r="CY111" s="183"/>
      <c r="CZ111" s="183"/>
      <c r="DA111" s="183"/>
      <c r="DB111" s="183"/>
      <c r="DC111" s="183"/>
      <c r="DD111" s="183"/>
      <c r="DE111" s="183"/>
      <c r="DF111" s="183"/>
      <c r="DG111" s="183"/>
      <c r="DH111" s="183"/>
      <c r="DI111" s="183"/>
      <c r="DJ111" s="183"/>
      <c r="DK111" s="183"/>
      <c r="DL111" s="183"/>
      <c r="DM111" s="183"/>
      <c r="DN111" s="183"/>
      <c r="DO111" s="183"/>
      <c r="DP111" s="183"/>
      <c r="DQ111" s="183"/>
      <c r="DR111" s="183"/>
      <c r="DS111" s="183"/>
      <c r="DT111" s="183"/>
      <c r="DU111" s="183"/>
      <c r="DV111" s="183"/>
      <c r="DW111" s="183"/>
      <c r="DX111" s="183"/>
      <c r="DY111" s="183"/>
      <c r="DZ111" s="183"/>
      <c r="EA111" s="183"/>
      <c r="EB111" s="183"/>
      <c r="EC111" s="183"/>
      <c r="ED111" s="183"/>
      <c r="EE111" s="183"/>
      <c r="EF111" s="183"/>
      <c r="EG111" s="183"/>
      <c r="EH111" s="183"/>
      <c r="EI111" s="183"/>
      <c r="EJ111" s="183"/>
      <c r="EK111" s="183"/>
      <c r="EL111" s="183"/>
      <c r="EM111" s="183"/>
      <c r="EN111" s="183"/>
      <c r="EO111" s="183"/>
      <c r="EP111" s="183"/>
      <c r="EQ111" s="183"/>
      <c r="ER111" s="183"/>
      <c r="ES111" s="183"/>
      <c r="ET111" s="183"/>
      <c r="EU111" s="183"/>
      <c r="EV111" s="183"/>
      <c r="EW111" s="183"/>
      <c r="EX111" s="183"/>
      <c r="EY111" s="183"/>
      <c r="EZ111" s="183"/>
      <c r="FA111" s="183"/>
      <c r="FB111" s="183"/>
      <c r="FC111" s="183"/>
      <c r="FD111" s="183"/>
      <c r="FE111" s="183"/>
      <c r="FF111" s="183"/>
      <c r="FG111" s="183"/>
      <c r="FH111" s="183"/>
      <c r="FI111" s="183"/>
      <c r="FJ111" s="183"/>
      <c r="FK111" s="183"/>
      <c r="FL111" s="183"/>
      <c r="FM111" s="183"/>
      <c r="FN111" s="183"/>
      <c r="FO111" s="183"/>
      <c r="FP111" s="183"/>
      <c r="FQ111" s="183"/>
      <c r="FR111" s="183"/>
      <c r="FS111" s="183"/>
      <c r="FT111" s="183"/>
      <c r="FU111" s="183"/>
      <c r="FV111" s="183"/>
      <c r="FW111" s="183"/>
      <c r="FX111" s="183"/>
      <c r="FY111" s="183"/>
      <c r="FZ111" s="183"/>
      <c r="GA111" s="183"/>
      <c r="GB111" s="183"/>
      <c r="GC111" s="183"/>
      <c r="GD111" s="183"/>
      <c r="GE111" s="183"/>
      <c r="GF111" s="183"/>
      <c r="GG111" s="183"/>
      <c r="GH111" s="183"/>
      <c r="GI111" s="183"/>
      <c r="GJ111" s="183"/>
      <c r="GK111" s="183"/>
      <c r="GL111" s="183"/>
      <c r="GM111" s="183"/>
      <c r="GN111" s="183"/>
      <c r="GO111" s="183"/>
      <c r="GP111" s="183"/>
      <c r="GQ111" s="183"/>
      <c r="GR111" s="183"/>
      <c r="GS111" s="183"/>
      <c r="GT111" s="183"/>
      <c r="GU111" s="183"/>
      <c r="GV111" s="183"/>
      <c r="GW111" s="183"/>
      <c r="GX111" s="183"/>
      <c r="GY111" s="183"/>
      <c r="GZ111" s="183"/>
      <c r="HA111" s="183"/>
      <c r="HB111" s="183"/>
      <c r="HC111" s="183"/>
      <c r="HD111" s="183"/>
      <c r="HE111" s="183"/>
      <c r="HF111" s="183"/>
      <c r="HG111" s="183"/>
      <c r="HH111" s="183"/>
      <c r="HI111" s="183"/>
      <c r="HJ111" s="183"/>
      <c r="HK111" s="183"/>
      <c r="HL111" s="183"/>
      <c r="HM111" s="183"/>
      <c r="HN111" s="183"/>
      <c r="HO111" s="183"/>
      <c r="HP111" s="183"/>
      <c r="HQ111" s="183"/>
      <c r="HR111" s="183"/>
      <c r="HS111" s="183"/>
      <c r="HT111" s="183"/>
      <c r="HU111" s="183"/>
      <c r="HV111" s="183"/>
      <c r="HW111" s="183"/>
      <c r="HX111" s="183"/>
      <c r="HY111" s="183"/>
      <c r="HZ111" s="183"/>
      <c r="IA111" s="183"/>
      <c r="IB111" s="183"/>
      <c r="IC111" s="183"/>
      <c r="ID111" s="183"/>
      <c r="IE111" s="183"/>
      <c r="IF111" s="183"/>
      <c r="IG111" s="183"/>
      <c r="IH111" s="183"/>
      <c r="II111" s="183"/>
      <c r="IJ111" s="183"/>
      <c r="IK111" s="183"/>
      <c r="IL111" s="183"/>
      <c r="IM111" s="183"/>
      <c r="IN111" s="183"/>
      <c r="IO111" s="183"/>
      <c r="IP111" s="183"/>
      <c r="IQ111" s="183"/>
      <c r="IR111" s="183"/>
      <c r="IS111" s="183"/>
      <c r="IT111" s="183"/>
      <c r="IU111" s="183"/>
      <c r="IV111" s="183"/>
    </row>
    <row r="112" ht="15">
      <c r="A112" s="192" t="s">
        <v>510</v>
      </c>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c r="Y112" s="183"/>
      <c r="Z112" s="183"/>
      <c r="AA112" s="183"/>
      <c r="AB112" s="183"/>
      <c r="AC112" s="183"/>
      <c r="AD112" s="183"/>
      <c r="AE112" s="183"/>
      <c r="AF112" s="183"/>
      <c r="AG112" s="183"/>
      <c r="AH112" s="183"/>
      <c r="AI112" s="183"/>
      <c r="AJ112" s="183"/>
      <c r="AK112" s="183"/>
      <c r="AL112" s="183"/>
      <c r="AM112" s="183"/>
      <c r="AN112" s="183"/>
      <c r="AO112" s="183"/>
      <c r="AP112" s="183"/>
      <c r="AQ112" s="183"/>
      <c r="AR112" s="183"/>
      <c r="AS112" s="183"/>
      <c r="AT112" s="183"/>
      <c r="AU112" s="183"/>
      <c r="AV112" s="183"/>
      <c r="AW112" s="183"/>
      <c r="AX112" s="183"/>
      <c r="AY112" s="183"/>
      <c r="AZ112" s="183"/>
      <c r="BA112" s="183"/>
      <c r="BB112" s="183"/>
      <c r="BC112" s="183"/>
      <c r="BD112" s="183"/>
      <c r="BE112" s="183"/>
      <c r="BF112" s="183"/>
      <c r="BG112" s="183"/>
      <c r="BH112" s="183"/>
      <c r="BI112" s="183"/>
      <c r="BJ112" s="183"/>
      <c r="BK112" s="183"/>
      <c r="BL112" s="183"/>
      <c r="BM112" s="183"/>
      <c r="BN112" s="183"/>
      <c r="BO112" s="183"/>
      <c r="BP112" s="183"/>
      <c r="BQ112" s="183"/>
      <c r="BR112" s="183"/>
      <c r="BS112" s="183"/>
      <c r="BT112" s="183"/>
      <c r="BU112" s="183"/>
      <c r="BV112" s="183"/>
      <c r="BW112" s="183"/>
      <c r="BX112" s="183"/>
      <c r="BY112" s="183"/>
      <c r="BZ112" s="183"/>
      <c r="CA112" s="183"/>
      <c r="CB112" s="183"/>
      <c r="CC112" s="183"/>
      <c r="CD112" s="183"/>
      <c r="CE112" s="183"/>
      <c r="CF112" s="183"/>
      <c r="CG112" s="183"/>
      <c r="CH112" s="183"/>
      <c r="CI112" s="183"/>
      <c r="CJ112" s="183"/>
      <c r="CK112" s="183"/>
      <c r="CL112" s="183"/>
      <c r="CM112" s="183"/>
      <c r="CN112" s="183"/>
      <c r="CO112" s="183"/>
      <c r="CP112" s="183"/>
      <c r="CQ112" s="183"/>
      <c r="CR112" s="183"/>
      <c r="CS112" s="183"/>
      <c r="CT112" s="183"/>
      <c r="CU112" s="183"/>
      <c r="CV112" s="183"/>
      <c r="CW112" s="183"/>
      <c r="CX112" s="183"/>
      <c r="CY112" s="183"/>
      <c r="CZ112" s="183"/>
      <c r="DA112" s="183"/>
      <c r="DB112" s="183"/>
      <c r="DC112" s="183"/>
      <c r="DD112" s="183"/>
      <c r="DE112" s="183"/>
      <c r="DF112" s="183"/>
      <c r="DG112" s="183"/>
      <c r="DH112" s="183"/>
      <c r="DI112" s="183"/>
      <c r="DJ112" s="183"/>
      <c r="DK112" s="183"/>
      <c r="DL112" s="183"/>
      <c r="DM112" s="183"/>
      <c r="DN112" s="183"/>
      <c r="DO112" s="183"/>
      <c r="DP112" s="183"/>
      <c r="DQ112" s="183"/>
      <c r="DR112" s="183"/>
      <c r="DS112" s="183"/>
      <c r="DT112" s="183"/>
      <c r="DU112" s="183"/>
      <c r="DV112" s="183"/>
      <c r="DW112" s="183"/>
      <c r="DX112" s="183"/>
      <c r="DY112" s="183"/>
      <c r="DZ112" s="183"/>
      <c r="EA112" s="183"/>
      <c r="EB112" s="183"/>
      <c r="EC112" s="183"/>
      <c r="ED112" s="183"/>
      <c r="EE112" s="183"/>
      <c r="EF112" s="183"/>
      <c r="EG112" s="183"/>
      <c r="EH112" s="183"/>
      <c r="EI112" s="183"/>
      <c r="EJ112" s="183"/>
      <c r="EK112" s="183"/>
      <c r="EL112" s="183"/>
      <c r="EM112" s="183"/>
      <c r="EN112" s="183"/>
      <c r="EO112" s="183"/>
      <c r="EP112" s="183"/>
      <c r="EQ112" s="183"/>
      <c r="ER112" s="183"/>
      <c r="ES112" s="183"/>
      <c r="ET112" s="183"/>
      <c r="EU112" s="183"/>
      <c r="EV112" s="183"/>
      <c r="EW112" s="183"/>
      <c r="EX112" s="183"/>
      <c r="EY112" s="183"/>
      <c r="EZ112" s="183"/>
      <c r="FA112" s="183"/>
      <c r="FB112" s="183"/>
      <c r="FC112" s="183"/>
      <c r="FD112" s="183"/>
      <c r="FE112" s="183"/>
      <c r="FF112" s="183"/>
      <c r="FG112" s="183"/>
      <c r="FH112" s="183"/>
      <c r="FI112" s="183"/>
      <c r="FJ112" s="183"/>
      <c r="FK112" s="183"/>
      <c r="FL112" s="183"/>
      <c r="FM112" s="183"/>
      <c r="FN112" s="183"/>
      <c r="FO112" s="183"/>
      <c r="FP112" s="183"/>
      <c r="FQ112" s="183"/>
      <c r="FR112" s="183"/>
      <c r="FS112" s="183"/>
      <c r="FT112" s="183"/>
      <c r="FU112" s="183"/>
      <c r="FV112" s="183"/>
      <c r="FW112" s="183"/>
      <c r="FX112" s="183"/>
      <c r="FY112" s="183"/>
      <c r="FZ112" s="183"/>
      <c r="GA112" s="183"/>
      <c r="GB112" s="183"/>
      <c r="GC112" s="183"/>
      <c r="GD112" s="183"/>
      <c r="GE112" s="183"/>
      <c r="GF112" s="183"/>
      <c r="GG112" s="183"/>
      <c r="GH112" s="183"/>
      <c r="GI112" s="183"/>
      <c r="GJ112" s="183"/>
      <c r="GK112" s="183"/>
      <c r="GL112" s="183"/>
      <c r="GM112" s="183"/>
      <c r="GN112" s="183"/>
      <c r="GO112" s="183"/>
      <c r="GP112" s="183"/>
      <c r="GQ112" s="183"/>
      <c r="GR112" s="183"/>
      <c r="GS112" s="183"/>
      <c r="GT112" s="183"/>
      <c r="GU112" s="183"/>
      <c r="GV112" s="183"/>
      <c r="GW112" s="183"/>
      <c r="GX112" s="183"/>
      <c r="GY112" s="183"/>
      <c r="GZ112" s="183"/>
      <c r="HA112" s="183"/>
      <c r="HB112" s="183"/>
      <c r="HC112" s="183"/>
      <c r="HD112" s="183"/>
      <c r="HE112" s="183"/>
      <c r="HF112" s="183"/>
      <c r="HG112" s="183"/>
      <c r="HH112" s="183"/>
      <c r="HI112" s="183"/>
      <c r="HJ112" s="183"/>
      <c r="HK112" s="183"/>
      <c r="HL112" s="183"/>
      <c r="HM112" s="183"/>
      <c r="HN112" s="183"/>
      <c r="HO112" s="183"/>
      <c r="HP112" s="183"/>
      <c r="HQ112" s="183"/>
      <c r="HR112" s="183"/>
      <c r="HS112" s="183"/>
      <c r="HT112" s="183"/>
      <c r="HU112" s="183"/>
      <c r="HV112" s="183"/>
      <c r="HW112" s="183"/>
      <c r="HX112" s="183"/>
      <c r="HY112" s="183"/>
      <c r="HZ112" s="183"/>
      <c r="IA112" s="183"/>
      <c r="IB112" s="183"/>
      <c r="IC112" s="183"/>
      <c r="ID112" s="183"/>
      <c r="IE112" s="183"/>
      <c r="IF112" s="183"/>
      <c r="IG112" s="183"/>
      <c r="IH112" s="183"/>
      <c r="II112" s="183"/>
      <c r="IJ112" s="183"/>
      <c r="IK112" s="183"/>
      <c r="IL112" s="183"/>
      <c r="IM112" s="183"/>
      <c r="IN112" s="183"/>
      <c r="IO112" s="183"/>
      <c r="IP112" s="183"/>
      <c r="IQ112" s="183"/>
      <c r="IR112" s="183"/>
      <c r="IS112" s="183"/>
      <c r="IT112" s="183"/>
      <c r="IU112" s="183"/>
      <c r="IV112" s="183"/>
    </row>
    <row r="113" ht="15" customHeight="1">
      <c r="A113" s="168" t="s">
        <v>177</v>
      </c>
      <c r="B113" s="168" t="str">
        <f>B104</f>
        <v xml:space="preserve">2019 год</v>
      </c>
      <c r="C113" s="168" t="str">
        <f>C104</f>
        <v xml:space="preserve">2018 год</v>
      </c>
      <c r="D113" s="168" t="str">
        <f>D104</f>
        <v xml:space="preserve">2017 год</v>
      </c>
      <c r="E113" s="168" t="str">
        <f>E104</f>
        <v xml:space="preserve">2016 год</v>
      </c>
      <c r="F113" s="168" t="str">
        <f>F104</f>
        <v xml:space="preserve">2015 год</v>
      </c>
      <c r="G113" s="168" t="str">
        <f>G104</f>
        <v xml:space="preserve">2014 год</v>
      </c>
      <c r="H113" s="168" t="str">
        <f>H104</f>
        <v xml:space="preserve">2013 год</v>
      </c>
      <c r="I113" s="262" t="s">
        <v>472</v>
      </c>
      <c r="J113" s="267" t="s">
        <v>511</v>
      </c>
      <c r="K113" s="267"/>
      <c r="L113" s="267"/>
      <c r="M113" s="267"/>
      <c r="N113" s="267"/>
      <c r="O113" s="267"/>
      <c r="P113" s="267"/>
      <c r="Q113" s="267"/>
      <c r="R113" s="267"/>
      <c r="S113" s="267"/>
      <c r="T113" s="267"/>
      <c r="U113" s="267"/>
      <c r="V113" s="267"/>
      <c r="W113" s="183"/>
      <c r="X113" s="183"/>
      <c r="Y113" s="183"/>
      <c r="Z113" s="183"/>
      <c r="AA113" s="183"/>
      <c r="AB113" s="183"/>
      <c r="AC113" s="183"/>
      <c r="AD113" s="183"/>
      <c r="AE113" s="183"/>
      <c r="AF113" s="183"/>
      <c r="AG113" s="183"/>
      <c r="AH113" s="183"/>
      <c r="AI113" s="183"/>
      <c r="AJ113" s="183"/>
      <c r="AK113" s="183"/>
      <c r="AL113" s="183"/>
      <c r="AM113" s="183"/>
      <c r="AN113" s="183"/>
      <c r="AO113" s="183"/>
      <c r="AP113" s="183"/>
      <c r="AQ113" s="183"/>
      <c r="AR113" s="183"/>
      <c r="AS113" s="183"/>
      <c r="AT113" s="183"/>
      <c r="AU113" s="183"/>
      <c r="AV113" s="183"/>
      <c r="AW113" s="183"/>
      <c r="AX113" s="183"/>
      <c r="AY113" s="183"/>
      <c r="AZ113" s="183"/>
      <c r="BA113" s="183"/>
      <c r="BB113" s="183"/>
      <c r="BC113" s="183"/>
      <c r="BD113" s="183"/>
      <c r="BE113" s="183"/>
      <c r="BF113" s="183"/>
      <c r="BG113" s="183"/>
      <c r="BH113" s="183"/>
      <c r="BI113" s="183"/>
      <c r="BJ113" s="183"/>
      <c r="BK113" s="183"/>
      <c r="BL113" s="183"/>
      <c r="BM113" s="183"/>
      <c r="BN113" s="183"/>
      <c r="BO113" s="183"/>
      <c r="BP113" s="183"/>
      <c r="BQ113" s="183"/>
      <c r="BR113" s="183"/>
      <c r="BS113" s="183"/>
      <c r="BT113" s="183"/>
      <c r="BU113" s="183"/>
      <c r="BV113" s="183"/>
      <c r="BW113" s="183"/>
      <c r="BX113" s="183"/>
      <c r="BY113" s="183"/>
      <c r="BZ113" s="183"/>
      <c r="CA113" s="183"/>
      <c r="CB113" s="183"/>
      <c r="CC113" s="183"/>
      <c r="CD113" s="183"/>
      <c r="CE113" s="183"/>
      <c r="CF113" s="183"/>
      <c r="CG113" s="183"/>
      <c r="CH113" s="183"/>
      <c r="CI113" s="183"/>
      <c r="CJ113" s="183"/>
      <c r="CK113" s="183"/>
      <c r="CL113" s="183"/>
      <c r="CM113" s="183"/>
      <c r="CN113" s="183"/>
      <c r="CO113" s="183"/>
      <c r="CP113" s="183"/>
      <c r="CQ113" s="183"/>
      <c r="CR113" s="183"/>
      <c r="CS113" s="183"/>
      <c r="CT113" s="183"/>
      <c r="CU113" s="183"/>
      <c r="CV113" s="183"/>
      <c r="CW113" s="183"/>
      <c r="CX113" s="183"/>
      <c r="CY113" s="183"/>
      <c r="CZ113" s="183"/>
      <c r="DA113" s="183"/>
      <c r="DB113" s="183"/>
      <c r="DC113" s="183"/>
      <c r="DD113" s="183"/>
      <c r="DE113" s="183"/>
      <c r="DF113" s="183"/>
      <c r="DG113" s="183"/>
      <c r="DH113" s="183"/>
      <c r="DI113" s="183"/>
      <c r="DJ113" s="183"/>
      <c r="DK113" s="183"/>
      <c r="DL113" s="183"/>
      <c r="DM113" s="183"/>
      <c r="DN113" s="183"/>
      <c r="DO113" s="183"/>
      <c r="DP113" s="183"/>
      <c r="DQ113" s="183"/>
      <c r="DR113" s="183"/>
      <c r="DS113" s="183"/>
      <c r="DT113" s="183"/>
      <c r="DU113" s="183"/>
      <c r="DV113" s="183"/>
      <c r="DW113" s="183"/>
      <c r="DX113" s="183"/>
      <c r="DY113" s="183"/>
      <c r="DZ113" s="183"/>
      <c r="EA113" s="183"/>
      <c r="EB113" s="183"/>
      <c r="EC113" s="183"/>
      <c r="ED113" s="183"/>
      <c r="EE113" s="183"/>
      <c r="EF113" s="183"/>
      <c r="EG113" s="183"/>
      <c r="EH113" s="183"/>
      <c r="EI113" s="183"/>
      <c r="EJ113" s="183"/>
      <c r="EK113" s="183"/>
      <c r="EL113" s="183"/>
      <c r="EM113" s="183"/>
      <c r="EN113" s="183"/>
      <c r="EO113" s="183"/>
      <c r="EP113" s="183"/>
      <c r="EQ113" s="183"/>
      <c r="ER113" s="183"/>
      <c r="ES113" s="183"/>
      <c r="ET113" s="183"/>
      <c r="EU113" s="183"/>
      <c r="EV113" s="183"/>
      <c r="EW113" s="183"/>
      <c r="EX113" s="183"/>
      <c r="EY113" s="183"/>
      <c r="EZ113" s="183"/>
      <c r="FA113" s="183"/>
      <c r="FB113" s="183"/>
      <c r="FC113" s="183"/>
      <c r="FD113" s="183"/>
      <c r="FE113" s="183"/>
      <c r="FF113" s="183"/>
      <c r="FG113" s="183"/>
      <c r="FH113" s="183"/>
      <c r="FI113" s="183"/>
      <c r="FJ113" s="183"/>
      <c r="FK113" s="183"/>
      <c r="FL113" s="183"/>
      <c r="FM113" s="183"/>
      <c r="FN113" s="183"/>
      <c r="FO113" s="183"/>
      <c r="FP113" s="183"/>
      <c r="FQ113" s="183"/>
      <c r="FR113" s="183"/>
      <c r="FS113" s="183"/>
      <c r="FT113" s="183"/>
      <c r="FU113" s="183"/>
      <c r="FV113" s="183"/>
      <c r="FW113" s="183"/>
      <c r="FX113" s="183"/>
      <c r="FY113" s="183"/>
      <c r="FZ113" s="183"/>
      <c r="GA113" s="183"/>
      <c r="GB113" s="183"/>
      <c r="GC113" s="183"/>
      <c r="GD113" s="183"/>
      <c r="GE113" s="183"/>
      <c r="GF113" s="183"/>
      <c r="GG113" s="183"/>
      <c r="GH113" s="183"/>
      <c r="GI113" s="183"/>
      <c r="GJ113" s="183"/>
      <c r="GK113" s="183"/>
      <c r="GL113" s="183"/>
      <c r="GM113" s="183"/>
      <c r="GN113" s="183"/>
      <c r="GO113" s="183"/>
      <c r="GP113" s="183"/>
      <c r="GQ113" s="183"/>
      <c r="GR113" s="183"/>
      <c r="GS113" s="183"/>
      <c r="GT113" s="183"/>
      <c r="GU113" s="183"/>
      <c r="GV113" s="183"/>
      <c r="GW113" s="183"/>
      <c r="GX113" s="183"/>
      <c r="GY113" s="183"/>
      <c r="GZ113" s="183"/>
      <c r="HA113" s="183"/>
      <c r="HB113" s="183"/>
      <c r="HC113" s="183"/>
      <c r="HD113" s="183"/>
      <c r="HE113" s="183"/>
      <c r="HF113" s="183"/>
      <c r="HG113" s="183"/>
      <c r="HH113" s="183"/>
      <c r="HI113" s="183"/>
      <c r="HJ113" s="183"/>
      <c r="HK113" s="183"/>
      <c r="HL113" s="183"/>
      <c r="HM113" s="183"/>
      <c r="HN113" s="183"/>
      <c r="HO113" s="183"/>
      <c r="HP113" s="183"/>
      <c r="HQ113" s="183"/>
      <c r="HR113" s="183"/>
      <c r="HS113" s="183"/>
      <c r="HT113" s="183"/>
      <c r="HU113" s="183"/>
      <c r="HV113" s="183"/>
      <c r="HW113" s="183"/>
      <c r="HX113" s="183"/>
      <c r="HY113" s="183"/>
      <c r="HZ113" s="183"/>
      <c r="IA113" s="183"/>
      <c r="IB113" s="183"/>
      <c r="IC113" s="183"/>
      <c r="ID113" s="183"/>
      <c r="IE113" s="183"/>
      <c r="IF113" s="183"/>
      <c r="IG113" s="183"/>
      <c r="IH113" s="183"/>
      <c r="II113" s="183"/>
      <c r="IJ113" s="183"/>
      <c r="IK113" s="183"/>
      <c r="IL113" s="183"/>
      <c r="IM113" s="183"/>
      <c r="IN113" s="183"/>
      <c r="IO113" s="183"/>
      <c r="IP113" s="183"/>
      <c r="IQ113" s="183"/>
      <c r="IR113" s="183"/>
      <c r="IS113" s="183"/>
      <c r="IT113" s="183"/>
      <c r="IU113" s="183"/>
      <c r="IV113" s="183"/>
    </row>
    <row r="114" ht="15">
      <c r="A114" s="196" t="s">
        <v>512</v>
      </c>
      <c r="B114" s="178">
        <f>(C34+C33+C32)/C31</f>
        <v>0.12296976305044</v>
      </c>
      <c r="C114" s="178">
        <f>(D34+D33+D32)/D31</f>
        <v>0.074493955482664395</v>
      </c>
      <c r="D114" s="178">
        <f>(E34+E33+E32)/E31</f>
        <v>0.24122422415161299</v>
      </c>
      <c r="E114" s="178">
        <f>(F34+F33+F32)/F31</f>
        <v>0.42741686560117997</v>
      </c>
      <c r="F114" s="273">
        <f>(G34+G33+G32)/G31</f>
        <v>0.58391187205154305</v>
      </c>
      <c r="G114" s="178">
        <f>(H34+H33+H32)/H31</f>
        <v>0.533577892992528</v>
      </c>
      <c r="H114" s="178">
        <f>(I34+I33+I32)/I31</f>
        <v>0.316235978038298</v>
      </c>
      <c r="I114" s="262"/>
      <c r="J114" s="267"/>
      <c r="K114" s="267"/>
      <c r="L114" s="267"/>
      <c r="M114" s="267"/>
      <c r="N114" s="267"/>
      <c r="O114" s="267"/>
      <c r="P114" s="267"/>
      <c r="Q114" s="267"/>
      <c r="R114" s="267"/>
      <c r="S114" s="267"/>
      <c r="T114" s="267"/>
      <c r="U114" s="267"/>
      <c r="V114" s="267"/>
      <c r="W114" s="183"/>
      <c r="X114" s="183"/>
      <c r="Y114" s="183"/>
      <c r="Z114" s="183"/>
      <c r="AA114" s="183"/>
      <c r="AB114" s="183"/>
      <c r="AC114" s="183"/>
      <c r="AD114" s="183"/>
      <c r="AE114" s="183"/>
      <c r="AF114" s="183"/>
      <c r="AG114" s="183"/>
      <c r="AH114" s="183"/>
      <c r="AI114" s="183"/>
      <c r="AJ114" s="183"/>
      <c r="AK114" s="183"/>
      <c r="AL114" s="183"/>
      <c r="AM114" s="183"/>
      <c r="AN114" s="183"/>
      <c r="AO114" s="183"/>
      <c r="AP114" s="183"/>
      <c r="AQ114" s="183"/>
      <c r="AR114" s="183"/>
      <c r="AS114" s="183"/>
      <c r="AT114" s="183"/>
      <c r="AU114" s="183"/>
      <c r="AV114" s="183"/>
      <c r="AW114" s="183"/>
      <c r="AX114" s="183"/>
      <c r="AY114" s="183"/>
      <c r="AZ114" s="183"/>
      <c r="BA114" s="183"/>
      <c r="BB114" s="183"/>
      <c r="BC114" s="183"/>
      <c r="BD114" s="183"/>
      <c r="BE114" s="183"/>
      <c r="BF114" s="183"/>
      <c r="BG114" s="183"/>
      <c r="BH114" s="183"/>
      <c r="BI114" s="183"/>
      <c r="BJ114" s="183"/>
      <c r="BK114" s="183"/>
      <c r="BL114" s="183"/>
      <c r="BM114" s="183"/>
      <c r="BN114" s="183"/>
      <c r="BO114" s="183"/>
      <c r="BP114" s="183"/>
      <c r="BQ114" s="183"/>
      <c r="BR114" s="183"/>
      <c r="BS114" s="183"/>
      <c r="BT114" s="183"/>
      <c r="BU114" s="183"/>
      <c r="BV114" s="183"/>
      <c r="BW114" s="183"/>
      <c r="BX114" s="183"/>
      <c r="BY114" s="183"/>
      <c r="BZ114" s="183"/>
      <c r="CA114" s="183"/>
      <c r="CB114" s="183"/>
      <c r="CC114" s="183"/>
      <c r="CD114" s="183"/>
      <c r="CE114" s="183"/>
      <c r="CF114" s="183"/>
      <c r="CG114" s="183"/>
      <c r="CH114" s="183"/>
      <c r="CI114" s="183"/>
      <c r="CJ114" s="183"/>
      <c r="CK114" s="183"/>
      <c r="CL114" s="183"/>
      <c r="CM114" s="183"/>
      <c r="CN114" s="183"/>
      <c r="CO114" s="183"/>
      <c r="CP114" s="183"/>
      <c r="CQ114" s="183"/>
      <c r="CR114" s="183"/>
      <c r="CS114" s="183"/>
      <c r="CT114" s="183"/>
      <c r="CU114" s="183"/>
      <c r="CV114" s="183"/>
      <c r="CW114" s="183"/>
      <c r="CX114" s="183"/>
      <c r="CY114" s="183"/>
      <c r="CZ114" s="183"/>
      <c r="DA114" s="183"/>
      <c r="DB114" s="183"/>
      <c r="DC114" s="183"/>
      <c r="DD114" s="183"/>
      <c r="DE114" s="183"/>
      <c r="DF114" s="183"/>
      <c r="DG114" s="183"/>
      <c r="DH114" s="183"/>
      <c r="DI114" s="183"/>
      <c r="DJ114" s="183"/>
      <c r="DK114" s="183"/>
      <c r="DL114" s="183"/>
      <c r="DM114" s="183"/>
      <c r="DN114" s="183"/>
      <c r="DO114" s="183"/>
      <c r="DP114" s="183"/>
      <c r="DQ114" s="183"/>
      <c r="DR114" s="183"/>
      <c r="DS114" s="183"/>
      <c r="DT114" s="183"/>
      <c r="DU114" s="183"/>
      <c r="DV114" s="183"/>
      <c r="DW114" s="183"/>
      <c r="DX114" s="183"/>
      <c r="DY114" s="183"/>
      <c r="DZ114" s="183"/>
      <c r="EA114" s="183"/>
      <c r="EB114" s="183"/>
      <c r="EC114" s="183"/>
      <c r="ED114" s="183"/>
      <c r="EE114" s="183"/>
      <c r="EF114" s="183"/>
      <c r="EG114" s="183"/>
      <c r="EH114" s="183"/>
      <c r="EI114" s="183"/>
      <c r="EJ114" s="183"/>
      <c r="EK114" s="183"/>
      <c r="EL114" s="183"/>
      <c r="EM114" s="183"/>
      <c r="EN114" s="183"/>
      <c r="EO114" s="183"/>
      <c r="EP114" s="183"/>
      <c r="EQ114" s="183"/>
      <c r="ER114" s="183"/>
      <c r="ES114" s="183"/>
      <c r="ET114" s="183"/>
      <c r="EU114" s="183"/>
      <c r="EV114" s="183"/>
      <c r="EW114" s="183"/>
      <c r="EX114" s="183"/>
      <c r="EY114" s="183"/>
      <c r="EZ114" s="183"/>
      <c r="FA114" s="183"/>
      <c r="FB114" s="183"/>
      <c r="FC114" s="183"/>
      <c r="FD114" s="183"/>
      <c r="FE114" s="183"/>
      <c r="FF114" s="183"/>
      <c r="FG114" s="183"/>
      <c r="FH114" s="183"/>
      <c r="FI114" s="183"/>
      <c r="FJ114" s="183"/>
      <c r="FK114" s="183"/>
      <c r="FL114" s="183"/>
      <c r="FM114" s="183"/>
      <c r="FN114" s="183"/>
      <c r="FO114" s="183"/>
      <c r="FP114" s="183"/>
      <c r="FQ114" s="183"/>
      <c r="FR114" s="183"/>
      <c r="FS114" s="183"/>
      <c r="FT114" s="183"/>
      <c r="FU114" s="183"/>
      <c r="FV114" s="183"/>
      <c r="FW114" s="183"/>
      <c r="FX114" s="183"/>
      <c r="FY114" s="183"/>
      <c r="FZ114" s="183"/>
      <c r="GA114" s="183"/>
      <c r="GB114" s="183"/>
      <c r="GC114" s="183"/>
      <c r="GD114" s="183"/>
      <c r="GE114" s="183"/>
      <c r="GF114" s="183"/>
      <c r="GG114" s="183"/>
      <c r="GH114" s="183"/>
      <c r="GI114" s="183"/>
      <c r="GJ114" s="183"/>
      <c r="GK114" s="183"/>
      <c r="GL114" s="183"/>
      <c r="GM114" s="183"/>
      <c r="GN114" s="183"/>
      <c r="GO114" s="183"/>
      <c r="GP114" s="183"/>
      <c r="GQ114" s="183"/>
      <c r="GR114" s="183"/>
      <c r="GS114" s="183"/>
      <c r="GT114" s="183"/>
      <c r="GU114" s="183"/>
      <c r="GV114" s="183"/>
      <c r="GW114" s="183"/>
      <c r="GX114" s="183"/>
      <c r="GY114" s="183"/>
      <c r="GZ114" s="183"/>
      <c r="HA114" s="183"/>
      <c r="HB114" s="183"/>
      <c r="HC114" s="183"/>
      <c r="HD114" s="183"/>
      <c r="HE114" s="183"/>
      <c r="HF114" s="183"/>
      <c r="HG114" s="183"/>
      <c r="HH114" s="183"/>
      <c r="HI114" s="183"/>
      <c r="HJ114" s="183"/>
      <c r="HK114" s="183"/>
      <c r="HL114" s="183"/>
      <c r="HM114" s="183"/>
      <c r="HN114" s="183"/>
      <c r="HO114" s="183"/>
      <c r="HP114" s="183"/>
      <c r="HQ114" s="183"/>
      <c r="HR114" s="183"/>
      <c r="HS114" s="183"/>
      <c r="HT114" s="183"/>
      <c r="HU114" s="183"/>
      <c r="HV114" s="183"/>
      <c r="HW114" s="183"/>
      <c r="HX114" s="183"/>
      <c r="HY114" s="183"/>
      <c r="HZ114" s="183"/>
      <c r="IA114" s="183"/>
      <c r="IB114" s="183"/>
      <c r="IC114" s="183"/>
      <c r="ID114" s="183"/>
      <c r="IE114" s="183"/>
      <c r="IF114" s="183"/>
      <c r="IG114" s="183"/>
      <c r="IH114" s="183"/>
      <c r="II114" s="183"/>
      <c r="IJ114" s="183"/>
      <c r="IK114" s="183"/>
      <c r="IL114" s="183"/>
      <c r="IM114" s="183"/>
      <c r="IN114" s="183"/>
      <c r="IO114" s="183"/>
      <c r="IP114" s="183"/>
      <c r="IQ114" s="183"/>
      <c r="IR114" s="183"/>
      <c r="IS114" s="183"/>
      <c r="IT114" s="183"/>
      <c r="IU114" s="183"/>
      <c r="IV114" s="183"/>
    </row>
    <row r="115" ht="15">
      <c r="A115" s="196" t="s">
        <v>513</v>
      </c>
      <c r="B115" s="178">
        <f>C31/SUM(C31:C34)</f>
        <v>0.89049592687482104</v>
      </c>
      <c r="C115" s="178">
        <f>D31/SUM(D31:D34)</f>
        <v>0.93067066119585395</v>
      </c>
      <c r="D115" s="178">
        <f>E31/SUM(E31:E34)</f>
        <v>0.80565620662415605</v>
      </c>
      <c r="E115" s="178">
        <f>F31/SUM(F31:F34)</f>
        <v>0.70056619344961601</v>
      </c>
      <c r="F115" s="273">
        <f>G31/SUM(G31:G34)</f>
        <v>0.63134825721380705</v>
      </c>
      <c r="G115" s="178">
        <f>H31/SUM(H31:H34)</f>
        <v>0.65206991087271304</v>
      </c>
      <c r="H115" s="178">
        <f>I31/SUM(I31:I34)</f>
        <v>0.75974218657234105</v>
      </c>
      <c r="I115" s="262"/>
      <c r="J115" s="267"/>
      <c r="K115" s="267"/>
      <c r="L115" s="267"/>
      <c r="M115" s="267"/>
      <c r="N115" s="267"/>
      <c r="O115" s="267"/>
      <c r="P115" s="267"/>
      <c r="Q115" s="267"/>
      <c r="R115" s="267"/>
      <c r="S115" s="267"/>
      <c r="T115" s="267"/>
      <c r="U115" s="267"/>
      <c r="V115" s="267"/>
      <c r="W115" s="183"/>
      <c r="X115" s="183"/>
      <c r="Y115" s="183"/>
      <c r="Z115" s="183"/>
      <c r="AA115" s="183"/>
      <c r="AB115" s="183"/>
      <c r="AC115" s="183"/>
      <c r="AD115" s="183"/>
      <c r="AE115" s="183"/>
      <c r="AF115" s="183"/>
      <c r="AG115" s="183"/>
      <c r="AH115" s="183"/>
      <c r="AI115" s="183"/>
      <c r="AJ115" s="183"/>
      <c r="AK115" s="183"/>
      <c r="AL115" s="183"/>
      <c r="AM115" s="183"/>
      <c r="AN115" s="183"/>
      <c r="AO115" s="183"/>
      <c r="AP115" s="183"/>
      <c r="AQ115" s="183"/>
      <c r="AR115" s="183"/>
      <c r="AS115" s="183"/>
      <c r="AT115" s="183"/>
      <c r="AU115" s="183"/>
      <c r="AV115" s="183"/>
      <c r="AW115" s="183"/>
      <c r="AX115" s="183"/>
      <c r="AY115" s="183"/>
      <c r="AZ115" s="183"/>
      <c r="BA115" s="183"/>
      <c r="BB115" s="183"/>
      <c r="BC115" s="183"/>
      <c r="BD115" s="183"/>
      <c r="BE115" s="183"/>
      <c r="BF115" s="183"/>
      <c r="BG115" s="183"/>
      <c r="BH115" s="183"/>
      <c r="BI115" s="183"/>
      <c r="BJ115" s="183"/>
      <c r="BK115" s="183"/>
      <c r="BL115" s="183"/>
      <c r="BM115" s="183"/>
      <c r="BN115" s="183"/>
      <c r="BO115" s="183"/>
      <c r="BP115" s="183"/>
      <c r="BQ115" s="183"/>
      <c r="BR115" s="183"/>
      <c r="BS115" s="183"/>
      <c r="BT115" s="183"/>
      <c r="BU115" s="183"/>
      <c r="BV115" s="183"/>
      <c r="BW115" s="183"/>
      <c r="BX115" s="183"/>
      <c r="BY115" s="183"/>
      <c r="BZ115" s="183"/>
      <c r="CA115" s="183"/>
      <c r="CB115" s="183"/>
      <c r="CC115" s="183"/>
      <c r="CD115" s="183"/>
      <c r="CE115" s="183"/>
      <c r="CF115" s="183"/>
      <c r="CG115" s="183"/>
      <c r="CH115" s="183"/>
      <c r="CI115" s="183"/>
      <c r="CJ115" s="183"/>
      <c r="CK115" s="183"/>
      <c r="CL115" s="183"/>
      <c r="CM115" s="183"/>
      <c r="CN115" s="183"/>
      <c r="CO115" s="183"/>
      <c r="CP115" s="183"/>
      <c r="CQ115" s="183"/>
      <c r="CR115" s="183"/>
      <c r="CS115" s="183"/>
      <c r="CT115" s="183"/>
      <c r="CU115" s="183"/>
      <c r="CV115" s="183"/>
      <c r="CW115" s="183"/>
      <c r="CX115" s="183"/>
      <c r="CY115" s="183"/>
      <c r="CZ115" s="183"/>
      <c r="DA115" s="183"/>
      <c r="DB115" s="183"/>
      <c r="DC115" s="183"/>
      <c r="DD115" s="183"/>
      <c r="DE115" s="183"/>
      <c r="DF115" s="183"/>
      <c r="DG115" s="183"/>
      <c r="DH115" s="183"/>
      <c r="DI115" s="183"/>
      <c r="DJ115" s="183"/>
      <c r="DK115" s="183"/>
      <c r="DL115" s="183"/>
      <c r="DM115" s="183"/>
      <c r="DN115" s="183"/>
      <c r="DO115" s="183"/>
      <c r="DP115" s="183"/>
      <c r="DQ115" s="183"/>
      <c r="DR115" s="183"/>
      <c r="DS115" s="183"/>
      <c r="DT115" s="183"/>
      <c r="DU115" s="183"/>
      <c r="DV115" s="183"/>
      <c r="DW115" s="183"/>
      <c r="DX115" s="183"/>
      <c r="DY115" s="183"/>
      <c r="DZ115" s="183"/>
      <c r="EA115" s="183"/>
      <c r="EB115" s="183"/>
      <c r="EC115" s="183"/>
      <c r="ED115" s="183"/>
      <c r="EE115" s="183"/>
      <c r="EF115" s="183"/>
      <c r="EG115" s="183"/>
      <c r="EH115" s="183"/>
      <c r="EI115" s="183"/>
      <c r="EJ115" s="183"/>
      <c r="EK115" s="183"/>
      <c r="EL115" s="183"/>
      <c r="EM115" s="183"/>
      <c r="EN115" s="183"/>
      <c r="EO115" s="183"/>
      <c r="EP115" s="183"/>
      <c r="EQ115" s="183"/>
      <c r="ER115" s="183"/>
      <c r="ES115" s="183"/>
      <c r="ET115" s="183"/>
      <c r="EU115" s="183"/>
      <c r="EV115" s="183"/>
      <c r="EW115" s="183"/>
      <c r="EX115" s="183"/>
      <c r="EY115" s="183"/>
      <c r="EZ115" s="183"/>
      <c r="FA115" s="183"/>
      <c r="FB115" s="183"/>
      <c r="FC115" s="183"/>
      <c r="FD115" s="183"/>
      <c r="FE115" s="183"/>
      <c r="FF115" s="183"/>
      <c r="FG115" s="183"/>
      <c r="FH115" s="183"/>
      <c r="FI115" s="183"/>
      <c r="FJ115" s="183"/>
      <c r="FK115" s="183"/>
      <c r="FL115" s="183"/>
      <c r="FM115" s="183"/>
      <c r="FN115" s="183"/>
      <c r="FO115" s="183"/>
      <c r="FP115" s="183"/>
      <c r="FQ115" s="183"/>
      <c r="FR115" s="183"/>
      <c r="FS115" s="183"/>
      <c r="FT115" s="183"/>
      <c r="FU115" s="183"/>
      <c r="FV115" s="183"/>
      <c r="FW115" s="183"/>
      <c r="FX115" s="183"/>
      <c r="FY115" s="183"/>
      <c r="FZ115" s="183"/>
      <c r="GA115" s="183"/>
      <c r="GB115" s="183"/>
      <c r="GC115" s="183"/>
      <c r="GD115" s="183"/>
      <c r="GE115" s="183"/>
      <c r="GF115" s="183"/>
      <c r="GG115" s="183"/>
      <c r="GH115" s="183"/>
      <c r="GI115" s="183"/>
      <c r="GJ115" s="183"/>
      <c r="GK115" s="183"/>
      <c r="GL115" s="183"/>
      <c r="GM115" s="183"/>
      <c r="GN115" s="183"/>
      <c r="GO115" s="183"/>
      <c r="GP115" s="183"/>
      <c r="GQ115" s="183"/>
      <c r="GR115" s="183"/>
      <c r="GS115" s="183"/>
      <c r="GT115" s="183"/>
      <c r="GU115" s="183"/>
      <c r="GV115" s="183"/>
      <c r="GW115" s="183"/>
      <c r="GX115" s="183"/>
      <c r="GY115" s="183"/>
      <c r="GZ115" s="183"/>
      <c r="HA115" s="183"/>
      <c r="HB115" s="183"/>
      <c r="HC115" s="183"/>
      <c r="HD115" s="183"/>
      <c r="HE115" s="183"/>
      <c r="HF115" s="183"/>
      <c r="HG115" s="183"/>
      <c r="HH115" s="183"/>
      <c r="HI115" s="183"/>
      <c r="HJ115" s="183"/>
      <c r="HK115" s="183"/>
      <c r="HL115" s="183"/>
      <c r="HM115" s="183"/>
      <c r="HN115" s="183"/>
      <c r="HO115" s="183"/>
      <c r="HP115" s="183"/>
      <c r="HQ115" s="183"/>
      <c r="HR115" s="183"/>
      <c r="HS115" s="183"/>
      <c r="HT115" s="183"/>
      <c r="HU115" s="183"/>
      <c r="HV115" s="183"/>
      <c r="HW115" s="183"/>
      <c r="HX115" s="183"/>
      <c r="HY115" s="183"/>
      <c r="HZ115" s="183"/>
      <c r="IA115" s="183"/>
      <c r="IB115" s="183"/>
      <c r="IC115" s="183"/>
      <c r="ID115" s="183"/>
      <c r="IE115" s="183"/>
      <c r="IF115" s="183"/>
      <c r="IG115" s="183"/>
      <c r="IH115" s="183"/>
      <c r="II115" s="183"/>
      <c r="IJ115" s="183"/>
      <c r="IK115" s="183"/>
      <c r="IL115" s="183"/>
      <c r="IM115" s="183"/>
      <c r="IN115" s="183"/>
      <c r="IO115" s="183"/>
      <c r="IP115" s="183"/>
      <c r="IQ115" s="183"/>
      <c r="IR115" s="183"/>
      <c r="IS115" s="183"/>
      <c r="IT115" s="183"/>
      <c r="IU115" s="183"/>
      <c r="IV115" s="183"/>
    </row>
    <row r="116" ht="28.550000000000001">
      <c r="A116" s="196" t="s">
        <v>514</v>
      </c>
      <c r="B116" s="178">
        <f>(бс!C36/бс!C51)</f>
        <v>0.87491576935711102</v>
      </c>
      <c r="C116" s="178">
        <f>(бс!D36/бс!D51)</f>
        <v>0.91648301154559197</v>
      </c>
      <c r="D116" s="178">
        <f>(бс!E36/бс!E51)</f>
        <v>0.792148283090782</v>
      </c>
      <c r="E116" s="178">
        <f>(бс!F36/бс!F51)</f>
        <v>0.68535731544096301</v>
      </c>
      <c r="F116" s="273">
        <f>(бс!G36/бс!G51)</f>
        <v>0.61376361914495303</v>
      </c>
      <c r="G116" s="178">
        <f>(бс!H36/бс!H51)</f>
        <v>0.63019224371085603</v>
      </c>
      <c r="H116" s="178">
        <f>(бс!I36/бс!I51)</f>
        <v>0.731574870318076</v>
      </c>
      <c r="I116" s="262"/>
      <c r="J116" s="267"/>
      <c r="K116" s="267"/>
      <c r="L116" s="267"/>
      <c r="M116" s="267"/>
      <c r="N116" s="267"/>
      <c r="O116" s="267"/>
      <c r="P116" s="267"/>
      <c r="Q116" s="267"/>
      <c r="R116" s="267"/>
      <c r="S116" s="267"/>
      <c r="T116" s="267"/>
      <c r="U116" s="267"/>
      <c r="V116" s="267"/>
      <c r="W116" s="183"/>
      <c r="X116" s="183"/>
      <c r="Y116" s="183"/>
      <c r="Z116" s="183"/>
      <c r="AA116" s="183"/>
      <c r="AB116" s="183"/>
      <c r="AC116" s="183"/>
      <c r="AD116" s="183"/>
      <c r="AE116" s="183"/>
      <c r="AF116" s="183"/>
      <c r="AG116" s="183"/>
      <c r="AH116" s="183"/>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183"/>
      <c r="BR116" s="183"/>
      <c r="BS116" s="183"/>
      <c r="BT116" s="183"/>
      <c r="BU116" s="183"/>
      <c r="BV116" s="183"/>
      <c r="BW116" s="183"/>
      <c r="BX116" s="183"/>
      <c r="BY116" s="183"/>
      <c r="BZ116" s="183"/>
      <c r="CA116" s="183"/>
      <c r="CB116" s="183"/>
      <c r="CC116" s="183"/>
      <c r="CD116" s="183"/>
      <c r="CE116" s="183"/>
      <c r="CF116" s="183"/>
      <c r="CG116" s="183"/>
      <c r="CH116" s="183"/>
      <c r="CI116" s="183"/>
      <c r="CJ116" s="183"/>
      <c r="CK116" s="183"/>
      <c r="CL116" s="183"/>
      <c r="CM116" s="183"/>
      <c r="CN116" s="183"/>
      <c r="CO116" s="183"/>
      <c r="CP116" s="183"/>
      <c r="CQ116" s="183"/>
      <c r="CR116" s="183"/>
      <c r="CS116" s="183"/>
      <c r="CT116" s="183"/>
      <c r="CU116" s="183"/>
      <c r="CV116" s="183"/>
      <c r="CW116" s="183"/>
      <c r="CX116" s="183"/>
      <c r="CY116" s="183"/>
      <c r="CZ116" s="183"/>
      <c r="DA116" s="183"/>
      <c r="DB116" s="183"/>
      <c r="DC116" s="183"/>
      <c r="DD116" s="183"/>
      <c r="DE116" s="183"/>
      <c r="DF116" s="183"/>
      <c r="DG116" s="183"/>
      <c r="DH116" s="183"/>
      <c r="DI116" s="183"/>
      <c r="DJ116" s="183"/>
      <c r="DK116" s="183"/>
      <c r="DL116" s="183"/>
      <c r="DM116" s="183"/>
      <c r="DN116" s="183"/>
      <c r="DO116" s="183"/>
      <c r="DP116" s="183"/>
      <c r="DQ116" s="183"/>
      <c r="DR116" s="183"/>
      <c r="DS116" s="183"/>
      <c r="DT116" s="183"/>
      <c r="DU116" s="183"/>
      <c r="DV116" s="183"/>
      <c r="DW116" s="183"/>
      <c r="DX116" s="183"/>
      <c r="DY116" s="183"/>
      <c r="DZ116" s="183"/>
      <c r="EA116" s="183"/>
      <c r="EB116" s="183"/>
      <c r="EC116" s="183"/>
      <c r="ED116" s="183"/>
      <c r="EE116" s="183"/>
      <c r="EF116" s="183"/>
      <c r="EG116" s="183"/>
      <c r="EH116" s="183"/>
      <c r="EI116" s="183"/>
      <c r="EJ116" s="183"/>
      <c r="EK116" s="183"/>
      <c r="EL116" s="183"/>
      <c r="EM116" s="183"/>
      <c r="EN116" s="183"/>
      <c r="EO116" s="183"/>
      <c r="EP116" s="183"/>
      <c r="EQ116" s="183"/>
      <c r="ER116" s="183"/>
      <c r="ES116" s="183"/>
      <c r="ET116" s="183"/>
      <c r="EU116" s="183"/>
      <c r="EV116" s="183"/>
      <c r="EW116" s="183"/>
      <c r="EX116" s="183"/>
      <c r="EY116" s="183"/>
      <c r="EZ116" s="183"/>
      <c r="FA116" s="183"/>
      <c r="FB116" s="183"/>
      <c r="FC116" s="183"/>
      <c r="FD116" s="183"/>
      <c r="FE116" s="183"/>
      <c r="FF116" s="183"/>
      <c r="FG116" s="183"/>
      <c r="FH116" s="183"/>
      <c r="FI116" s="183"/>
      <c r="FJ116" s="183"/>
      <c r="FK116" s="183"/>
      <c r="FL116" s="183"/>
      <c r="FM116" s="183"/>
      <c r="FN116" s="183"/>
      <c r="FO116" s="183"/>
      <c r="FP116" s="183"/>
      <c r="FQ116" s="183"/>
      <c r="FR116" s="183"/>
      <c r="FS116" s="183"/>
      <c r="FT116" s="183"/>
      <c r="FU116" s="183"/>
      <c r="FV116" s="183"/>
      <c r="FW116" s="183"/>
      <c r="FX116" s="183"/>
      <c r="FY116" s="183"/>
      <c r="FZ116" s="183"/>
      <c r="GA116" s="183"/>
      <c r="GB116" s="183"/>
      <c r="GC116" s="183"/>
      <c r="GD116" s="183"/>
      <c r="GE116" s="183"/>
      <c r="GF116" s="183"/>
      <c r="GG116" s="183"/>
      <c r="GH116" s="183"/>
      <c r="GI116" s="183"/>
      <c r="GJ116" s="183"/>
      <c r="GK116" s="183"/>
      <c r="GL116" s="183"/>
      <c r="GM116" s="183"/>
      <c r="GN116" s="183"/>
      <c r="GO116" s="183"/>
      <c r="GP116" s="183"/>
      <c r="GQ116" s="183"/>
      <c r="GR116" s="183"/>
      <c r="GS116" s="183"/>
      <c r="GT116" s="183"/>
      <c r="GU116" s="183"/>
      <c r="GV116" s="183"/>
      <c r="GW116" s="183"/>
      <c r="GX116" s="183"/>
      <c r="GY116" s="183"/>
      <c r="GZ116" s="183"/>
      <c r="HA116" s="183"/>
      <c r="HB116" s="183"/>
      <c r="HC116" s="183"/>
      <c r="HD116" s="183"/>
      <c r="HE116" s="183"/>
      <c r="HF116" s="183"/>
      <c r="HG116" s="183"/>
      <c r="HH116" s="183"/>
      <c r="HI116" s="183"/>
      <c r="HJ116" s="183"/>
      <c r="HK116" s="183"/>
      <c r="HL116" s="183"/>
      <c r="HM116" s="183"/>
      <c r="HN116" s="183"/>
      <c r="HO116" s="183"/>
      <c r="HP116" s="183"/>
      <c r="HQ116" s="183"/>
      <c r="HR116" s="183"/>
      <c r="HS116" s="183"/>
      <c r="HT116" s="183"/>
      <c r="HU116" s="183"/>
      <c r="HV116" s="183"/>
      <c r="HW116" s="183"/>
      <c r="HX116" s="183"/>
      <c r="HY116" s="183"/>
      <c r="HZ116" s="183"/>
      <c r="IA116" s="183"/>
      <c r="IB116" s="183"/>
      <c r="IC116" s="183"/>
      <c r="ID116" s="183"/>
      <c r="IE116" s="183"/>
      <c r="IF116" s="183"/>
      <c r="IG116" s="183"/>
      <c r="IH116" s="183"/>
      <c r="II116" s="183"/>
      <c r="IJ116" s="183"/>
      <c r="IK116" s="183"/>
      <c r="IL116" s="183"/>
      <c r="IM116" s="183"/>
      <c r="IN116" s="183"/>
      <c r="IO116" s="183"/>
      <c r="IP116" s="183"/>
      <c r="IQ116" s="183"/>
      <c r="IR116" s="183"/>
      <c r="IS116" s="183"/>
      <c r="IT116" s="183"/>
      <c r="IU116" s="183"/>
      <c r="IV116" s="183"/>
    </row>
    <row r="117" ht="12.75">
      <c r="A117" s="183"/>
      <c r="B117" s="183"/>
      <c r="C117" s="183"/>
      <c r="D117" s="183"/>
      <c r="E117" s="183"/>
      <c r="F117" s="183"/>
      <c r="G117" s="183"/>
      <c r="H117" s="183"/>
      <c r="I117" s="183"/>
      <c r="J117" s="183"/>
      <c r="K117" s="183"/>
      <c r="L117" s="183"/>
      <c r="M117" s="183"/>
      <c r="N117" s="183"/>
      <c r="O117" s="183"/>
      <c r="P117" s="183"/>
      <c r="Q117" s="183"/>
      <c r="R117" s="183"/>
      <c r="S117" s="183"/>
      <c r="T117" s="183"/>
      <c r="U117" s="183"/>
      <c r="V117" s="183"/>
      <c r="W117" s="183"/>
      <c r="X117" s="183"/>
      <c r="Y117" s="183"/>
      <c r="Z117" s="183"/>
      <c r="AA117" s="183"/>
      <c r="AB117" s="183"/>
      <c r="AC117" s="183"/>
      <c r="AD117" s="183"/>
      <c r="AE117" s="183"/>
      <c r="AF117" s="183"/>
      <c r="AG117" s="183"/>
      <c r="AH117" s="183"/>
      <c r="AI117" s="64"/>
      <c r="AJ117" s="64"/>
      <c r="AK117" s="64"/>
      <c r="AL117" s="64"/>
      <c r="AM117" s="64"/>
      <c r="AN117" s="64"/>
      <c r="AO117" s="64"/>
      <c r="AP117" s="64"/>
      <c r="AQ117" s="64"/>
      <c r="AR117" s="64"/>
      <c r="AS117" s="64"/>
      <c r="AT117" s="64"/>
      <c r="AU117" s="64"/>
      <c r="AV117" s="64"/>
      <c r="AW117" s="64"/>
      <c r="AX117" s="64"/>
      <c r="AY117" s="64"/>
      <c r="AZ117" s="64"/>
      <c r="BA117" s="64"/>
      <c r="BB117" s="64"/>
      <c r="BC117" s="64"/>
      <c r="BD117" s="64"/>
      <c r="BE117" s="64"/>
      <c r="BF117" s="64"/>
      <c r="BG117" s="64"/>
      <c r="BH117" s="64"/>
      <c r="BI117" s="64"/>
      <c r="BJ117" s="64"/>
      <c r="BK117" s="64"/>
      <c r="BL117" s="64"/>
      <c r="BM117" s="64"/>
      <c r="BN117" s="64"/>
      <c r="BO117" s="64"/>
      <c r="BP117" s="64"/>
      <c r="BQ117" s="183"/>
      <c r="BR117" s="183"/>
      <c r="BS117" s="183"/>
      <c r="BT117" s="183"/>
      <c r="BU117" s="183"/>
      <c r="BV117" s="183"/>
      <c r="BW117" s="183"/>
      <c r="BX117" s="183"/>
      <c r="BY117" s="183"/>
      <c r="BZ117" s="183"/>
      <c r="CA117" s="183"/>
      <c r="CB117" s="183"/>
      <c r="CC117" s="183"/>
      <c r="CD117" s="183"/>
      <c r="CE117" s="183"/>
      <c r="CF117" s="183"/>
      <c r="CG117" s="183"/>
      <c r="CH117" s="183"/>
      <c r="CI117" s="183"/>
      <c r="CJ117" s="183"/>
      <c r="CK117" s="183"/>
      <c r="CL117" s="183"/>
      <c r="CM117" s="183"/>
      <c r="CN117" s="183"/>
      <c r="CO117" s="183"/>
      <c r="CP117" s="183"/>
      <c r="CQ117" s="183"/>
      <c r="CR117" s="183"/>
      <c r="CS117" s="183"/>
      <c r="CT117" s="183"/>
      <c r="CU117" s="183"/>
      <c r="CV117" s="183"/>
      <c r="CW117" s="183"/>
      <c r="CX117" s="183"/>
      <c r="CY117" s="183"/>
      <c r="CZ117" s="183"/>
      <c r="DA117" s="183"/>
      <c r="DB117" s="183"/>
      <c r="DC117" s="183"/>
      <c r="DD117" s="183"/>
      <c r="DE117" s="183"/>
      <c r="DF117" s="183"/>
      <c r="DG117" s="183"/>
      <c r="DH117" s="183"/>
      <c r="DI117" s="183"/>
      <c r="DJ117" s="183"/>
      <c r="DK117" s="183"/>
      <c r="DL117" s="183"/>
      <c r="DM117" s="183"/>
      <c r="DN117" s="183"/>
      <c r="DO117" s="183"/>
      <c r="DP117" s="183"/>
      <c r="DQ117" s="183"/>
      <c r="DR117" s="183"/>
      <c r="DS117" s="183"/>
      <c r="DT117" s="183"/>
      <c r="DU117" s="183"/>
      <c r="DV117" s="183"/>
      <c r="DW117" s="183"/>
      <c r="DX117" s="183"/>
      <c r="DY117" s="183"/>
      <c r="DZ117" s="183"/>
      <c r="EA117" s="183"/>
      <c r="EB117" s="183"/>
      <c r="EC117" s="183"/>
      <c r="ED117" s="183"/>
      <c r="EE117" s="183"/>
      <c r="EF117" s="183"/>
      <c r="EG117" s="183"/>
      <c r="EH117" s="183"/>
      <c r="EI117" s="183"/>
      <c r="EJ117" s="183"/>
      <c r="EK117" s="183"/>
      <c r="EL117" s="183"/>
      <c r="EM117" s="183"/>
      <c r="EN117" s="183"/>
      <c r="EO117" s="183"/>
      <c r="EP117" s="183"/>
      <c r="EQ117" s="183"/>
      <c r="ER117" s="183"/>
      <c r="ES117" s="183"/>
      <c r="ET117" s="183"/>
      <c r="EU117" s="183"/>
      <c r="EV117" s="183"/>
      <c r="EW117" s="183"/>
      <c r="EX117" s="183"/>
      <c r="EY117" s="183"/>
      <c r="EZ117" s="183"/>
      <c r="FA117" s="183"/>
      <c r="FB117" s="183"/>
      <c r="FC117" s="183"/>
      <c r="FD117" s="183"/>
      <c r="FE117" s="183"/>
      <c r="FF117" s="183"/>
      <c r="FG117" s="183"/>
      <c r="FH117" s="183"/>
      <c r="FI117" s="183"/>
      <c r="FJ117" s="183"/>
      <c r="FK117" s="183"/>
      <c r="FL117" s="183"/>
      <c r="FM117" s="183"/>
      <c r="FN117" s="183"/>
      <c r="FO117" s="183"/>
      <c r="FP117" s="183"/>
      <c r="FQ117" s="183"/>
      <c r="FR117" s="183"/>
      <c r="FS117" s="183"/>
      <c r="FT117" s="183"/>
      <c r="FU117" s="183"/>
      <c r="FV117" s="183"/>
      <c r="FW117" s="183"/>
      <c r="FX117" s="183"/>
      <c r="FY117" s="183"/>
      <c r="FZ117" s="183"/>
      <c r="GA117" s="183"/>
      <c r="GB117" s="183"/>
      <c r="GC117" s="183"/>
      <c r="GD117" s="183"/>
      <c r="GE117" s="183"/>
      <c r="GF117" s="183"/>
      <c r="GG117" s="183"/>
      <c r="GH117" s="183"/>
      <c r="GI117" s="183"/>
      <c r="GJ117" s="183"/>
      <c r="GK117" s="183"/>
      <c r="GL117" s="183"/>
      <c r="GM117" s="183"/>
      <c r="GN117" s="183"/>
      <c r="GO117" s="183"/>
      <c r="GP117" s="183"/>
      <c r="GQ117" s="183"/>
      <c r="GR117" s="183"/>
      <c r="GS117" s="183"/>
      <c r="GT117" s="183"/>
      <c r="GU117" s="183"/>
      <c r="GV117" s="183"/>
      <c r="GW117" s="183"/>
      <c r="GX117" s="183"/>
      <c r="GY117" s="183"/>
      <c r="GZ117" s="183"/>
      <c r="HA117" s="183"/>
      <c r="HB117" s="183"/>
      <c r="HC117" s="183"/>
      <c r="HD117" s="183"/>
      <c r="HE117" s="183"/>
      <c r="HF117" s="183"/>
      <c r="HG117" s="183"/>
      <c r="HH117" s="183"/>
      <c r="HI117" s="183"/>
      <c r="HJ117" s="183"/>
      <c r="HK117" s="183"/>
      <c r="HL117" s="183"/>
      <c r="HM117" s="183"/>
      <c r="HN117" s="183"/>
      <c r="HO117" s="183"/>
      <c r="HP117" s="183"/>
      <c r="HQ117" s="183"/>
      <c r="HR117" s="183"/>
      <c r="HS117" s="183"/>
      <c r="HT117" s="183"/>
      <c r="HU117" s="183"/>
      <c r="HV117" s="183"/>
      <c r="HW117" s="183"/>
      <c r="HX117" s="183"/>
      <c r="HY117" s="183"/>
      <c r="HZ117" s="183"/>
      <c r="IA117" s="183"/>
      <c r="IB117" s="183"/>
      <c r="IC117" s="183"/>
      <c r="ID117" s="183"/>
      <c r="IE117" s="183"/>
      <c r="IF117" s="183"/>
      <c r="IG117" s="183"/>
      <c r="IH117" s="183"/>
      <c r="II117" s="183"/>
      <c r="IJ117" s="183"/>
      <c r="IK117" s="183"/>
      <c r="IL117" s="183"/>
      <c r="IM117" s="183"/>
      <c r="IN117" s="183"/>
      <c r="IO117" s="183"/>
      <c r="IP117" s="183"/>
      <c r="IQ117" s="183"/>
      <c r="IR117" s="183"/>
      <c r="IS117" s="183"/>
      <c r="IT117" s="183"/>
      <c r="IU117" s="183"/>
      <c r="IV117" s="183"/>
    </row>
    <row r="129" ht="12.75">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BQ129" s="64"/>
      <c r="BR129" s="64"/>
      <c r="BS129" s="64"/>
      <c r="BT129" s="64"/>
      <c r="BU129" s="64"/>
      <c r="BV129" s="64"/>
      <c r="BW129" s="64"/>
      <c r="BX129" s="64"/>
      <c r="BY129" s="64"/>
      <c r="BZ129" s="64"/>
      <c r="CA129" s="64"/>
      <c r="CB129" s="64"/>
      <c r="CC129" s="64"/>
      <c r="CD129" s="64"/>
      <c r="CE129" s="64"/>
      <c r="CF129" s="64"/>
      <c r="CG129" s="64"/>
      <c r="CH129" s="64"/>
      <c r="CI129" s="64"/>
      <c r="CJ129" s="64"/>
      <c r="CK129" s="64"/>
      <c r="CL129" s="64"/>
      <c r="CM129" s="64"/>
      <c r="CN129" s="64"/>
      <c r="CO129" s="64"/>
      <c r="CP129" s="64"/>
      <c r="CQ129" s="64"/>
      <c r="CR129" s="64"/>
      <c r="CS129" s="64"/>
      <c r="CT129" s="64"/>
      <c r="CU129" s="64"/>
      <c r="CV129" s="64"/>
      <c r="CW129" s="64"/>
      <c r="CX129" s="64"/>
      <c r="CY129" s="64"/>
      <c r="CZ129" s="64"/>
      <c r="DA129" s="64"/>
      <c r="DB129" s="64"/>
      <c r="DC129" s="64"/>
      <c r="DD129" s="64"/>
      <c r="DE129" s="64"/>
      <c r="DF129" s="64"/>
      <c r="DG129" s="64"/>
      <c r="DH129" s="64"/>
      <c r="DI129" s="64"/>
      <c r="DJ129" s="64"/>
      <c r="DK129" s="64"/>
      <c r="DL129" s="64"/>
      <c r="DM129" s="64"/>
      <c r="DN129" s="64"/>
      <c r="DO129" s="64"/>
      <c r="DP129" s="64"/>
      <c r="DQ129" s="64"/>
      <c r="DR129" s="64"/>
      <c r="DS129" s="64"/>
      <c r="DT129" s="64"/>
      <c r="DU129" s="64"/>
      <c r="DV129" s="64"/>
      <c r="DW129" s="64"/>
      <c r="DX129" s="64"/>
      <c r="DY129" s="64"/>
      <c r="DZ129" s="64"/>
      <c r="EA129" s="64"/>
      <c r="EB129" s="64"/>
      <c r="EC129" s="64"/>
      <c r="ED129" s="64"/>
      <c r="EE129" s="64"/>
      <c r="EF129" s="64"/>
      <c r="EG129" s="64"/>
      <c r="EH129" s="64"/>
      <c r="EI129" s="64"/>
      <c r="EJ129" s="64"/>
      <c r="EK129" s="64"/>
      <c r="EL129" s="64"/>
      <c r="EM129" s="64"/>
      <c r="EN129" s="64"/>
      <c r="EO129" s="64"/>
      <c r="EP129" s="64"/>
      <c r="EQ129" s="64"/>
      <c r="ER129" s="64"/>
      <c r="ES129" s="64"/>
      <c r="ET129" s="64"/>
      <c r="EU129" s="64"/>
      <c r="EV129" s="64"/>
      <c r="EW129" s="64"/>
      <c r="EX129" s="64"/>
      <c r="EY129" s="64"/>
      <c r="EZ129" s="64"/>
      <c r="FA129" s="64"/>
      <c r="FB129" s="64"/>
      <c r="FC129" s="64"/>
      <c r="FD129" s="64"/>
      <c r="FE129" s="64"/>
      <c r="FF129" s="64"/>
      <c r="FG129" s="64"/>
      <c r="FH129" s="64"/>
      <c r="FI129" s="64"/>
      <c r="FJ129" s="64"/>
      <c r="FK129" s="64"/>
      <c r="FL129" s="64"/>
      <c r="FM129" s="64"/>
      <c r="FN129" s="64"/>
      <c r="FO129" s="64"/>
      <c r="FP129" s="64"/>
      <c r="FQ129" s="64"/>
      <c r="FR129" s="64"/>
      <c r="FS129" s="64"/>
      <c r="FT129" s="64"/>
      <c r="FU129" s="64"/>
      <c r="FV129" s="64"/>
      <c r="FW129" s="64"/>
      <c r="FX129" s="64"/>
      <c r="FY129" s="64"/>
      <c r="FZ129" s="64"/>
      <c r="GA129" s="64"/>
      <c r="GB129" s="64"/>
      <c r="GC129" s="64"/>
      <c r="GD129" s="64"/>
      <c r="GE129" s="64"/>
      <c r="GF129" s="64"/>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c r="HO129" s="64"/>
      <c r="HP129" s="64"/>
      <c r="HQ129" s="64"/>
      <c r="HR129" s="64"/>
      <c r="HS129" s="64"/>
      <c r="HT129" s="64"/>
      <c r="HU129" s="64"/>
      <c r="HV129" s="64"/>
      <c r="HW129" s="64"/>
      <c r="HX129" s="64"/>
      <c r="HY129" s="64"/>
      <c r="HZ129" s="64"/>
      <c r="IA129" s="64"/>
      <c r="IB129" s="64"/>
      <c r="IC129" s="64"/>
      <c r="ID129" s="64"/>
      <c r="IE129" s="64"/>
      <c r="IF129" s="64"/>
      <c r="IG129" s="64"/>
      <c r="IH129" s="64"/>
      <c r="II129" s="64"/>
      <c r="IJ129" s="64"/>
      <c r="IK129" s="64"/>
      <c r="IL129" s="64"/>
      <c r="IM129" s="64"/>
      <c r="IN129" s="64"/>
      <c r="IO129" s="64"/>
      <c r="IP129" s="64"/>
      <c r="IQ129" s="64"/>
      <c r="IR129" s="64"/>
      <c r="IS129" s="64"/>
      <c r="IT129" s="64"/>
      <c r="IU129" s="64"/>
      <c r="IV129" s="64"/>
    </row>
  </sheetData>
  <mergeCells count="178">
    <mergeCell ref="A2:A4"/>
    <mergeCell ref="B2:B4"/>
    <mergeCell ref="C2:J3"/>
    <mergeCell ref="K2:R3"/>
    <mergeCell ref="S2:AM2"/>
    <mergeCell ref="S3:U3"/>
    <mergeCell ref="V3:X3"/>
    <mergeCell ref="Y3:AA3"/>
    <mergeCell ref="AB3:AD3"/>
    <mergeCell ref="AE3:AG3"/>
    <mergeCell ref="AH3:AJ3"/>
    <mergeCell ref="AK3:AM3"/>
    <mergeCell ref="A21:A23"/>
    <mergeCell ref="B21:B23"/>
    <mergeCell ref="C21:I22"/>
    <mergeCell ref="J21:P22"/>
    <mergeCell ref="Q21:AH21"/>
    <mergeCell ref="Q22:S22"/>
    <mergeCell ref="T22:V22"/>
    <mergeCell ref="W22:Y22"/>
    <mergeCell ref="Z22:AB22"/>
    <mergeCell ref="AC22:AE22"/>
    <mergeCell ref="AF22:AH22"/>
    <mergeCell ref="A41:A42"/>
    <mergeCell ref="B41:F41"/>
    <mergeCell ref="G41:K41"/>
    <mergeCell ref="L41:P41"/>
    <mergeCell ref="Q41:U41"/>
    <mergeCell ref="V41:Z41"/>
    <mergeCell ref="AA41:AE41"/>
    <mergeCell ref="D42:F42"/>
    <mergeCell ref="I42:K42"/>
    <mergeCell ref="N42:P42"/>
    <mergeCell ref="S42:U42"/>
    <mergeCell ref="X42:Z42"/>
    <mergeCell ref="AC42:AE42"/>
    <mergeCell ref="C43:C47"/>
    <mergeCell ref="D43:F43"/>
    <mergeCell ref="H43:H47"/>
    <mergeCell ref="I43:K43"/>
    <mergeCell ref="M43:M47"/>
    <mergeCell ref="N43:P43"/>
    <mergeCell ref="R43:R47"/>
    <mergeCell ref="S43:U43"/>
    <mergeCell ref="W43:W47"/>
    <mergeCell ref="X43:Z43"/>
    <mergeCell ref="AB43:AB47"/>
    <mergeCell ref="AC43:AE43"/>
    <mergeCell ref="D44:F44"/>
    <mergeCell ref="I44:K44"/>
    <mergeCell ref="N44:P44"/>
    <mergeCell ref="S44:U44"/>
    <mergeCell ref="X44:Z44"/>
    <mergeCell ref="AC44:AE44"/>
    <mergeCell ref="D45:F45"/>
    <mergeCell ref="I45:K45"/>
    <mergeCell ref="N45:P45"/>
    <mergeCell ref="S45:U45"/>
    <mergeCell ref="X45:Z45"/>
    <mergeCell ref="AC45:AE45"/>
    <mergeCell ref="D46:F46"/>
    <mergeCell ref="I46:K46"/>
    <mergeCell ref="N46:P46"/>
    <mergeCell ref="S46:U46"/>
    <mergeCell ref="X46:Z46"/>
    <mergeCell ref="AC46:AE46"/>
    <mergeCell ref="D47:F47"/>
    <mergeCell ref="I47:K47"/>
    <mergeCell ref="N47:P47"/>
    <mergeCell ref="S47:U47"/>
    <mergeCell ref="X47:Z47"/>
    <mergeCell ref="AC47:AE47"/>
    <mergeCell ref="A49:A52"/>
    <mergeCell ref="B49:AE52"/>
    <mergeCell ref="A55:A56"/>
    <mergeCell ref="B55:F55"/>
    <mergeCell ref="G55:K55"/>
    <mergeCell ref="L55:P55"/>
    <mergeCell ref="Q55:U55"/>
    <mergeCell ref="V55:Z55"/>
    <mergeCell ref="AA55:AE55"/>
    <mergeCell ref="D56:F56"/>
    <mergeCell ref="I56:K56"/>
    <mergeCell ref="N56:P56"/>
    <mergeCell ref="S56:U56"/>
    <mergeCell ref="X56:Z56"/>
    <mergeCell ref="AC56:AE56"/>
    <mergeCell ref="C57:C61"/>
    <mergeCell ref="D57:F57"/>
    <mergeCell ref="H57:H61"/>
    <mergeCell ref="I57:K57"/>
    <mergeCell ref="M57:M61"/>
    <mergeCell ref="N57:P57"/>
    <mergeCell ref="R57:R61"/>
    <mergeCell ref="S57:U57"/>
    <mergeCell ref="W57:W61"/>
    <mergeCell ref="X57:Z57"/>
    <mergeCell ref="AB57:AB61"/>
    <mergeCell ref="AC57:AE57"/>
    <mergeCell ref="D58:F58"/>
    <mergeCell ref="I58:K58"/>
    <mergeCell ref="N58:P58"/>
    <mergeCell ref="S58:U58"/>
    <mergeCell ref="X58:Z58"/>
    <mergeCell ref="AC58:AE58"/>
    <mergeCell ref="D59:F59"/>
    <mergeCell ref="I59:K59"/>
    <mergeCell ref="N59:P59"/>
    <mergeCell ref="S59:U59"/>
    <mergeCell ref="X59:Z59"/>
    <mergeCell ref="AC59:AE59"/>
    <mergeCell ref="D60:F60"/>
    <mergeCell ref="I60:K60"/>
    <mergeCell ref="N60:P60"/>
    <mergeCell ref="S60:U60"/>
    <mergeCell ref="X60:Z60"/>
    <mergeCell ref="AC60:AE60"/>
    <mergeCell ref="D61:F61"/>
    <mergeCell ref="I61:K61"/>
    <mergeCell ref="N61:P61"/>
    <mergeCell ref="S61:U61"/>
    <mergeCell ref="X61:Z61"/>
    <mergeCell ref="AC61:AE61"/>
    <mergeCell ref="A63:A66"/>
    <mergeCell ref="B63:AE66"/>
    <mergeCell ref="A69:A70"/>
    <mergeCell ref="B69:F69"/>
    <mergeCell ref="G69:K69"/>
    <mergeCell ref="L69:P69"/>
    <mergeCell ref="Q69:U69"/>
    <mergeCell ref="V69:Z69"/>
    <mergeCell ref="AA69:AE69"/>
    <mergeCell ref="D70:F70"/>
    <mergeCell ref="I70:K70"/>
    <mergeCell ref="N70:P70"/>
    <mergeCell ref="S70:U70"/>
    <mergeCell ref="X70:Z70"/>
    <mergeCell ref="AC70:AE70"/>
    <mergeCell ref="C71:C74"/>
    <mergeCell ref="D71:F71"/>
    <mergeCell ref="H71:H74"/>
    <mergeCell ref="I71:K71"/>
    <mergeCell ref="M71:M74"/>
    <mergeCell ref="N71:P71"/>
    <mergeCell ref="R71:R74"/>
    <mergeCell ref="S71:U71"/>
    <mergeCell ref="W71:W74"/>
    <mergeCell ref="X71:Z71"/>
    <mergeCell ref="AB71:AB74"/>
    <mergeCell ref="AC71:AE71"/>
    <mergeCell ref="D72:F72"/>
    <mergeCell ref="I72:K72"/>
    <mergeCell ref="N72:P72"/>
    <mergeCell ref="S72:U72"/>
    <mergeCell ref="X72:Z72"/>
    <mergeCell ref="AC72:AE72"/>
    <mergeCell ref="D73:F73"/>
    <mergeCell ref="I73:K73"/>
    <mergeCell ref="N73:P73"/>
    <mergeCell ref="S73:U73"/>
    <mergeCell ref="X73:Z73"/>
    <mergeCell ref="AC73:AE73"/>
    <mergeCell ref="D74:F74"/>
    <mergeCell ref="I74:K74"/>
    <mergeCell ref="N74:P74"/>
    <mergeCell ref="S74:U74"/>
    <mergeCell ref="X74:Z74"/>
    <mergeCell ref="AC74:AE74"/>
    <mergeCell ref="A76:A79"/>
    <mergeCell ref="B76:AE79"/>
    <mergeCell ref="I91:I94"/>
    <mergeCell ref="J91:V94"/>
    <mergeCell ref="I98:I101"/>
    <mergeCell ref="J98:V101"/>
    <mergeCell ref="J103:V111"/>
    <mergeCell ref="I105:I109"/>
    <mergeCell ref="I113:I116"/>
    <mergeCell ref="J113:V116"/>
  </mergeCells>
  <printOptions headings="0" gridLines="0" horizontalCentered="0" verticalCentered="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drawing r:id="rId1"/>
  <extLst>
    <ext xmlns:x14="http://schemas.microsoft.com/office/spreadsheetml/2009/9/main" uri="{78C0D931-6437-407d-A8EE-F0AAD7539E65}">
      <x14:conditionalFormattings>
        <x14:conditionalFormatting xmlns:xm="http://schemas.microsoft.com/office/excel/2006/main">
          <x14:cfRule type="cellIs" priority="2" operator="greaterThan" id="{002B00EE-003C-4884-A0B8-00D300B80052}">
            <xm:f>$C$43</xm:f>
            <x14:dxf>
              <fill>
                <patternFill patternType="solid">
                  <fgColor rgb="FFFFC7CE"/>
                  <bgColor rgb="FFFFC7CE"/>
                </patternFill>
              </fill>
            </x14:dxf>
          </x14:cfRule>
          <xm:sqref>B43:B47</xm:sqref>
        </x14:conditionalFormatting>
        <x14:conditionalFormatting xmlns:xm="http://schemas.microsoft.com/office/excel/2006/main">
          <x14:cfRule type="cellIs" priority="3" operator="lessThan" id="{00E10099-0076-4755-BFF0-00DF008900FD}">
            <xm:f>$C$57</xm:f>
            <x14:dxf>
              <font>
                <color rgb="FF9C0006"/>
              </font>
              <fill>
                <patternFill patternType="solid">
                  <fgColor rgb="FFFFC7CE"/>
                  <bgColor rgb="FFFFC7CE"/>
                </patternFill>
              </fill>
            </x14:dxf>
          </x14:cfRule>
          <xm:sqref>B57:B58</xm:sqref>
        </x14:conditionalFormatting>
        <x14:conditionalFormatting xmlns:xm="http://schemas.microsoft.com/office/excel/2006/main">
          <x14:cfRule type="cellIs" priority="4" operator="greaterThan" id="{00890045-00A6-49AC-A78D-0057009A00EE}">
            <xm:f>$C$57</xm:f>
            <x14:dxf>
              <font>
                <color rgb="FF9C0006"/>
              </font>
              <fill>
                <patternFill patternType="solid">
                  <fgColor rgb="FFFFC7CE"/>
                  <bgColor rgb="FFFFC7CE"/>
                </patternFill>
              </fill>
            </x14:dxf>
          </x14:cfRule>
          <xm:sqref>B59:B61</xm:sqref>
        </x14:conditionalFormatting>
        <x14:conditionalFormatting xmlns:xm="http://schemas.microsoft.com/office/excel/2006/main">
          <x14:cfRule type="cellIs" priority="5" operator="lessThan" id="{00BC00D5-00C3-4C6A-8BD1-005200610061}">
            <xm:f>0</xm:f>
            <x14:dxf>
              <fill>
                <patternFill patternType="solid">
                  <fgColor rgb="FFFFC7CE"/>
                  <bgColor rgb="FFFFC7CE"/>
                </patternFill>
              </fill>
            </x14:dxf>
          </x14:cfRule>
          <xm:sqref>B71</xm:sqref>
        </x14:conditionalFormatting>
        <x14:conditionalFormatting xmlns:xm="http://schemas.microsoft.com/office/excel/2006/main">
          <x14:cfRule type="cellIs" priority="6" operator="greaterThan" id="{00E1002B-00F1-49E4-B7A6-000300A8007B}">
            <xm:f>$C$71</xm:f>
            <x14:dxf>
              <fill>
                <patternFill patternType="solid">
                  <fgColor rgb="FFFFC7CE"/>
                  <bgColor rgb="FFFFC7CE"/>
                </patternFill>
              </fill>
            </x14:dxf>
          </x14:cfRule>
          <xm:sqref>B72:B74</xm:sqref>
        </x14:conditionalFormatting>
        <x14:conditionalFormatting xmlns:xm="http://schemas.microsoft.com/office/excel/2006/main">
          <x14:cfRule type="cellIs" priority="7" operator="greaterThan" id="{006F00B1-00CF-4980-9F03-0036000A007A}">
            <xm:f>$H$43</xm:f>
            <x14:dxf>
              <fill>
                <patternFill patternType="solid">
                  <fgColor rgb="FFFFC7CE"/>
                  <bgColor rgb="FFFFC7CE"/>
                </patternFill>
              </fill>
            </x14:dxf>
          </x14:cfRule>
          <xm:sqref>G43:G47</xm:sqref>
        </x14:conditionalFormatting>
        <x14:conditionalFormatting xmlns:xm="http://schemas.microsoft.com/office/excel/2006/main">
          <x14:cfRule type="cellIs" priority="8" operator="lessThan" id="{0010009E-00A5-41AE-AF3E-006000080069}">
            <xm:f>$H$57</xm:f>
            <x14:dxf>
              <font>
                <color rgb="FF9C0006"/>
              </font>
              <fill>
                <patternFill patternType="solid">
                  <fgColor rgb="FFFFC7CE"/>
                  <bgColor rgb="FFFFC7CE"/>
                </patternFill>
              </fill>
            </x14:dxf>
          </x14:cfRule>
          <xm:sqref>G57:G58</xm:sqref>
        </x14:conditionalFormatting>
        <x14:conditionalFormatting xmlns:xm="http://schemas.microsoft.com/office/excel/2006/main">
          <x14:cfRule type="cellIs" priority="9" operator="greaterThan" id="{002F002D-00F7-4DB3-95EA-002200F00006}">
            <xm:f>$H$57</xm:f>
            <x14:dxf>
              <font>
                <color rgb="FF9C0006"/>
              </font>
              <fill>
                <patternFill patternType="solid">
                  <fgColor rgb="FFFFC7CE"/>
                  <bgColor rgb="FFFFC7CE"/>
                </patternFill>
              </fill>
            </x14:dxf>
          </x14:cfRule>
          <xm:sqref>G59:G61</xm:sqref>
        </x14:conditionalFormatting>
        <x14:conditionalFormatting xmlns:xm="http://schemas.microsoft.com/office/excel/2006/main">
          <x14:cfRule type="cellIs" priority="10" operator="lessThan" id="{009C0065-0059-4122-94C4-002E0030009F}">
            <xm:f>0</xm:f>
            <x14:dxf>
              <fill>
                <patternFill patternType="solid">
                  <fgColor rgb="FFFFC7CE"/>
                  <bgColor rgb="FFFFC7CE"/>
                </patternFill>
              </fill>
            </x14:dxf>
          </x14:cfRule>
          <xm:sqref>G71</xm:sqref>
        </x14:conditionalFormatting>
        <x14:conditionalFormatting xmlns:xm="http://schemas.microsoft.com/office/excel/2006/main">
          <x14:cfRule type="cellIs" priority="11" operator="greaterThan" id="{00D30053-001D-466A-B230-006C009B0064}">
            <xm:f>$H$71</xm:f>
            <x14:dxf>
              <fill>
                <patternFill patternType="solid">
                  <fgColor rgb="FFFFC7CE"/>
                  <bgColor rgb="FFFFC7CE"/>
                </patternFill>
              </fill>
            </x14:dxf>
          </x14:cfRule>
          <xm:sqref>G72:G74</xm:sqref>
        </x14:conditionalFormatting>
        <x14:conditionalFormatting xmlns:xm="http://schemas.microsoft.com/office/excel/2006/main">
          <x14:cfRule type="cellIs" priority="12" operator="greaterThan" id="{005F00E4-0087-4358-BBCC-00E800B30025}">
            <xm:f>$M$43</xm:f>
            <x14:dxf>
              <fill>
                <patternFill patternType="solid">
                  <fgColor rgb="FFFFC7CE"/>
                  <bgColor rgb="FFFFC7CE"/>
                </patternFill>
              </fill>
            </x14:dxf>
          </x14:cfRule>
          <xm:sqref>L43:L47</xm:sqref>
        </x14:conditionalFormatting>
        <x14:conditionalFormatting xmlns:xm="http://schemas.microsoft.com/office/excel/2006/main">
          <x14:cfRule type="cellIs" priority="13" operator="lessThan" id="{009D005A-00FC-4DFE-B561-00CF00060077}">
            <xm:f>$M$57</xm:f>
            <x14:dxf>
              <font>
                <color rgb="FF9C0006"/>
              </font>
              <fill>
                <patternFill patternType="solid">
                  <fgColor rgb="FFFFC7CE"/>
                  <bgColor rgb="FFFFC7CE"/>
                </patternFill>
              </fill>
            </x14:dxf>
          </x14:cfRule>
          <xm:sqref>L57:L58</xm:sqref>
        </x14:conditionalFormatting>
        <x14:conditionalFormatting xmlns:xm="http://schemas.microsoft.com/office/excel/2006/main">
          <x14:cfRule type="cellIs" priority="14" operator="greaterThan" id="{004600EB-0087-4EE2-87B9-00210088002D}">
            <xm:f>$M$57</xm:f>
            <x14:dxf>
              <font>
                <color rgb="FF9C0006"/>
              </font>
              <fill>
                <patternFill patternType="solid">
                  <fgColor rgb="FFFFC7CE"/>
                  <bgColor rgb="FFFFC7CE"/>
                </patternFill>
              </fill>
            </x14:dxf>
          </x14:cfRule>
          <xm:sqref>L59:L61</xm:sqref>
        </x14:conditionalFormatting>
        <x14:conditionalFormatting xmlns:xm="http://schemas.microsoft.com/office/excel/2006/main">
          <x14:cfRule type="cellIs" priority="15" operator="lessThan" id="{009B0060-007E-4875-BCE7-002A00580022}">
            <xm:f>0</xm:f>
            <x14:dxf>
              <fill>
                <patternFill patternType="solid">
                  <fgColor rgb="FFFFC7CE"/>
                  <bgColor rgb="FFFFC7CE"/>
                </patternFill>
              </fill>
            </x14:dxf>
          </x14:cfRule>
          <xm:sqref>L71</xm:sqref>
        </x14:conditionalFormatting>
        <x14:conditionalFormatting xmlns:xm="http://schemas.microsoft.com/office/excel/2006/main">
          <x14:cfRule type="cellIs" priority="16" operator="greaterThan" id="{004700E9-0053-49D0-BCA0-006F00490031}">
            <xm:f>$M$71</xm:f>
            <x14:dxf>
              <fill>
                <patternFill patternType="solid">
                  <fgColor rgb="FFFFC7CE"/>
                  <bgColor rgb="FFFFC7CE"/>
                </patternFill>
              </fill>
            </x14:dxf>
          </x14:cfRule>
          <xm:sqref>L72:L74</xm:sqref>
        </x14:conditionalFormatting>
        <x14:conditionalFormatting xmlns:xm="http://schemas.microsoft.com/office/excel/2006/main">
          <x14:cfRule type="cellIs" priority="17" operator="greaterThan" id="{00E200F5-00CC-42B5-899B-007200B80059}">
            <xm:f>$R$43</xm:f>
            <x14:dxf>
              <fill>
                <patternFill patternType="solid">
                  <fgColor rgb="FFFFC7CE"/>
                  <bgColor rgb="FFFFC7CE"/>
                </patternFill>
              </fill>
            </x14:dxf>
          </x14:cfRule>
          <xm:sqref>Q43:Q47</xm:sqref>
        </x14:conditionalFormatting>
        <x14:conditionalFormatting xmlns:xm="http://schemas.microsoft.com/office/excel/2006/main">
          <x14:cfRule type="cellIs" priority="18" operator="lessThan" id="{00C0007D-001C-4F9D-8F46-003100160055}">
            <xm:f>$R$57</xm:f>
            <x14:dxf>
              <fill>
                <patternFill patternType="solid">
                  <fgColor rgb="FFFFC7CE"/>
                  <bgColor rgb="FFFFC7CE"/>
                </patternFill>
              </fill>
            </x14:dxf>
          </x14:cfRule>
          <xm:sqref>Q57:Q58</xm:sqref>
        </x14:conditionalFormatting>
        <x14:conditionalFormatting xmlns:xm="http://schemas.microsoft.com/office/excel/2006/main">
          <x14:cfRule type="cellIs" priority="19" operator="greaterThan" id="{00570085-00AD-4A25-801F-004D00A70074}">
            <xm:f>$R$57</xm:f>
            <x14:dxf>
              <fill>
                <patternFill patternType="solid">
                  <fgColor rgb="FFFFC7CE"/>
                  <bgColor rgb="FFFFC7CE"/>
                </patternFill>
              </fill>
            </x14:dxf>
          </x14:cfRule>
          <xm:sqref>Q59:Q61</xm:sqref>
        </x14:conditionalFormatting>
        <x14:conditionalFormatting xmlns:xm="http://schemas.microsoft.com/office/excel/2006/main">
          <x14:cfRule type="cellIs" priority="20" operator="lessThan" id="{00A0000E-00CA-4047-B066-00E100F400F6}">
            <xm:f>0</xm:f>
            <x14:dxf>
              <fill>
                <patternFill patternType="solid">
                  <fgColor rgb="FFFFC7CE"/>
                  <bgColor rgb="FFFFC7CE"/>
                </patternFill>
              </fill>
            </x14:dxf>
          </x14:cfRule>
          <xm:sqref>Q71</xm:sqref>
        </x14:conditionalFormatting>
        <x14:conditionalFormatting xmlns:xm="http://schemas.microsoft.com/office/excel/2006/main">
          <x14:cfRule type="cellIs" priority="21" operator="greaterThan" id="{00A20019-00ED-424D-BFA2-00F800800082}">
            <xm:f>$R$71</xm:f>
            <x14:dxf>
              <fill>
                <patternFill patternType="solid">
                  <fgColor rgb="FFFFC7CE"/>
                  <bgColor rgb="FFFFC7CE"/>
                </patternFill>
              </fill>
            </x14:dxf>
          </x14:cfRule>
          <xm:sqref>Q72:Q74</xm:sqref>
        </x14:conditionalFormatting>
        <x14:conditionalFormatting xmlns:xm="http://schemas.microsoft.com/office/excel/2006/main">
          <x14:cfRule type="cellIs" priority="22" operator="greaterThan" id="{00DB0061-0056-4067-A465-00D9004A0003}">
            <xm:f>$W$43</xm:f>
            <x14:dxf>
              <fill>
                <patternFill patternType="solid">
                  <fgColor rgb="FFFFC7CE"/>
                  <bgColor rgb="FFFFC7CE"/>
                </patternFill>
              </fill>
            </x14:dxf>
          </x14:cfRule>
          <xm:sqref>V43:V47</xm:sqref>
        </x14:conditionalFormatting>
        <x14:conditionalFormatting xmlns:xm="http://schemas.microsoft.com/office/excel/2006/main">
          <x14:cfRule type="cellIs" priority="23" operator="lessThan" id="{0052007A-004A-495B-AC87-00C500AE00FD}">
            <xm:f>$W$57</xm:f>
            <x14:dxf>
              <fill>
                <patternFill patternType="solid">
                  <fgColor rgb="FFFFC7CE"/>
                  <bgColor rgb="FFFFC7CE"/>
                </patternFill>
              </fill>
            </x14:dxf>
          </x14:cfRule>
          <xm:sqref>V57:V58</xm:sqref>
        </x14:conditionalFormatting>
        <x14:conditionalFormatting xmlns:xm="http://schemas.microsoft.com/office/excel/2006/main">
          <x14:cfRule type="cellIs" priority="24" operator="greaterThan" id="{00A70026-0026-4725-A028-0018005B003E}">
            <xm:f>$W$57</xm:f>
            <x14:dxf>
              <fill>
                <patternFill patternType="solid">
                  <fgColor rgb="FFFFC7CE"/>
                  <bgColor rgb="FFFFC7CE"/>
                </patternFill>
              </fill>
            </x14:dxf>
          </x14:cfRule>
          <xm:sqref>V59:V61</xm:sqref>
        </x14:conditionalFormatting>
        <x14:conditionalFormatting xmlns:xm="http://schemas.microsoft.com/office/excel/2006/main">
          <x14:cfRule type="cellIs" priority="25" operator="lessThan" id="{000E0096-00F8-4C0B-94AE-00DF001E00A7}">
            <xm:f>0</xm:f>
            <x14:dxf>
              <fill>
                <patternFill patternType="solid">
                  <fgColor rgb="FFFFC7CE"/>
                  <bgColor rgb="FFFFC7CE"/>
                </patternFill>
              </fill>
            </x14:dxf>
          </x14:cfRule>
          <xm:sqref>V71</xm:sqref>
        </x14:conditionalFormatting>
        <x14:conditionalFormatting xmlns:xm="http://schemas.microsoft.com/office/excel/2006/main">
          <x14:cfRule type="cellIs" priority="26" operator="greaterThan" id="{00C20085-0010-43C5-9A02-00AF006F0043}">
            <xm:f>$W$71</xm:f>
            <x14:dxf>
              <fill>
                <patternFill patternType="solid">
                  <fgColor rgb="FFFFC7CE"/>
                  <bgColor rgb="FFFFC7CE"/>
                </patternFill>
              </fill>
            </x14:dxf>
          </x14:cfRule>
          <xm:sqref>V72:V74</xm:sqref>
        </x14:conditionalFormatting>
        <x14:conditionalFormatting xmlns:xm="http://schemas.microsoft.com/office/excel/2006/main">
          <x14:cfRule type="cellIs" priority="27" operator="greaterThan" id="{00D4006C-005F-4795-9AE5-00E5004B00BE}">
            <xm:f>$AB$43</xm:f>
            <x14:dxf>
              <fill>
                <patternFill patternType="solid">
                  <fgColor rgb="FFFFC7CE"/>
                  <bgColor rgb="FFFFC7CE"/>
                </patternFill>
              </fill>
            </x14:dxf>
          </x14:cfRule>
          <xm:sqref>AA43:AA47</xm:sqref>
        </x14:conditionalFormatting>
        <x14:conditionalFormatting xmlns:xm="http://schemas.microsoft.com/office/excel/2006/main">
          <x14:cfRule type="cellIs" priority="28" operator="lessThan" id="{00520087-007F-4EAB-9ED9-0059008400BA}">
            <xm:f>$AB$57</xm:f>
            <x14:dxf>
              <fill>
                <patternFill patternType="solid">
                  <fgColor rgb="FFFFC7CE"/>
                  <bgColor rgb="FFFFC7CE"/>
                </patternFill>
              </fill>
            </x14:dxf>
          </x14:cfRule>
          <xm:sqref>AA57:AA58</xm:sqref>
        </x14:conditionalFormatting>
        <x14:conditionalFormatting xmlns:xm="http://schemas.microsoft.com/office/excel/2006/main">
          <x14:cfRule type="cellIs" priority="29" operator="greaterThan" id="{00A100B7-00DC-465E-9A7B-00460066009D}">
            <xm:f>$AB$57</xm:f>
            <x14:dxf>
              <fill>
                <patternFill patternType="solid">
                  <fgColor rgb="FFFFC7CE"/>
                  <bgColor rgb="FFFFC7CE"/>
                </patternFill>
              </fill>
            </x14:dxf>
          </x14:cfRule>
          <xm:sqref>AA59:AA61</xm:sqref>
        </x14:conditionalFormatting>
        <x14:conditionalFormatting xmlns:xm="http://schemas.microsoft.com/office/excel/2006/main">
          <x14:cfRule type="cellIs" priority="30" operator="lessThan" id="{003500D2-00D1-4577-959D-004B0066004B}">
            <xm:f>0</xm:f>
            <x14:dxf>
              <fill>
                <patternFill patternType="solid">
                  <fgColor rgb="FFFFC7CE"/>
                  <bgColor rgb="FFFFC7CE"/>
                </patternFill>
              </fill>
            </x14:dxf>
          </x14:cfRule>
          <xm:sqref>AA71</xm:sqref>
        </x14:conditionalFormatting>
        <x14:conditionalFormatting xmlns:xm="http://schemas.microsoft.com/office/excel/2006/main">
          <x14:cfRule type="cellIs" priority="31" operator="greaterThan" id="{00D20085-00BB-4417-8AAC-004F00B8001C}">
            <xm:f>$AB$71</xm:f>
            <x14:dxf>
              <fill>
                <patternFill patternType="solid">
                  <fgColor rgb="FFFFC7CE"/>
                  <bgColor rgb="FFFFC7CE"/>
                </patternFill>
              </fill>
            </x14:dxf>
          </x14:cfRule>
          <xm:sqref>AA72:AA74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emplate/>
  <Application>ONLYOFFICE/9.3.1.8</Application>
  <HeadingPairs>
    <vt:vector size="0" baseType="variant"/>
  </HeadingPairs>
  <TitlesOfParts>
    <vt:vector size="0" baseType="lpstr"/>
  </TitlesOfParts>
  <Company>Unknown Organization</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Unknown User</dc:creator>
  <dc:description/>
  <dc:language>ru-RU</dc:language>
  <cp:revision>8</cp:revision>
  <dcterms:created xsi:type="dcterms:W3CDTF">1999-04-30T04:04:34Z</dcterms:created>
  <dcterms:modified xsi:type="dcterms:W3CDTF">2026-04-07T08:44:43Z</dcterms:modified>
</cp:coreProperties>
</file>