
<file path=[Content_Types].xml><?xml version="1.0" encoding="utf-8"?>
<Types xmlns="http://schemas.openxmlformats.org/package/2006/content-types">
  <Default Extension="jpg" ContentType="image/jpe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6.xml" ContentType="application/vnd.openxmlformats-officedocument.spreadsheetml.worksheet+xml"/>
  <Override PartName="/xl/worksheets/sheet5.xml" ContentType="application/vnd.openxmlformats-officedocument.spreadsheetml.worksheet+xml"/>
  <Override PartName="/xl/charts/chart14.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style1.xml" ContentType="application/vnd.ms-office.chart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externalLinks/externalLink2.xml" ContentType="application/vnd.openxmlformats-officedocument.spreadsheetml.externalLink+xml"/>
  <Override PartName="/xl/charts/chart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2.xml" ContentType="application/vnd.openxmlformats-officedocument.drawingml.chart+xml"/>
  <Override PartName="/docProps/app.xml" ContentType="application/vnd.openxmlformats-officedocument.extended-properties+xml"/>
  <Override PartName="/xl/charts/style2.xml" ContentType="application/vnd.ms-office.chartstyle+xml"/>
  <Override PartName="/xl/worksheets/sheet11.xml" ContentType="application/vnd.openxmlformats-officedocument.spreadsheetml.worksheet+xml"/>
  <Override PartName="/xl/styles.xml" ContentType="application/vnd.openxmlformats-officedocument.spreadsheetml.styles+xml"/>
  <Override PartName="/xl/charts/colors2.xml" ContentType="application/vnd.ms-office.chartcolorstyle+xml"/>
  <Override PartName="/xl/charts/colors1.xml" ContentType="application/vnd.ms-office.chartcolorstyle+xml"/>
  <Override PartName="/xl/charts/chart1.xml" ContentType="application/vnd.openxmlformats-officedocument.drawingml.chart+xml"/>
  <Override PartName="/xl/charts/chart6.xml" ContentType="application/vnd.openxmlformats-officedocument.drawingml.chart+xml"/>
  <Override PartName="/xl/worksheets/sheet8.xml" ContentType="application/vnd.openxmlformats-officedocument.spreadsheetml.worksheet+xml"/>
  <Override PartName="/xl/charts/chart15.xml" ContentType="application/vnd.openxmlformats-officedocument.drawingml.chart+xml"/>
  <Override PartName="/xl/workbook.xml" ContentType="application/vnd.openxmlformats-officedocument.spreadsheetml.sheet.main+xml"/>
  <Override PartName="/xl/worksheets/sheet10.xml" ContentType="application/vnd.openxmlformats-officedocument.spreadsheetml.worksheet+xml"/>
  <Override PartName="/docProps/core.xml" ContentType="application/vnd.openxmlformats-package.core-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worksheets/sheet7.xml" ContentType="application/vnd.openxmlformats-officedocument.spreadsheetml.worksheet+xml"/>
  <Override PartName="/xl/charts/chart11.xml" ContentType="application/vnd.openxmlformats-officedocument.drawingml.chart+xml"/>
  <Override PartName="/xl/charts/colors3.xml" ContentType="application/vnd.ms-office.chartcolorstyle+xml"/>
  <Override PartName="/xl/worksheets/sheet9.xml" ContentType="application/vnd.openxmlformats-officedocument.spreadsheetml.worksheet+xml"/>
  <Override PartName="/xl/charts/chart3.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worksheets/sheet12.xml" ContentType="application/vnd.openxmlformats-officedocument.spreadsheetml.worksheet+xml"/>
  <Override PartName="/xl/drawings/drawing4.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drawings/drawing5.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charts/chart13.xml" ContentType="application/vnd.openxmlformats-officedocument.drawingml.char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ЭтаКнига" updateLinks="never"/>
  <bookViews>
    <workbookView xWindow="360" yWindow="15" windowWidth="20955" windowHeight="9720" activeTab="9"/>
  </bookViews>
  <sheets>
    <sheet name="1" sheetId="1" state="visible" r:id="rId4"/>
    <sheet name="2" sheetId="2" state="visible" r:id="rId5"/>
    <sheet name="3" sheetId="3" state="visible" r:id="rId6"/>
    <sheet name="4" sheetId="4" state="visible" r:id="rId7"/>
    <sheet name="5" sheetId="5" state="visible" r:id="rId8"/>
    <sheet name="бс" sheetId="6" state="visible" r:id="rId9"/>
    <sheet name="бм" sheetId="7" state="visible" r:id="rId10"/>
    <sheet name="э" sheetId="8" state="visible" r:id="rId11"/>
    <sheet name="аб" sheetId="9" state="visible" r:id="rId12"/>
    <sheet name="офр" sheetId="10" state="visible" r:id="rId13"/>
    <sheet name="фу" sheetId="11" state="visible" r:id="rId14"/>
    <sheet name="дкз" sheetId="12" state="visible" r:id="rId15"/>
    <sheet name="сф" sheetId="13" state="visible" r:id="rId16"/>
    <sheet name="дп" sheetId="14" state="visible" r:id="rId17"/>
  </sheets>
  <externalReferences>
    <externalReference r:id="rId1"/>
    <externalReference r:id="rId2"/>
    <externalReference r:id="rId3"/>
  </externalReferences>
  <definedNames>
    <definedName name="a" localSheetId="6">#REF!</definedName>
    <definedName name="b" localSheetId="6">#REF!</definedName>
    <definedName name="d" localSheetId="6">#REF!</definedName>
    <definedName name="e" localSheetId="6">#REF!</definedName>
    <definedName name="f" localSheetId="6">#REF!</definedName>
    <definedName name="g" localSheetId="6">#REF!</definedName>
    <definedName name="h" localSheetId="6">#REF!</definedName>
    <definedName name="i" localSheetId="6">#REF!</definedName>
    <definedName name="j" localSheetId="6">#REF!</definedName>
    <definedName name="k" localSheetId="6">#REF!</definedName>
    <definedName name="K121_" localSheetId="6">#REF!</definedName>
    <definedName name="l" localSheetId="6">#REF!</definedName>
    <definedName name="а" localSheetId="6">#REF!</definedName>
    <definedName name="б" localSheetId="6">#REF!</definedName>
    <definedName name="в" localSheetId="6">#REF!</definedName>
    <definedName name="Выручка" localSheetId="6">#REF!</definedName>
    <definedName name="г" localSheetId="6">#REF!</definedName>
    <definedName name="д" localSheetId="6">#REF!</definedName>
    <definedName name="Денежный_поток" localSheetId="6">#REF!</definedName>
    <definedName name="е" localSheetId="6">#REF!</definedName>
    <definedName name="ж" localSheetId="6">#REF!</definedName>
    <definedName name="з" localSheetId="6">#REF!</definedName>
    <definedName name="и" localSheetId="6">#REF!</definedName>
    <definedName name="к" localSheetId="6">#REF!</definedName>
    <definedName name="м" localSheetId="6">#REF!</definedName>
    <definedName name="Оборотный_капитал" localSheetId="6">#REF!</definedName>
    <definedName name="П" localSheetId="6">#REF!</definedName>
    <definedName name="Поступления" localSheetId="6">#REF!</definedName>
    <definedName name="Прибыль" localSheetId="6">#REF!</definedName>
    <definedName name="р" localSheetId="6">#REF!</definedName>
    <definedName name="с" localSheetId="6">#REF!</definedName>
    <definedName name="т" localSheetId="6">#REF!</definedName>
    <definedName name="УОР" localSheetId="6">#REF!</definedName>
    <definedName name="УСР" localSheetId="6">#REF!</definedName>
    <definedName name="УФР" localSheetId="6">#REF!</definedName>
    <definedName name="a" localSheetId="7">[2]па!#REF!</definedName>
    <definedName name="b" localSheetId="7">[2]па!#REF!</definedName>
    <definedName name="d" localSheetId="7">[2]па!#REF!</definedName>
    <definedName name="e" localSheetId="7">[2]па!#REF!</definedName>
    <definedName name="f" localSheetId="7">[2]па!#REF!</definedName>
    <definedName name="g" localSheetId="7">[2]па!#REF!</definedName>
    <definedName name="h" localSheetId="7">[2]па!#REF!</definedName>
    <definedName name="i" localSheetId="7">[2]па!#REF!</definedName>
    <definedName name="j" localSheetId="7">[2]па!#REF!</definedName>
    <definedName name="k" localSheetId="7">[2]па!#REF!</definedName>
    <definedName name="l" localSheetId="7">[2]па!#REF!</definedName>
    <definedName name="а" localSheetId="7">[2]па!#REF!</definedName>
    <definedName name="б" localSheetId="7">[2]па!#REF!</definedName>
    <definedName name="в" localSheetId="7">[2]па!#REF!</definedName>
    <definedName name="г" localSheetId="7">[2]па!#REF!</definedName>
    <definedName name="д" localSheetId="7">[2]па!#REF!</definedName>
    <definedName name="е" localSheetId="7">[2]па!#REF!</definedName>
    <definedName name="ж" localSheetId="7">[2]па!#REF!</definedName>
    <definedName name="з" localSheetId="7">[2]па!#REF!</definedName>
    <definedName name="и" localSheetId="7">[2]па!#REF!</definedName>
    <definedName name="к" localSheetId="7">[2]па!#REF!</definedName>
    <definedName name="м" localSheetId="7">[2]па!#REF!</definedName>
    <definedName name="р" localSheetId="7">[2]па!#REF!</definedName>
    <definedName name="с" localSheetId="7">[2]па!#REF!</definedName>
    <definedName name="т" localSheetId="7">[2]па!#REF!</definedName>
    <definedName name="a" localSheetId="10">[1]па!#REF!</definedName>
    <definedName name="b" localSheetId="10">[1]па!#REF!</definedName>
    <definedName name="d" localSheetId="10">[1]па!#REF!</definedName>
    <definedName name="e" localSheetId="10">[1]па!#REF!</definedName>
    <definedName name="f" localSheetId="10">[1]па!#REF!</definedName>
    <definedName name="g" localSheetId="10">[1]па!#REF!</definedName>
    <definedName name="h" localSheetId="10">[1]па!#REF!</definedName>
    <definedName name="i" localSheetId="10">[1]па!#REF!</definedName>
    <definedName name="j" localSheetId="10">[1]па!#REF!</definedName>
    <definedName name="k" localSheetId="10">[1]па!#REF!</definedName>
    <definedName name="l" localSheetId="10">[1]па!#REF!</definedName>
    <definedName name="а" localSheetId="10">[1]па!#REF!</definedName>
    <definedName name="б" localSheetId="10">[1]па!#REF!</definedName>
    <definedName name="в" localSheetId="10">[1]па!#REF!</definedName>
    <definedName name="г" localSheetId="10">[1]па!#REF!</definedName>
    <definedName name="д" localSheetId="10">[1]па!#REF!</definedName>
    <definedName name="е" localSheetId="10">[1]па!#REF!</definedName>
    <definedName name="ж" localSheetId="10">[1]па!#REF!</definedName>
    <definedName name="з" localSheetId="10">[1]па!#REF!</definedName>
    <definedName name="и" localSheetId="10">[1]па!#REF!</definedName>
    <definedName name="к" localSheetId="10">[1]па!#REF!</definedName>
    <definedName name="м" localSheetId="10">[1]па!#REF!</definedName>
    <definedName name="р" localSheetId="10">[1]па!#REF!</definedName>
    <definedName name="с" localSheetId="10">[1]па!#REF!</definedName>
    <definedName name="т" localSheetId="10">[1]па!#REF!</definedName>
    <definedName name="a" localSheetId="11">[1]па!#REF!</definedName>
    <definedName name="b" localSheetId="11">[1]па!#REF!</definedName>
    <definedName name="d" localSheetId="11">[1]па!#REF!</definedName>
    <definedName name="e" localSheetId="11">[1]па!#REF!</definedName>
    <definedName name="f" localSheetId="11">[1]па!#REF!</definedName>
    <definedName name="g" localSheetId="11">[1]па!#REF!</definedName>
    <definedName name="h" localSheetId="11">[1]па!#REF!</definedName>
    <definedName name="i" localSheetId="11">[1]па!#REF!</definedName>
    <definedName name="j" localSheetId="11">[1]па!#REF!</definedName>
    <definedName name="k" localSheetId="11">[1]па!#REF!</definedName>
    <definedName name="l" localSheetId="11">[1]па!#REF!</definedName>
    <definedName name="а" localSheetId="11">[1]па!#REF!</definedName>
    <definedName name="б" localSheetId="11">[1]па!#REF!</definedName>
    <definedName name="в" localSheetId="11">[1]па!#REF!</definedName>
    <definedName name="г" localSheetId="11">[1]па!#REF!</definedName>
    <definedName name="д" localSheetId="11">[1]па!#REF!</definedName>
    <definedName name="е" localSheetId="11">[1]па!#REF!</definedName>
    <definedName name="ж" localSheetId="11">[1]па!#REF!</definedName>
    <definedName name="з" localSheetId="11">[1]па!#REF!</definedName>
    <definedName name="и" localSheetId="11">[1]па!#REF!</definedName>
    <definedName name="к" localSheetId="11">[1]па!#REF!</definedName>
    <definedName name="м" localSheetId="11">[1]па!#REF!</definedName>
    <definedName name="р" localSheetId="11">[1]па!#REF!</definedName>
    <definedName name="с" localSheetId="11">[1]па!#REF!</definedName>
    <definedName name="т" localSheetId="11">[1]па!#REF!</definedName>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K121_">#REF!</definedName>
    <definedName name="l">#REF!</definedName>
    <definedName name="а">#REF!</definedName>
    <definedName name="б">#REF!</definedName>
    <definedName name="в">#REF!</definedName>
    <definedName name="Выручк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#REF!</definedName>
    <definedName name="Денежный_поток">#REF!</definedName>
    <definedName name="е">#REF!</definedName>
    <definedName name="ж">#REF!</definedName>
    <definedName name="з">#REF!</definedName>
    <definedName name="и">#REF!</definedName>
    <definedName name="к">#REF!</definedName>
    <definedName name="м">#REF!</definedName>
    <definedName name="Оборотный_капитал">#REF!</definedName>
    <definedName name="П">#REF!</definedName>
    <definedName name="Поступления">#REF!</definedName>
    <definedName name="Прибыль">#REF!</definedName>
    <definedName name="р">#REF!</definedName>
    <definedName name="с">#REF!</definedName>
    <definedName name="т">#REF!</definedName>
    <definedName name="УОР">#REF!</definedName>
    <definedName name="УСР">#REF!</definedName>
    <definedName name="УФР">#REF!</definedName>
  </definedNames>
  <calcPr/>
  <extLst>
    <ext xmlns:x15="http://schemas.microsoft.com/office/spreadsheetml/2010/11/main" uri="{D0CA8CA8-9F24-4464-BF8E-62219DCF47F9}"/>
  </extLst>
</workbook>
</file>

<file path=xl/sharedStrings.xml><?xml version="1.0" encoding="utf-8"?>
<sst xmlns="http://schemas.openxmlformats.org/spreadsheetml/2006/main" count="711" uniqueCount="711">
  <si>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</si>
  <si>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</si>
  <si>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</si>
  <si>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</si>
  <si>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</si>
  <si>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</si>
  <si>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</si>
  <si>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</si>
  <si>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</si>
  <si>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</si>
  <si>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</si>
  <si>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</si>
  <si>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</si>
  <si>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</si>
  <si>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</si>
  <si>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</si>
  <si>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</si>
  <si>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</si>
  <si>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</si>
  <si>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</si>
  <si>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</si>
  <si>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</si>
  <si>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</si>
  <si>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</si>
  <si>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</si>
  <si>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</si>
  <si>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</si>
  <si>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</si>
  <si>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</si>
  <si>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</si>
  <si>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</si>
  <si>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</si>
  <si>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</si>
  <si>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</si>
  <si>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</si>
  <si>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</si>
  <si>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</si>
  <si>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</si>
  <si>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</si>
  <si>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</si>
  <si>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</si>
  <si>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</si>
  <si>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</si>
  <si>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</si>
  <si>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</si>
  <si>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</si>
  <si>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</si>
  <si>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</si>
  <si>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</si>
  <si>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</si>
  <si>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</si>
  <si>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</si>
  <si>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</si>
  <si>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</si>
  <si>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</si>
  <si>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</si>
  <si>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</si>
  <si>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</si>
  <si>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</si>
  <si>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</si>
  <si>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</si>
  <si>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</si>
  <si>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</si>
  <si>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</si>
  <si>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</si>
  <si>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</si>
  <si>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</si>
  <si>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</si>
  <si>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</si>
  <si>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</si>
  <si>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</si>
  <si>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</si>
  <si>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</si>
  <si>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</si>
  <si>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</si>
  <si>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</si>
  <si>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</si>
  <si>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</si>
  <si>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</si>
  <si>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</si>
  <si>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</si>
  <si>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</si>
  <si>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</si>
  <si>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</si>
  <si>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</si>
  <si>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</si>
  <si>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</si>
  <si>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</si>
  <si>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</si>
  <si>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</si>
  <si>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</si>
  <si>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</si>
  <si>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</si>
  <si>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</si>
  <si>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</si>
  <si>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</si>
  <si>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</si>
  <si>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</si>
  <si>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</si>
  <si>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</si>
  <si>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</si>
  <si>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</si>
  <si>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</si>
  <si>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</si>
  <si>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</si>
  <si>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</si>
  <si>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</si>
  <si>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</si>
  <si>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</si>
  <si>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</si>
  <si>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</si>
  <si>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</si>
  <si>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</si>
  <si>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</si>
  <si>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</si>
  <si>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</si>
  <si>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</si>
  <si>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</si>
  <si>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</si>
  <si>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</si>
  <si>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</si>
  <si>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</si>
  <si>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</si>
  <si>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</si>
  <si>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</si>
  <si>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</si>
  <si>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</si>
  <si>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</si>
  <si>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</si>
  <si>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</si>
  <si>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</si>
  <si>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</si>
  <si>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</si>
  <si>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</si>
  <si>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</si>
  <si>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</si>
  <si>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</si>
  <si>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</si>
  <si>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</si>
  <si>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</si>
  <si>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</si>
  <si>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</si>
  <si>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</si>
  <si>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</si>
  <si>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</si>
  <si>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</si>
  <si>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</si>
  <si>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</si>
  <si>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</si>
  <si>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</si>
  <si>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</si>
  <si>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</si>
  <si>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</si>
  <si>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</si>
  <si>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</si>
  <si>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</si>
  <si>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</si>
  <si>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</si>
  <si>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</si>
  <si>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</si>
  <si>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</si>
  <si>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</si>
  <si>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</si>
  <si>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</si>
  <si>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</si>
  <si>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</si>
  <si>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</si>
  <si>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</si>
  <si>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</si>
  <si>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</si>
  <si>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</si>
  <si>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</si>
  <si>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</si>
  <si>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</si>
  <si>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</si>
  <si>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</si>
  <si>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</si>
  <si>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</si>
  <si>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</si>
  <si>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</si>
  <si>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</si>
  <si>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</si>
  <si>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</si>
  <si>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</si>
  <si>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</si>
  <si>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</si>
  <si>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</si>
  <si>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</si>
  <si>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</si>
  <si>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</si>
  <si>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</si>
  <si>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</si>
  <si>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</si>
  <si>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</si>
  <si>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</si>
  <si>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</si>
  <si>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</si>
  <si>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</si>
  <si>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</si>
  <si>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</si>
  <si>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</si>
  <si>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</si>
  <si>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</si>
  <si>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</si>
  <si>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</si>
  <si>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</si>
  <si>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</si>
  <si>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</si>
  <si>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</si>
  <si>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</si>
  <si>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</si>
  <si>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</si>
  <si>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</si>
  <si>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</si>
  <si>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</si>
  <si>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</si>
  <si>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</si>
  <si>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</si>
  <si>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</si>
  <si>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</si>
  <si>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</si>
  <si>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</si>
  <si>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</si>
  <si>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</si>
  <si>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</si>
  <si>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</si>
  <si>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</si>
  <si>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</si>
  <si>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</si>
  <si>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</si>
  <si>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</si>
  <si>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</si>
  <si>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</si>
  <si>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</si>
  <si>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</si>
  <si>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</si>
  <si>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</si>
  <si>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</si>
  <si>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</si>
  <si>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</si>
  <si>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</si>
  <si>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</si>
  <si>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</si>
  <si>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</si>
  <si>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</si>
  <si>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</si>
  <si>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</si>
  <si>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</si>
  <si>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</si>
  <si>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</si>
  <si>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</si>
  <si>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</si>
  <si>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</si>
  <si>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</si>
  <si>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</si>
  <si>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</si>
  <si>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</si>
  <si>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</si>
  <si>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</si>
  <si>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</si>
  <si>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</si>
  <si>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</si>
  <si>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</si>
  <si>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</si>
  <si>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</si>
  <si>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</si>
  <si>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</si>
  <si>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</si>
  <si>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</si>
  <si>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</si>
  <si>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</si>
  <si>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</si>
  <si>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</si>
  <si>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</si>
  <si>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</si>
  <si>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</si>
  <si>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</si>
  <si>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</si>
  <si>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</si>
  <si>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</si>
  <si>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</si>
  <si>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</si>
  <si>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</si>
  <si>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</si>
  <si>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</si>
  <si>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</si>
  <si>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</si>
  <si>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</si>
  <si>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</si>
  <si>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</si>
  <si>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</si>
  <si>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</si>
  <si>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</si>
  <si>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</si>
  <si>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</si>
  <si>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</si>
  <si>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</si>
  <si>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</si>
  <si>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</si>
  <si>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</si>
  <si>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</si>
  <si>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</si>
  <si>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</si>
  <si>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</si>
  <si>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</si>
  <si>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</si>
  <si>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</si>
  <si>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</si>
  <si>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</si>
  <si>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</si>
  <si>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</si>
  <si>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</si>
  <si>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</si>
  <si>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</si>
  <si>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</si>
  <si>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</si>
  <si>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</si>
  <si>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</si>
  <si>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</si>
  <si>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</si>
  <si>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</si>
  <si>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</si>
  <si>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</si>
  <si>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</si>
  <si>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</si>
  <si>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</si>
  <si>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</si>
  <si>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</si>
  <si>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</si>
  <si>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</si>
  <si>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</si>
  <si>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</si>
  <si>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</si>
  <si>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</si>
  <si>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</si>
  <si>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</si>
  <si>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</si>
  <si>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</si>
  <si>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</si>
  <si>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</si>
  <si>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</si>
  <si>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</si>
  <si>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</si>
  <si>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</si>
  <si>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</si>
  <si>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</si>
  <si>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</si>
  <si>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</si>
  <si>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</si>
  <si>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</si>
  <si>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</si>
  <si>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</si>
  <si>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</si>
  <si>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</si>
  <si>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</si>
  <si>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</si>
  <si>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</si>
  <si>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</si>
  <si>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</si>
  <si>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</si>
  <si>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</si>
  <si>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</si>
  <si>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</si>
  <si>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</si>
  <si>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</si>
  <si>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</si>
  <si>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</si>
  <si>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</si>
  <si>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</si>
  <si>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</si>
  <si>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</si>
  <si>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</si>
  <si>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</si>
  <si>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</si>
  <si>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</si>
  <si>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</si>
  <si>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</si>
  <si>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</si>
  <si>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</si>
  <si>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</si>
  <si>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</si>
  <si>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</si>
  <si>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</si>
  <si>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</si>
  <si>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</si>
  <si>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</si>
  <si>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</si>
  <si>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</si>
  <si>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</si>
  <si>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</si>
  <si>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</si>
  <si>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</si>
  <si>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</si>
  <si>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</si>
  <si>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</si>
  <si>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</si>
  <si>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</si>
  <si>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</si>
  <si>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</si>
  <si>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</si>
  <si>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</si>
  <si>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</si>
  <si>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</si>
  <si>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</si>
  <si>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</si>
  <si>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</si>
  <si>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</si>
  <si>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</si>
  <si>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</si>
  <si>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</si>
  <si>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</si>
  <si>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</si>
  <si>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</si>
  <si>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</si>
  <si>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</si>
  <si>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</si>
  <si>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</si>
  <si>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</si>
  <si>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</si>
  <si>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</si>
  <si>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</si>
  <si>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</si>
  <si>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</si>
  <si>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</si>
  <si>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</si>
  <si>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</si>
  <si>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</si>
  <si>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</si>
  <si>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</si>
  <si>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</si>
  <si>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</si>
  <si>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</si>
  <si>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</si>
  <si>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</si>
  <si>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</si>
  <si>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</si>
  <si>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</si>
  <si>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</si>
  <si>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</si>
  <si>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</si>
  <si>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</si>
  <si>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</si>
  <si>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</si>
  <si>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</si>
  <si>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</si>
  <si>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</si>
  <si>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</si>
  <si>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</si>
  <si>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</si>
  <si>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</si>
  <si>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</si>
  <si>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</si>
  <si>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</si>
  <si>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</si>
  <si>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</si>
  <si>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</si>
  <si>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</si>
  <si>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</si>
  <si>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</si>
  <si>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</si>
  <si>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</si>
  <si>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</si>
  <si>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</si>
  <si>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</si>
  <si>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</si>
  <si>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</si>
  <si>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</si>
  <si>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</si>
  <si>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</si>
  <si>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</si>
  <si>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</si>
  <si>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</si>
  <si>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</si>
  <si>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</si>
  <si>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</si>
  <si>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</si>
  <si>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</si>
  <si>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</si>
  <si>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</si>
  <si>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</si>
  <si>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</si>
  <si>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</si>
  <si>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</si>
  <si>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 xml:space="preserve">повышение риска невыплаты обязательств</t>
  </si>
  <si>
    <t xml:space="preserve">снижение риска невыплаты обязательств</t>
  </si>
  <si>
    <t xml:space="preserve">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</si>
  <si>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</si>
  <si>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</si>
  <si>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</si>
  <si>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</si>
  <si>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</si>
  <si>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</si>
  <si>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</si>
  <si>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</si>
  <si>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</si>
  <si>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</si>
  <si>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</si>
  <si>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</si>
  <si>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</si>
  <si>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</si>
  <si>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</si>
  <si>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</si>
  <si>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</si>
  <si>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</si>
  <si>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</si>
  <si>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</si>
  <si>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</si>
  <si>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</si>
  <si>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</si>
  <si>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</si>
  <si>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</si>
  <si>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</si>
  <si>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</si>
  <si>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</si>
  <si>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</si>
  <si>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</si>
  <si>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</si>
  <si>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</si>
  <si>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</si>
  <si>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</si>
  <si>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</si>
  <si>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</si>
  <si>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</si>
  <si>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</si>
  <si>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</si>
  <si>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</si>
  <si>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</si>
  <si>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1) Основную долю выручки занимают расходы по основному виду деятельности (это хорошо!)
2) Доля прибыли от продаж достаточно стабильна на протяжении всего анализируемого периода, за исключением 2015 и 2019 гг.:
2.1) Резкий рост прибыли от продаж связан, во-первых, с ростом реализации, во-вторых, с резким различием в скорости нарастания выручки и расходов по обычным видам деятельности. Опережающий рост выручки, во многом, определяется резким ослаблением рубля; снижение доли прибыли от продаж в выручке в 2019 гг, свящано с тем, что скорость пдения выручки превышала скорость падения расходов по обычным видам деятельности</t>
  </si>
  <si>
    <t xml:space="preserve">Вертикальный анализ отчета о финансовых результатах</t>
  </si>
  <si>
    <t>.</t>
  </si>
  <si>
    <t xml:space="preserve">Информация для выводов по агрегированному отчету о прибылях и убытках</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</si>
  <si>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</si>
  <si>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</si>
  <si>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</si>
  <si>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</si>
  <si>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</si>
  <si>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</si>
  <si>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</si>
  <si>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</si>
  <si>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</si>
  <si>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</si>
  <si>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</si>
  <si>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</si>
  <si>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</si>
  <si>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</si>
  <si>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</si>
  <si>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</si>
  <si>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</si>
  <si>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</si>
  <si>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</si>
  <si>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</si>
  <si>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</si>
  <si>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</si>
  <si>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Внеоборотные активы</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</si>
  <si>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</si>
  <si>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</si>
  <si>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</si>
  <si>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</si>
  <si>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</si>
  <si>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</si>
  <si>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</si>
  <si>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</si>
  <si>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</si>
  <si>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</si>
  <si>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</si>
  <si>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</si>
  <si>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</si>
  <si>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</si>
  <si>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</si>
  <si>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</si>
  <si>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</si>
  <si>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</si>
  <si>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</si>
  <si>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</si>
  <si>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</si>
  <si>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</si>
  <si>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</si>
  <si>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</si>
  <si>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</si>
  <si>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</si>
  <si>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</si>
  <si>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</si>
  <si>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</si>
  <si>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</si>
  <si>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</si>
  <si>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</si>
  <si>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Общая ликвидность</t>
  </si>
  <si>
    <t xml:space="preserve">Абсолютная ликвидность</t>
  </si>
  <si>
    <t xml:space="preserve">Промежуточная ликвидность</t>
  </si>
  <si>
    <t xml:space="preserve">Текущая ликвидность</t>
  </si>
  <si>
    <t xml:space="preserve">Коэффициенты структуры капитала</t>
  </si>
  <si>
    <t xml:space="preserve">Коэффициент финансовой устойчивости</t>
  </si>
  <si>
    <t xml:space="preserve">Коэффициент финансовой активности (плечо: заемный капитал к собственному)</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</si>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</sst>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29">
    <font>
      <sz val="10.000000"/>
      <name val="Arial Cyr"/>
    </font>
    <font>
      <b/>
      <u val="singleAccounting"/>
      <sz val="8.000000"/>
      <name val="Arial"/>
    </font>
    <font>
      <sz val="8.000000"/>
      <name val="Arial"/>
    </font>
    <font>
      <u/>
      <sz val="10.000000"/>
      <color indexed="4"/>
      <name val="Arial Cyr"/>
    </font>
    <font>
      <sz val="11.000000"/>
      <color theme="1"/>
      <name val="Calibri"/>
      <scheme val="minor"/>
    </font>
    <font>
      <sz val="10.000000"/>
      <name val="Arial"/>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i/>
      <sz val="12.000000"/>
      <color indexed="2"/>
      <name val="Times New Roman Cyr"/>
    </font>
    <font>
      <b/>
      <sz val="11.000000"/>
      <color theme="1"/>
      <name val="Calibri"/>
      <scheme val="minor"/>
    </font>
    <font>
      <sz val="10.000000"/>
      <color theme="0"/>
      <name val="Arial Cyr"/>
    </font>
    <font>
      <b/>
      <sz val="12.000000"/>
      <color theme="8" tint="-0.249977111117893"/>
      <name val="Times New Roman Cyr"/>
    </font>
    <font>
      <b/>
      <i/>
      <sz val="10.000000"/>
      <name val="Arial Cyr"/>
    </font>
    <font>
      <b/>
      <i/>
      <sz val="12.000000"/>
      <color indexed="4"/>
      <name val="Times New Roman Cyr"/>
    </font>
    <font>
      <sz val="12.000000"/>
      <name val="Arial Cyr"/>
    </font>
    <font>
      <sz val="10.000000"/>
      <name val="Times New Roman"/>
    </font>
    <font>
      <b/>
      <sz val="10.000000"/>
      <name val="Times New Roman"/>
    </font>
    <font>
      <sz val="11.000000"/>
      <color theme="1"/>
      <name val="Times New Roman"/>
    </font>
    <font>
      <sz val="11.000000"/>
      <name val="Times New Roman"/>
    </font>
    <font>
      <b/>
      <sz val="12.000000"/>
      <color indexed="6"/>
      <name val="Times New Roman Cyr"/>
    </font>
  </fonts>
  <fills count="10">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bgColor indexed="65"/>
      </patternFill>
    </fill>
    <fill>
      <patternFill patternType="solid">
        <fgColor theme="9" tint="0.79998168889431442"/>
        <bgColor indexed="65"/>
      </patternFill>
    </fill>
    <fill>
      <patternFill patternType="solid">
        <fgColor indexed="5"/>
      </patternFill>
    </fill>
    <fill>
      <patternFill patternType="solid">
        <fgColor theme="2"/>
      </patternFill>
    </fill>
    <fill>
      <patternFill patternType="solid">
        <fgColor theme="0"/>
      </patternFill>
    </fill>
  </fills>
  <borders count="21">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medium">
        <color auto="1"/>
      </left>
      <right style="medium">
        <color auto="1"/>
      </right>
      <top style="medium">
        <color auto="1"/>
      </top>
      <bottom style="medium">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
      <left style="medium">
        <color auto="1"/>
      </left>
      <right style="none"/>
      <top style="none"/>
      <bottom style="none"/>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auto="1"/>
      </left>
      <right style="none"/>
      <top style="none"/>
      <bottom style="thin">
        <color auto="1"/>
      </bottom>
      <diagonal style="none"/>
    </border>
    <border>
      <left style="none"/>
      <right style="none"/>
      <top style="none"/>
      <bottom style="thin">
        <color auto="1"/>
      </bottom>
      <diagonal style="none"/>
    </border>
    <border>
      <left style="none"/>
      <right style="thin">
        <color auto="1"/>
      </right>
      <top style="none"/>
      <bottom style="thin">
        <color auto="1"/>
      </bottom>
      <diagonal style="none"/>
    </border>
    <border>
      <left style="thin">
        <color auto="1"/>
      </left>
      <right style="none"/>
      <top style="none"/>
      <bottom style="none"/>
      <diagonal style="none"/>
    </border>
    <border>
      <left style="thin">
        <color auto="1"/>
      </left>
      <right style="thin">
        <color auto="1"/>
      </right>
      <top style="thin">
        <color auto="1"/>
      </top>
      <bottom style="double">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double">
        <color auto="1"/>
      </top>
      <bottom style="thin">
        <color auto="1"/>
      </bottom>
      <diagonal style="none"/>
    </border>
    <border>
      <left style="thin">
        <color auto="1"/>
      </left>
      <right style="thin">
        <color auto="1"/>
      </right>
      <top style="none"/>
      <bottom style="double">
        <color auto="1"/>
      </bottom>
      <diagonal style="none"/>
    </border>
  </borders>
  <cellStyleXfs count="14">
    <xf fontId="0" fillId="0" borderId="0" numFmtId="0" applyNumberFormat="1" applyFont="1" applyFill="1" applyBorder="1"/>
    <xf fontId="1" fillId="2" borderId="0" numFmtId="0" applyNumberFormat="1" applyFont="1" applyFill="1" applyBorder="1"/>
    <xf fontId="2" fillId="0" borderId="0" numFmtId="0" applyNumberFormat="1" applyFont="1" applyFill="1" applyBorder="1"/>
    <xf fontId="3" fillId="0" borderId="0" numFmtId="0" applyNumberFormat="0" applyFont="1" applyFill="0" applyBorder="0" applyProtection="0">
      <alignment vertical="top"/>
      <protection locked="0"/>
    </xf>
    <xf fontId="4" fillId="0" borderId="0" numFmtId="0" applyNumberFormat="1" applyFont="1" applyFill="1" applyBorder="1"/>
    <xf fontId="0" fillId="0" borderId="0" numFmtId="0" applyNumberFormat="1" applyFont="1" applyFill="1" applyBorder="1"/>
    <xf fontId="0" fillId="0" borderId="0" numFmtId="0" applyNumberFormat="1" applyFont="1" applyFill="1" applyBorder="1"/>
    <xf fontId="0" fillId="0" borderId="0" numFmtId="0" applyNumberFormat="1" applyFont="1" applyFill="1" applyBorder="1"/>
    <xf fontId="5" fillId="0" borderId="0" numFmtId="0" applyNumberFormat="1" applyFont="1" applyFill="1" applyBorder="1"/>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cellStyleXfs>
  <cellXfs count="455">
    <xf fontId="0" fillId="0" borderId="0" numFmtId="0" xfId="0"/>
    <xf fontId="6" fillId="3" borderId="0" numFmtId="0" xfId="0" applyFont="1" applyFill="1"/>
    <xf fontId="6" fillId="3" borderId="0" numFmtId="0" xfId="0" applyFont="1" applyFill="1" applyAlignment="1">
      <alignment horizontal="center"/>
    </xf>
    <xf fontId="6" fillId="3" borderId="0" numFmtId="165" xfId="9" applyNumberFormat="1" applyFont="1" applyFill="1"/>
    <xf fontId="6" fillId="3" borderId="0" numFmtId="165" xfId="9" applyNumberFormat="1" applyFont="1" applyFill="1" applyAlignment="1">
      <alignment horizontal="center"/>
    </xf>
    <xf fontId="6" fillId="3" borderId="0" numFmtId="49" xfId="0" applyNumberFormat="1" applyFont="1" applyFill="1"/>
    <xf fontId="7" fillId="3" borderId="0" numFmtId="0" xfId="0" applyFont="1" applyFill="1"/>
    <xf fontId="8" fillId="0" borderId="0" numFmtId="0" xfId="0" applyFont="1"/>
    <xf fontId="9" fillId="3" borderId="0" numFmtId="0" xfId="0" applyFont="1" applyFill="1" applyAlignment="1" applyProtection="1">
      <alignment horizontal="left"/>
      <protection locked="0"/>
    </xf>
    <xf fontId="7" fillId="3" borderId="0" numFmtId="165" xfId="9" applyNumberFormat="1" applyFont="1" applyFill="1" applyAlignment="1">
      <alignment horizontal="center"/>
    </xf>
    <xf fontId="8" fillId="0" borderId="1" numFmtId="166" xfId="0" applyNumberFormat="1" applyFont="1" applyBorder="1" applyAlignment="1">
      <alignment horizontal="center" vertical="center" wrapText="1"/>
    </xf>
    <xf fontId="8" fillId="0" borderId="1" numFmtId="166" xfId="0" applyNumberFormat="1" applyFont="1" applyBorder="1" applyAlignment="1">
      <alignment horizontal="center" vertical="top" wrapText="1"/>
    </xf>
    <xf fontId="8" fillId="3" borderId="1" numFmtId="166" xfId="0" applyNumberFormat="1" applyFont="1" applyFill="1" applyBorder="1" applyAlignment="1">
      <alignment horizontal="center" vertical="top" wrapText="1"/>
    </xf>
    <xf fontId="8" fillId="0" borderId="1" numFmtId="49" xfId="0" applyNumberFormat="1" applyFont="1" applyBorder="1" applyAlignment="1">
      <alignment horizontal="center" vertical="center" wrapText="1"/>
    </xf>
    <xf fontId="8" fillId="0" borderId="1" numFmtId="49" xfId="0" applyNumberFormat="1" applyFont="1" applyBorder="1" applyAlignment="1">
      <alignment horizontal="center" wrapText="1"/>
    </xf>
    <xf fontId="8" fillId="3" borderId="1" numFmtId="49" xfId="0" applyNumberFormat="1" applyFont="1" applyFill="1" applyBorder="1" applyAlignment="1">
      <alignment horizontal="center" wrapText="1"/>
    </xf>
    <xf fontId="10" fillId="0" borderId="1" numFmtId="166" xfId="0" applyNumberFormat="1" applyFont="1" applyBorder="1" applyAlignment="1">
      <alignment vertical="top" wrapText="1"/>
    </xf>
    <xf fontId="10" fillId="0" borderId="1" numFmtId="49" xfId="0" applyNumberFormat="1" applyFont="1" applyBorder="1" applyAlignment="1">
      <alignment vertical="top" wrapText="1"/>
    </xf>
    <xf fontId="10" fillId="3" borderId="1" numFmtId="3" xfId="0" applyNumberFormat="1" applyFont="1" applyFill="1" applyBorder="1" applyAlignment="1">
      <alignment vertical="top" wrapText="1"/>
    </xf>
    <xf fontId="10" fillId="0" borderId="1" numFmtId="49" xfId="0" applyNumberFormat="1" applyFont="1" applyBorder="1" applyAlignment="1">
      <alignment horizontal="center" vertical="top" wrapText="1"/>
    </xf>
    <xf fontId="10" fillId="3" borderId="1" numFmtId="3" xfId="0" applyNumberFormat="1" applyFont="1" applyFill="1" applyBorder="1" applyAlignment="1">
      <alignment horizontal="right" vertical="top" wrapText="1"/>
    </xf>
    <xf fontId="8" fillId="0" borderId="1" numFmtId="166" xfId="0" applyNumberFormat="1" applyFont="1" applyBorder="1" applyAlignment="1">
      <alignment vertical="top" wrapText="1"/>
    </xf>
    <xf fontId="8" fillId="0" borderId="1" numFmtId="49" xfId="0" applyNumberFormat="1" applyFont="1" applyBorder="1" applyAlignment="1">
      <alignment horizontal="center" vertical="top" wrapText="1"/>
    </xf>
    <xf fontId="8" fillId="3" borderId="1" numFmtId="3" xfId="0" applyNumberFormat="1" applyFont="1" applyFill="1" applyBorder="1" applyAlignment="1">
      <alignment horizontal="right" vertical="top" wrapText="1"/>
    </xf>
    <xf fontId="6" fillId="3" borderId="1" numFmtId="3" xfId="9" applyNumberFormat="1" applyFont="1" applyFill="1" applyBorder="1" applyAlignment="1">
      <alignment horizontal="center" vertical="center" wrapText="1"/>
    </xf>
    <xf fontId="10" fillId="0" borderId="1" numFmtId="166" xfId="0" applyNumberFormat="1" applyFont="1" applyBorder="1" applyAlignment="1">
      <alignment horizontal="left" indent="1" vertical="top" wrapText="1"/>
    </xf>
    <xf fontId="6" fillId="3" borderId="1" numFmtId="166" xfId="0" applyNumberFormat="1" applyFont="1" applyFill="1" applyBorder="1"/>
    <xf fontId="6" fillId="3" borderId="1" numFmtId="3" xfId="9" applyNumberFormat="1" applyFont="1" applyFill="1" applyBorder="1" applyAlignment="1">
      <alignment horizontal="center"/>
    </xf>
    <xf fontId="8" fillId="3" borderId="1" numFmtId="3" xfId="0" applyNumberFormat="1" applyFont="1" applyFill="1" applyBorder="1" applyAlignment="1">
      <alignment horizontal="center" vertical="top" wrapText="1"/>
    </xf>
    <xf fontId="8" fillId="3" borderId="1" numFmtId="3" xfId="0" applyNumberFormat="1" applyFont="1" applyFill="1" applyBorder="1" applyAlignment="1">
      <alignment horizontal="center" wrapText="1"/>
    </xf>
    <xf fontId="6" fillId="3" borderId="1" numFmtId="3" xfId="0" applyNumberFormat="1" applyFont="1" applyFill="1" applyBorder="1" applyAlignment="1">
      <alignment horizontal="center"/>
    </xf>
    <xf fontId="6" fillId="3" borderId="0" numFmtId="166" xfId="0" applyNumberFormat="1" applyFont="1" applyFill="1" applyAlignment="1">
      <alignment vertical="center"/>
    </xf>
    <xf fontId="0" fillId="3" borderId="0" numFmtId="0" xfId="0" applyFill="1"/>
    <xf fontId="6" fillId="3" borderId="0" numFmtId="166" xfId="0" applyNumberFormat="1" applyFont="1" applyFill="1" applyAlignment="1">
      <alignment horizontal="center" vertical="center"/>
    </xf>
    <xf fontId="7" fillId="3" borderId="0" numFmtId="0" xfId="0" applyFont="1" applyFill="1" applyAlignment="1">
      <alignment vertical="center"/>
    </xf>
    <xf fontId="9" fillId="3" borderId="0" numFmtId="0" xfId="0" applyFont="1" applyFill="1" applyAlignment="1" applyProtection="1">
      <alignment horizontal="left" vertical="center"/>
      <protection locked="0"/>
    </xf>
    <xf fontId="11" fillId="3" borderId="0" numFmtId="166" xfId="0" applyNumberFormat="1" applyFont="1" applyFill="1" applyAlignment="1">
      <alignment vertical="center"/>
    </xf>
    <xf fontId="7" fillId="3" borderId="0" numFmtId="166" xfId="0" applyNumberFormat="1" applyFont="1" applyFill="1" applyAlignment="1">
      <alignment vertical="center"/>
    </xf>
    <xf fontId="9" fillId="3" borderId="0" numFmtId="166" xfId="0" applyNumberFormat="1" applyFont="1" applyFill="1" applyAlignment="1" applyProtection="1">
      <alignment horizontal="left" vertical="center"/>
      <protection locked="0"/>
    </xf>
    <xf fontId="7" fillId="3" borderId="1" numFmtId="166" xfId="0" applyNumberFormat="1" applyFont="1" applyFill="1" applyBorder="1" applyAlignment="1">
      <alignment vertical="center"/>
    </xf>
    <xf fontId="7" fillId="3" borderId="1" numFmtId="166" xfId="0" applyNumberFormat="1" applyFont="1" applyFill="1" applyBorder="1" applyAlignment="1">
      <alignment horizontal="center" vertical="center"/>
    </xf>
    <xf fontId="6" fillId="3" borderId="1" numFmtId="166" xfId="0" applyNumberFormat="1" applyFont="1" applyFill="1" applyBorder="1" applyAlignment="1">
      <alignment vertical="center"/>
    </xf>
    <xf fontId="6" fillId="3" borderId="1" numFmtId="166" xfId="9" applyNumberFormat="1" applyFont="1" applyFill="1" applyBorder="1" applyAlignment="1">
      <alignment vertical="center"/>
    </xf>
    <xf fontId="6" fillId="3" borderId="1" numFmtId="166" xfId="0" applyNumberFormat="1" applyFont="1" applyFill="1" applyBorder="1" applyAlignment="1">
      <alignment horizontal="left" vertical="center" wrapText="1"/>
    </xf>
    <xf fontId="10" fillId="0" borderId="1" numFmtId="166" xfId="9" applyNumberFormat="1" applyFont="1" applyBorder="1" applyAlignment="1">
      <alignment horizontal="center" vertical="center" wrapText="1"/>
    </xf>
    <xf fontId="6" fillId="3" borderId="1" numFmtId="166" xfId="0" applyNumberFormat="1" applyFont="1" applyFill="1" applyBorder="1" applyAlignment="1">
      <alignment vertical="center" wrapText="1"/>
    </xf>
    <xf fontId="7" fillId="3" borderId="1" numFmtId="166" xfId="0" applyNumberFormat="1" applyFont="1" applyFill="1" applyBorder="1" applyAlignment="1">
      <alignment vertical="center" wrapText="1"/>
    </xf>
    <xf fontId="8" fillId="0" borderId="1" numFmtId="166" xfId="9" applyNumberFormat="1" applyFont="1" applyBorder="1" applyAlignment="1">
      <alignment horizontal="center" vertical="center" wrapText="1"/>
    </xf>
    <xf fontId="6" fillId="3" borderId="0" numFmtId="167" xfId="0" applyNumberFormat="1" applyFont="1" applyFill="1" applyAlignment="1">
      <alignment vertical="center"/>
    </xf>
    <xf fontId="6" fillId="3" borderId="0" numFmtId="168" xfId="9" applyNumberFormat="1" applyFont="1" applyFill="1" applyAlignment="1">
      <alignment vertical="center"/>
    </xf>
    <xf fontId="6" fillId="3" borderId="1" numFmtId="166" xfId="0" applyNumberFormat="1" applyFont="1" applyFill="1" applyBorder="1" applyAlignment="1">
      <alignment horizontal="center" vertical="center"/>
    </xf>
    <xf fontId="10" fillId="0" borderId="1" numFmtId="166" xfId="9" applyNumberFormat="1" applyFont="1" applyBorder="1" applyAlignment="1">
      <alignment horizontal="right" vertical="center" wrapText="1"/>
    </xf>
    <xf fontId="7" fillId="3" borderId="1" numFmtId="166" xfId="9" applyNumberFormat="1" applyFont="1" applyFill="1" applyBorder="1" applyAlignment="1">
      <alignment vertical="center"/>
    </xf>
    <xf fontId="6" fillId="3" borderId="0" numFmtId="169" xfId="0" applyNumberFormat="1" applyFont="1" applyFill="1" applyAlignment="1">
      <alignment vertical="center"/>
    </xf>
    <xf fontId="7" fillId="3" borderId="1" numFmtId="166" xfId="9" applyNumberFormat="1" applyFont="1" applyFill="1" applyBorder="1" applyAlignment="1">
      <alignment horizontal="center" vertical="center" wrapText="1"/>
    </xf>
    <xf fontId="6" fillId="3" borderId="2" numFmtId="166" xfId="0" applyNumberFormat="1" applyFont="1" applyFill="1" applyBorder="1" applyAlignment="1">
      <alignment vertical="center" wrapText="1"/>
    </xf>
    <xf fontId="6" fillId="3" borderId="2" numFmtId="166" xfId="0" applyNumberFormat="1" applyFont="1" applyFill="1" applyBorder="1" applyAlignment="1">
      <alignment horizontal="center" vertical="center"/>
    </xf>
    <xf fontId="10" fillId="0" borderId="2" numFmtId="166" xfId="9" applyNumberFormat="1" applyFont="1" applyBorder="1" applyAlignment="1">
      <alignment horizontal="center" vertical="center" wrapText="1"/>
    </xf>
    <xf fontId="10" fillId="0" borderId="1" numFmtId="166" xfId="0" applyNumberFormat="1" applyFont="1" applyBorder="1" applyAlignment="1">
      <alignment horizontal="right" vertical="center" wrapText="1"/>
    </xf>
    <xf fontId="6" fillId="3" borderId="1" numFmtId="170" xfId="9" applyNumberFormat="1" applyFont="1" applyFill="1" applyBorder="1" applyAlignment="1">
      <alignment horizontal="center" vertical="center"/>
    </xf>
    <xf fontId="12" fillId="3" borderId="0" numFmtId="166" xfId="8" applyNumberFormat="1" applyFont="1" applyFill="1" applyAlignment="1">
      <alignment vertical="center"/>
    </xf>
    <xf fontId="6" fillId="3" borderId="1" numFmtId="165" xfId="9" applyNumberFormat="1" applyFont="1" applyFill="1" applyBorder="1" applyAlignment="1">
      <alignment vertical="center"/>
    </xf>
    <xf fontId="6" fillId="3" borderId="1" numFmtId="171" xfId="9" applyNumberFormat="1" applyFont="1" applyFill="1" applyBorder="1" applyAlignment="1">
      <alignment vertical="center"/>
    </xf>
    <xf fontId="6" fillId="3" borderId="1" numFmtId="170" xfId="9" applyNumberFormat="1" applyFont="1" applyFill="1" applyBorder="1" applyAlignment="1">
      <alignment vertical="center"/>
    </xf>
    <xf fontId="6" fillId="3" borderId="0" numFmtId="166" xfId="0" applyNumberFormat="1" applyFont="1" applyFill="1"/>
    <xf fontId="6" fillId="3" borderId="0" numFmtId="166" xfId="0" applyNumberFormat="1" applyFont="1" applyFill="1" applyAlignment="1">
      <alignment horizontal="center"/>
    </xf>
    <xf fontId="7" fillId="3" borderId="0" numFmtId="166" xfId="0" applyNumberFormat="1" applyFont="1" applyFill="1"/>
    <xf fontId="6" fillId="3" borderId="0" numFmtId="166" xfId="0" applyNumberFormat="1" applyFont="1" applyFill="1" applyAlignment="1">
      <alignment horizontal="left"/>
    </xf>
    <xf fontId="7" fillId="3" borderId="0" numFmtId="166" xfId="0" applyNumberFormat="1" applyFont="1" applyFill="1" applyAlignment="1">
      <alignment horizontal="center"/>
    </xf>
    <xf fontId="6" fillId="3" borderId="1" numFmtId="166" xfId="0" applyNumberFormat="1" applyFont="1" applyFill="1" applyBorder="1" applyAlignment="1">
      <alignment horizontal="center" shrinkToFit="1" vertical="center" wrapText="1"/>
    </xf>
    <xf fontId="7" fillId="3" borderId="0" numFmtId="166" xfId="0" applyNumberFormat="1" applyFont="1" applyFill="1" applyAlignment="1">
      <alignment vertical="center" wrapText="1"/>
    </xf>
    <xf fontId="7" fillId="3" borderId="1" numFmtId="166" xfId="0" applyNumberFormat="1" applyFont="1" applyFill="1" applyBorder="1" applyAlignment="1">
      <alignment horizontal="center" vertical="center" wrapText="1"/>
    </xf>
    <xf fontId="6" fillId="3" borderId="0" numFmtId="166" xfId="0" applyNumberFormat="1" applyFont="1" applyFill="1" applyAlignment="1">
      <alignment vertical="center" wrapText="1"/>
    </xf>
    <xf fontId="13" fillId="3" borderId="1" numFmtId="166" xfId="0" applyNumberFormat="1" applyFont="1" applyFill="1" applyBorder="1" applyAlignment="1">
      <alignment horizontal="center" vertical="center" wrapText="1"/>
    </xf>
    <xf fontId="6" fillId="3" borderId="1" numFmtId="166" xfId="0" applyNumberFormat="1" applyFont="1" applyFill="1" applyBorder="1" applyAlignment="1">
      <alignment horizontal="center" vertical="center" wrapText="1"/>
    </xf>
    <xf fontId="6" fillId="3" borderId="1" numFmtId="166" xfId="9" applyNumberFormat="1" applyFont="1" applyFill="1" applyBorder="1" applyAlignment="1">
      <alignment horizontal="center" vertical="center" wrapText="1"/>
    </xf>
    <xf fontId="7" fillId="3" borderId="1" numFmtId="166" xfId="0" applyNumberFormat="1" applyFont="1" applyFill="1" applyBorder="1" applyAlignment="1">
      <alignment horizontal="left" vertical="center" wrapText="1"/>
    </xf>
    <xf fontId="7" fillId="3" borderId="0" numFmtId="166" xfId="0" applyNumberFormat="1" applyFont="1" applyFill="1" applyAlignment="1">
      <alignment wrapText="1"/>
    </xf>
    <xf fontId="6" fillId="3" borderId="0" numFmtId="166" xfId="0" applyNumberFormat="1" applyFont="1" applyFill="1" applyAlignment="1">
      <alignment wrapText="1"/>
    </xf>
    <xf fontId="6" fillId="3" borderId="1" numFmtId="166" xfId="0" applyNumberFormat="1" applyFont="1" applyFill="1" applyBorder="1" applyAlignment="1">
      <alignment wrapText="1"/>
    </xf>
    <xf fontId="6" fillId="3" borderId="1" numFmtId="166" xfId="9" applyNumberFormat="1" applyFont="1" applyFill="1" applyBorder="1" applyAlignment="1">
      <alignment horizontal="center" wrapText="1"/>
    </xf>
    <xf fontId="10" fillId="0" borderId="1" numFmtId="166" xfId="0" applyNumberFormat="1" applyFont="1" applyBorder="1" applyAlignment="1">
      <alignment horizontal="center" wrapText="1"/>
    </xf>
    <xf fontId="6" fillId="3" borderId="1" numFmtId="166" xfId="0" applyNumberFormat="1" applyFont="1" applyFill="1" applyBorder="1" applyAlignment="1">
      <alignment horizontal="center" wrapText="1"/>
    </xf>
    <xf fontId="6" fillId="3" borderId="1" numFmtId="166" xfId="9" applyNumberFormat="1" applyFont="1" applyFill="1" applyBorder="1" applyAlignment="1">
      <alignment wrapText="1"/>
    </xf>
    <xf fontId="7" fillId="3" borderId="1" numFmtId="166" xfId="0" applyNumberFormat="1" applyFont="1" applyFill="1" applyBorder="1" applyAlignment="1">
      <alignment wrapText="1"/>
    </xf>
    <xf fontId="7" fillId="3" borderId="1" numFmtId="166" xfId="9" applyNumberFormat="1" applyFont="1" applyFill="1" applyBorder="1" applyAlignment="1">
      <alignment horizontal="center" wrapText="1"/>
    </xf>
    <xf fontId="7" fillId="3" borderId="0" numFmtId="169" xfId="0" applyNumberFormat="1" applyFont="1" applyFill="1" applyAlignment="1">
      <alignment wrapText="1"/>
    </xf>
    <xf fontId="6" fillId="3" borderId="0" numFmtId="169" xfId="0" applyNumberFormat="1" applyFont="1" applyFill="1" applyAlignment="1">
      <alignment wrapText="1"/>
    </xf>
    <xf fontId="7" fillId="3" borderId="1" numFmtId="166" xfId="0" applyNumberFormat="1" applyFont="1" applyFill="1" applyBorder="1" applyAlignment="1">
      <alignment horizontal="center" wrapText="1"/>
    </xf>
    <xf fontId="7" fillId="3" borderId="0" numFmtId="166" xfId="0" applyNumberFormat="1" applyFont="1" applyFill="1" applyAlignment="1">
      <alignment horizontal="center" wrapText="1"/>
    </xf>
    <xf fontId="7" fillId="3" borderId="0" numFmtId="166" xfId="9" applyNumberFormat="1" applyFont="1" applyFill="1" applyAlignment="1">
      <alignment horizontal="center" wrapText="1"/>
    </xf>
    <xf fontId="6" fillId="3" borderId="0" numFmtId="166" xfId="0" applyNumberFormat="1" applyFont="1" applyFill="1" applyAlignment="1">
      <alignment horizontal="center" wrapText="1"/>
    </xf>
    <xf fontId="6" fillId="3" borderId="0" numFmtId="166" xfId="9" applyNumberFormat="1" applyFont="1" applyFill="1" applyAlignment="1">
      <alignment horizontal="center" wrapText="1"/>
    </xf>
    <xf fontId="6" fillId="3" borderId="0" numFmtId="166" xfId="9" applyNumberFormat="1" applyFont="1" applyFill="1" applyAlignment="1">
      <alignment wrapText="1"/>
    </xf>
    <xf fontId="10" fillId="0" borderId="1" numFmtId="0" xfId="0" applyFont="1" applyBorder="1" applyAlignment="1">
      <alignment horizontal="center" vertical="top" wrapText="1"/>
    </xf>
    <xf fontId="10" fillId="0" borderId="1" numFmtId="3" xfId="0" applyNumberFormat="1" applyFont="1" applyBorder="1" applyAlignment="1">
      <alignment horizontal="center" vertical="top" wrapText="1"/>
    </xf>
    <xf fontId="7" fillId="3" borderId="1" numFmtId="166" xfId="9" applyNumberFormat="1" applyFont="1" applyFill="1" applyBorder="1" applyAlignment="1">
      <alignment wrapText="1"/>
    </xf>
    <xf fontId="10" fillId="3" borderId="0" numFmtId="0" xfId="0" applyFont="1" applyFill="1" applyAlignment="1">
      <alignment vertical="top" wrapText="1"/>
    </xf>
    <xf fontId="10" fillId="3" borderId="1" numFmtId="166" xfId="9" applyNumberFormat="1" applyFont="1" applyFill="1" applyBorder="1" applyAlignment="1">
      <alignment horizontal="center" vertical="center" wrapText="1"/>
    </xf>
    <xf fontId="8" fillId="3" borderId="1" numFmtId="166" xfId="9" applyNumberFormat="1" applyFont="1" applyFill="1" applyBorder="1" applyAlignment="1">
      <alignment horizontal="center" vertical="center" wrapText="1"/>
    </xf>
    <xf fontId="14" fillId="3" borderId="0" numFmtId="166" xfId="0" applyNumberFormat="1" applyFont="1" applyFill="1"/>
    <xf fontId="6" fillId="3" borderId="0" numFmtId="166" xfId="9" applyNumberFormat="1" applyFont="1" applyFill="1" applyAlignment="1">
      <alignment horizontal="center" vertical="center"/>
    </xf>
    <xf fontId="6" fillId="3" borderId="0" numFmtId="166" xfId="9" applyNumberFormat="1" applyFont="1" applyFill="1" applyAlignment="1">
      <alignment horizontal="left" vertical="center"/>
    </xf>
    <xf fontId="15" fillId="4" borderId="3" numFmtId="166" xfId="3" applyNumberFormat="1" applyFont="1" applyFill="1" applyBorder="1" applyAlignment="1" applyProtection="1">
      <alignment horizontal="left" vertical="center"/>
    </xf>
    <xf fontId="7" fillId="3" borderId="0" numFmtId="166" xfId="9" applyNumberFormat="1" applyFont="1" applyFill="1" applyAlignment="1">
      <alignment horizontal="left" vertical="center"/>
    </xf>
    <xf fontId="16" fillId="3" borderId="0" numFmtId="166" xfId="9" applyNumberFormat="1" applyFont="1" applyFill="1" applyAlignment="1">
      <alignment horizontal="center" vertical="center"/>
    </xf>
    <xf fontId="7" fillId="3" borderId="0" numFmtId="166" xfId="0" applyNumberFormat="1" applyFont="1" applyFill="1" applyAlignment="1">
      <alignment horizontal="left" vertical="center"/>
    </xf>
    <xf fontId="9" fillId="3" borderId="0" numFmtId="166" xfId="0" applyNumberFormat="1" applyFont="1" applyFill="1" applyAlignment="1" applyProtection="1">
      <alignment horizontal="center" vertical="center"/>
      <protection locked="0"/>
    </xf>
    <xf fontId="8" fillId="0" borderId="0" numFmtId="0" xfId="0" applyFont="1" applyAlignment="1">
      <alignment vertical="center"/>
    </xf>
    <xf fontId="7" fillId="3" borderId="0" numFmtId="166" xfId="9" applyNumberFormat="1" applyFont="1" applyFill="1" applyAlignment="1">
      <alignment horizontal="center" vertical="center"/>
    </xf>
    <xf fontId="7" fillId="3" borderId="1" numFmtId="166" xfId="9" applyNumberFormat="1" applyFont="1" applyFill="1" applyBorder="1" applyAlignment="1">
      <alignment vertical="center" wrapText="1"/>
    </xf>
    <xf fontId="6" fillId="3" borderId="1" numFmtId="166" xfId="9" applyNumberFormat="1" applyFont="1" applyFill="1" applyBorder="1" applyAlignment="1">
      <alignment horizontal="center" shrinkToFit="1" vertical="center" wrapText="1"/>
    </xf>
    <xf fontId="6" fillId="3" borderId="4" numFmtId="166" xfId="9" applyNumberFormat="1" applyFont="1" applyFill="1" applyBorder="1" applyAlignment="1">
      <alignment horizontal="center" vertical="center" wrapText="1"/>
    </xf>
    <xf fontId="6" fillId="3" borderId="1" numFmtId="166" xfId="9" applyNumberFormat="1" applyFont="1" applyFill="1" applyBorder="1" applyAlignment="1">
      <alignment horizontal="left" vertical="center" wrapText="1"/>
    </xf>
    <xf fontId="6" fillId="3" borderId="1" numFmtId="166" xfId="9" applyNumberFormat="1" applyFont="1" applyFill="1" applyBorder="1" applyAlignment="1">
      <alignment shrinkToFit="1" vertical="center" wrapText="1"/>
    </xf>
    <xf fontId="6" fillId="3" borderId="2" numFmtId="166" xfId="9" applyNumberFormat="1" applyFont="1" applyFill="1" applyBorder="1" applyAlignment="1">
      <alignment horizontal="center" vertical="center" wrapText="1"/>
    </xf>
    <xf fontId="6" fillId="3" borderId="0" numFmtId="166" xfId="9" applyNumberFormat="1" applyFont="1" applyFill="1" applyAlignment="1">
      <alignment horizontal="left" vertical="center" wrapText="1"/>
    </xf>
    <xf fontId="9" fillId="3" borderId="0" numFmtId="166" xfId="9" applyNumberFormat="1" applyFont="1" applyFill="1" applyAlignment="1">
      <alignment horizontal="center" vertical="center"/>
    </xf>
    <xf fontId="17" fillId="3" borderId="0" numFmtId="166" xfId="9" applyNumberFormat="1" applyFont="1" applyFill="1" applyAlignment="1">
      <alignment horizontal="center" vertical="center"/>
    </xf>
    <xf fontId="6" fillId="3" borderId="0" numFmtId="166" xfId="9" applyNumberFormat="1" applyFont="1" applyFill="1" applyAlignment="1">
      <alignment horizontal="center" vertical="center" wrapText="1"/>
    </xf>
    <xf fontId="9" fillId="3" borderId="0" numFmtId="166" xfId="9" applyNumberFormat="1" applyFont="1" applyFill="1" applyAlignment="1">
      <alignment horizontal="center" vertical="center" wrapText="1"/>
    </xf>
    <xf fontId="7" fillId="3" borderId="0" numFmtId="166" xfId="9" applyNumberFormat="1" applyFont="1" applyFill="1" applyAlignment="1">
      <alignment horizontal="center" vertical="center" wrapText="1"/>
    </xf>
    <xf fontId="8" fillId="3" borderId="0" numFmtId="0" xfId="0" applyFont="1" applyFill="1" applyAlignment="1">
      <alignment vertical="center"/>
    </xf>
    <xf fontId="6" fillId="3" borderId="5" numFmtId="166" xfId="9" applyNumberFormat="1" applyFont="1" applyFill="1" applyBorder="1" applyAlignment="1">
      <alignment horizontal="center" vertical="center" wrapText="1"/>
    </xf>
    <xf fontId="6" fillId="3" borderId="6" numFmtId="166" xfId="9" applyNumberFormat="1" applyFont="1" applyFill="1" applyBorder="1" applyAlignment="1">
      <alignment horizontal="center" vertical="center" wrapText="1"/>
    </xf>
    <xf fontId="7" fillId="3" borderId="4" numFmtId="166" xfId="9" applyNumberFormat="1" applyFont="1" applyFill="1" applyBorder="1" applyAlignment="1">
      <alignment horizontal="center" vertical="center" wrapText="1"/>
    </xf>
    <xf fontId="6" fillId="3" borderId="7" numFmtId="166" xfId="9" applyNumberFormat="1" applyFont="1" applyFill="1" applyBorder="1" applyAlignment="1">
      <alignment horizontal="center" vertical="center"/>
    </xf>
    <xf fontId="6" fillId="3" borderId="8" numFmtId="166" xfId="9" applyNumberFormat="1" applyFont="1" applyFill="1" applyBorder="1" applyAlignment="1">
      <alignment horizontal="center" vertical="center"/>
    </xf>
    <xf fontId="7" fillId="3" borderId="2" numFmtId="166" xfId="9" applyNumberFormat="1" applyFont="1" applyFill="1" applyBorder="1" applyAlignment="1">
      <alignment horizontal="center" vertical="center" wrapText="1"/>
    </xf>
    <xf fontId="6" fillId="3" borderId="2" numFmtId="166" xfId="9" applyNumberFormat="1" applyFont="1" applyFill="1" applyBorder="1" applyAlignment="1">
      <alignment shrinkToFit="1" vertical="center" wrapText="1"/>
    </xf>
    <xf fontId="6" fillId="3" borderId="2" numFmtId="166" xfId="9" applyNumberFormat="1" applyFont="1" applyFill="1" applyBorder="1" applyAlignment="1">
      <alignment vertical="center" wrapText="1"/>
    </xf>
    <xf fontId="6" fillId="3" borderId="4" numFmtId="166" xfId="9" applyNumberFormat="1" applyFont="1" applyFill="1" applyBorder="1" applyAlignment="1">
      <alignment vertical="center" wrapText="1"/>
    </xf>
    <xf fontId="6" fillId="3" borderId="1" numFmtId="166" xfId="9" applyNumberFormat="1" applyFont="1" applyFill="1" applyBorder="1" applyAlignment="1" applyProtection="1">
      <alignment horizontal="left" vertical="center" wrapText="1"/>
      <protection hidden="1"/>
    </xf>
    <xf fontId="6" fillId="3" borderId="4" numFmtId="166" xfId="9" applyNumberFormat="1" applyFont="1" applyFill="1" applyBorder="1" applyAlignment="1">
      <alignment horizontal="center" shrinkToFit="1" vertical="center" wrapText="1"/>
    </xf>
    <xf fontId="6" fillId="3" borderId="2" numFmtId="166" xfId="9" applyNumberFormat="1" applyFont="1" applyFill="1" applyBorder="1" applyAlignment="1">
      <alignment horizontal="center" shrinkToFit="1" vertical="center" wrapText="1"/>
    </xf>
    <xf fontId="6" fillId="3" borderId="7" numFmtId="166" xfId="9" applyNumberFormat="1" applyFont="1" applyFill="1" applyBorder="1" applyAlignment="1">
      <alignment horizontal="center" vertical="center" wrapText="1"/>
    </xf>
    <xf fontId="6" fillId="3" borderId="8" numFmtId="166" xfId="9" applyNumberFormat="1" applyFont="1" applyFill="1" applyBorder="1" applyAlignment="1">
      <alignment horizontal="center" vertical="center" wrapText="1"/>
    </xf>
    <xf fontId="6" fillId="3" borderId="9" numFmtId="166" xfId="9" applyNumberFormat="1" applyFont="1" applyFill="1" applyBorder="1" applyAlignment="1">
      <alignment horizontal="center" vertical="center" wrapText="1"/>
    </xf>
    <xf fontId="6" fillId="3" borderId="0" numFmtId="166" xfId="9" applyNumberFormat="1" applyFont="1" applyFill="1" applyAlignment="1" applyProtection="1">
      <alignment horizontal="center" vertical="center"/>
      <protection locked="0"/>
    </xf>
    <xf fontId="7" fillId="3" borderId="1" numFmtId="166" xfId="9" applyNumberFormat="1" applyFont="1" applyFill="1" applyBorder="1" applyAlignment="1">
      <alignment horizontal="left" vertical="center"/>
    </xf>
    <xf fontId="7" fillId="3" borderId="1" numFmtId="166" xfId="9" applyNumberFormat="1" applyFont="1" applyFill="1" applyBorder="1" applyAlignment="1">
      <alignment horizontal="center" vertical="center"/>
    </xf>
    <xf fontId="7" fillId="3" borderId="1" numFmtId="166" xfId="9" applyNumberFormat="1" applyFont="1" applyFill="1" applyBorder="1" applyAlignment="1">
      <alignment horizontal="center" shrinkToFit="1" vertical="center" wrapText="1"/>
    </xf>
    <xf fontId="6" fillId="3" borderId="1" numFmtId="166" xfId="9" applyNumberFormat="1" applyFont="1" applyFill="1" applyBorder="1" applyAlignment="1" applyProtection="1">
      <alignment horizontal="center" vertical="center" wrapText="1"/>
      <protection hidden="1"/>
    </xf>
    <xf fontId="10" fillId="0" borderId="1" numFmtId="166" xfId="0" applyNumberFormat="1" applyFont="1" applyBorder="1" applyAlignment="1">
      <alignment horizontal="center" vertical="center" wrapText="1"/>
    </xf>
    <xf fontId="6" fillId="3" borderId="1" numFmtId="166" xfId="9" applyNumberFormat="1" applyFont="1" applyFill="1" applyBorder="1" applyAlignment="1" applyProtection="1">
      <alignment horizontal="center" vertical="center"/>
      <protection locked="0"/>
    </xf>
    <xf fontId="11" fillId="3" borderId="1" numFmtId="166" xfId="9" applyNumberFormat="1" applyFont="1" applyFill="1" applyBorder="1" applyAlignment="1" applyProtection="1">
      <alignment horizontal="center" vertical="center"/>
      <protection locked="0"/>
    </xf>
    <xf fontId="6" fillId="3" borderId="1" numFmtId="166" xfId="9" applyNumberFormat="1" applyFont="1" applyFill="1" applyBorder="1" applyAlignment="1">
      <alignment horizontal="center" vertical="center"/>
    </xf>
    <xf fontId="6" fillId="3" borderId="0" numFmtId="166" xfId="9" applyNumberFormat="1" applyFont="1" applyFill="1" applyAlignment="1" applyProtection="1">
      <alignment horizontal="center" vertical="center" wrapText="1"/>
      <protection locked="0"/>
    </xf>
    <xf fontId="8" fillId="0" borderId="1" numFmtId="0" xfId="0" applyFont="1" applyBorder="1" applyAlignment="1">
      <alignment horizontal="center" vertical="center" wrapText="1"/>
    </xf>
    <xf fontId="8" fillId="3" borderId="1" numFmtId="0" xfId="0" applyFont="1" applyFill="1" applyBorder="1" applyAlignment="1">
      <alignment horizontal="center" vertical="center" wrapText="1"/>
    </xf>
    <xf fontId="10" fillId="0" borderId="1" numFmtId="0" xfId="0" applyFont="1" applyBorder="1" applyAlignment="1">
      <alignment vertical="top" wrapText="1"/>
    </xf>
    <xf fontId="10" fillId="3" borderId="1" numFmtId="0" xfId="0" applyFont="1" applyFill="1" applyBorder="1" applyAlignment="1">
      <alignment horizontal="right" vertical="top" wrapText="1"/>
    </xf>
    <xf fontId="6" fillId="3" borderId="1" numFmtId="166" xfId="9" applyNumberFormat="1" applyFont="1" applyFill="1" applyBorder="1" applyAlignment="1">
      <alignment horizontal="left" vertical="center"/>
    </xf>
    <xf fontId="10" fillId="0" borderId="1" numFmtId="166" xfId="9" applyNumberFormat="1" applyFont="1" applyBorder="1" applyAlignment="1">
      <alignment horizontal="center" vertical="center"/>
    </xf>
    <xf fontId="6" fillId="3" borderId="0" numFmtId="166" xfId="9" applyNumberFormat="1" applyFont="1" applyFill="1" applyAlignment="1" applyProtection="1">
      <alignment horizontal="left" vertical="center" wrapText="1"/>
      <protection hidden="1"/>
    </xf>
    <xf fontId="6" fillId="3" borderId="0" numFmtId="166" xfId="9" applyNumberFormat="1" applyFont="1" applyFill="1" applyAlignment="1" applyProtection="1">
      <alignment horizontal="center" vertical="center" wrapText="1"/>
      <protection hidden="1"/>
    </xf>
    <xf fontId="6" fillId="3" borderId="1" numFmtId="164" xfId="9" applyNumberFormat="1" applyFont="1" applyFill="1" applyBorder="1" applyAlignment="1">
      <alignment horizontal="center" vertical="center" wrapText="1"/>
    </xf>
    <xf fontId="6" fillId="3" borderId="10" numFmtId="166" xfId="0" applyNumberFormat="1" applyFont="1" applyFill="1" applyBorder="1" applyAlignment="1">
      <alignment horizontal="left" vertical="center" wrapText="1"/>
    </xf>
    <xf fontId="6" fillId="3" borderId="1" numFmtId="172" xfId="9" applyNumberFormat="1" applyFont="1" applyFill="1" applyBorder="1" applyAlignment="1">
      <alignment horizontal="center" vertical="center" wrapText="1"/>
    </xf>
    <xf fontId="8" fillId="3" borderId="1" numFmtId="49" xfId="0" applyNumberFormat="1" applyFont="1" applyFill="1" applyBorder="1" applyAlignment="1">
      <alignment horizontal="center" vertical="top" wrapText="1"/>
    </xf>
    <xf fontId="10" fillId="3" borderId="1" numFmtId="166" xfId="0" applyNumberFormat="1" applyFont="1" applyFill="1" applyBorder="1" applyAlignment="1">
      <alignment vertical="top" wrapText="1"/>
    </xf>
    <xf fontId="10" fillId="3" borderId="1" numFmtId="166" xfId="0" applyNumberFormat="1" applyFont="1" applyFill="1" applyBorder="1" applyAlignment="1">
      <alignment horizontal="right" vertical="top" wrapText="1"/>
    </xf>
    <xf fontId="8" fillId="3" borderId="1" numFmtId="166" xfId="0" applyNumberFormat="1" applyFont="1" applyFill="1" applyBorder="1" applyAlignment="1">
      <alignment horizontal="right" vertical="top" wrapText="1"/>
    </xf>
    <xf fontId="6" fillId="3" borderId="1" numFmtId="166" xfId="9" applyNumberFormat="1" applyFont="1" applyFill="1" applyBorder="1" applyAlignment="1">
      <alignment horizontal="center"/>
    </xf>
    <xf fontId="7" fillId="3" borderId="0" numFmtId="0" xfId="0" applyFont="1" applyFill="1" applyAlignment="1">
      <alignment horizontal="center" vertical="center"/>
    </xf>
    <xf fontId="8" fillId="3" borderId="1" numFmtId="166" xfId="0" applyNumberFormat="1" applyFont="1" applyFill="1" applyBorder="1" applyAlignment="1">
      <alignment horizontal="center" vertical="center" wrapText="1"/>
    </xf>
    <xf fontId="8" fillId="3" borderId="1" numFmtId="49" xfId="0" applyNumberFormat="1" applyFont="1" applyFill="1" applyBorder="1" applyAlignment="1">
      <alignment horizontal="center" vertical="center" wrapText="1"/>
    </xf>
    <xf fontId="6" fillId="0" borderId="0" numFmtId="0" xfId="0" applyFont="1"/>
    <xf fontId="6" fillId="0" borderId="0" numFmtId="0" xfId="0" applyFont="1" applyAlignment="1">
      <alignment horizontal="center"/>
    </xf>
    <xf fontId="6" fillId="0" borderId="0" numFmtId="165" xfId="9" applyNumberFormat="1" applyFont="1" applyAlignment="1">
      <alignment horizontal="center"/>
    </xf>
    <xf fontId="0" fillId="0" borderId="0" numFmtId="3" xfId="0" applyNumberFormat="1"/>
    <xf fontId="4" fillId="0" borderId="0" numFmtId="0" xfId="4" applyFont="1"/>
    <xf fontId="18" fillId="0" borderId="0" numFmtId="0" xfId="4" applyFont="1"/>
    <xf fontId="18" fillId="5" borderId="1" numFmtId="0" xfId="4" applyFont="1" applyFill="1" applyBorder="1" applyAlignment="1">
      <alignment horizontal="center" vertical="center"/>
    </xf>
    <xf fontId="0" fillId="0" borderId="1" numFmtId="0" xfId="0" applyBorder="1" applyAlignment="1">
      <alignment vertical="center" wrapText="1"/>
    </xf>
    <xf fontId="4" fillId="0" borderId="1" numFmtId="0" xfId="4" applyFont="1" applyBorder="1"/>
    <xf fontId="18" fillId="5" borderId="1" numFmtId="0" xfId="4" applyFont="1" applyFill="1" applyBorder="1" applyAlignment="1">
      <alignment horizontal="center"/>
    </xf>
    <xf fontId="19" fillId="0" borderId="0" numFmtId="0" xfId="0" applyFont="1" applyAlignment="1">
      <alignment horizontal="center" wrapText="1"/>
    </xf>
    <xf fontId="0" fillId="0" borderId="0" numFmtId="0" xfId="0" applyAlignment="1">
      <alignment horizontal="center" wrapText="1"/>
    </xf>
    <xf fontId="7" fillId="6" borderId="1" numFmtId="166" xfId="10" applyNumberFormat="1" applyFont="1" applyFill="1" applyBorder="1" applyAlignment="1">
      <alignment horizontal="center" vertical="center" wrapText="1"/>
    </xf>
    <xf fontId="6" fillId="6" borderId="1" numFmtId="166" xfId="10" applyNumberFormat="1" applyFont="1" applyFill="1" applyBorder="1"/>
    <xf fontId="6" fillId="0" borderId="1" numFmtId="166" xfId="10" applyNumberFormat="1" applyFont="1" applyBorder="1"/>
    <xf fontId="6" fillId="6" borderId="1" numFmtId="166" xfId="10" applyNumberFormat="1" applyFont="1" applyFill="1" applyBorder="1" applyAlignment="1">
      <alignment wrapText="1"/>
    </xf>
    <xf fontId="6" fillId="7" borderId="1" numFmtId="166" xfId="10" applyNumberFormat="1" applyFont="1" applyFill="1" applyBorder="1"/>
    <xf fontId="6" fillId="3" borderId="1" numFmtId="166" xfId="10" applyNumberFormat="1" applyFont="1" applyFill="1" applyBorder="1"/>
    <xf fontId="9" fillId="6" borderId="1" numFmtId="166" xfId="0" applyNumberFormat="1" applyFont="1" applyFill="1" applyBorder="1" applyAlignment="1">
      <alignment wrapText="1"/>
    </xf>
    <xf fontId="9" fillId="3" borderId="7" numFmtId="0" xfId="10" applyFont="1" applyFill="1" applyBorder="1" applyAlignment="1">
      <alignment horizontal="center" wrapText="1"/>
    </xf>
    <xf fontId="9" fillId="3" borderId="9" numFmtId="0" xfId="10" applyFont="1" applyFill="1" applyBorder="1" applyAlignment="1">
      <alignment horizontal="center" wrapText="1"/>
    </xf>
    <xf fontId="9" fillId="3" borderId="8" numFmtId="0" xfId="10" applyFont="1" applyFill="1" applyBorder="1" applyAlignment="1">
      <alignment horizontal="center" wrapText="1"/>
    </xf>
    <xf fontId="16" fillId="3" borderId="0" numFmtId="166" xfId="0" applyNumberFormat="1" applyFont="1" applyFill="1"/>
    <xf fontId="6" fillId="3" borderId="0" numFmtId="166" xfId="10" applyNumberFormat="1" applyFont="1" applyFill="1"/>
    <xf fontId="6" fillId="3" borderId="1" numFmtId="164" xfId="10" applyNumberFormat="1" applyFont="1" applyFill="1" applyBorder="1"/>
    <xf fontId="6" fillId="3" borderId="1" numFmtId="10" xfId="10" applyNumberFormat="1" applyFont="1" applyFill="1" applyBorder="1"/>
    <xf fontId="9" fillId="6" borderId="1" numFmtId="166" xfId="0" applyNumberFormat="1" applyFont="1" applyFill="1" applyBorder="1" applyAlignment="1">
      <alignment horizontal="left" vertical="center" wrapText="1"/>
    </xf>
    <xf fontId="9" fillId="3" borderId="7" numFmtId="49" xfId="10" applyNumberFormat="1" applyFont="1" applyFill="1" applyBorder="1" applyAlignment="1">
      <alignment horizontal="left" wrapText="1"/>
    </xf>
    <xf fontId="9" fillId="3" borderId="9" numFmtId="49" xfId="10" applyNumberFormat="1" applyFont="1" applyFill="1" applyBorder="1" applyAlignment="1">
      <alignment horizontal="left" wrapText="1"/>
    </xf>
    <xf fontId="9" fillId="3" borderId="8" numFmtId="49" xfId="10" applyNumberFormat="1" applyFont="1" applyFill="1" applyBorder="1" applyAlignment="1">
      <alignment horizontal="left" wrapText="1"/>
    </xf>
    <xf fontId="6" fillId="3" borderId="0" numFmtId="166" xfId="10" applyNumberFormat="1" applyFont="1" applyFill="1" applyAlignment="1">
      <alignment horizontal="center" wrapText="1"/>
    </xf>
    <xf fontId="6" fillId="3" borderId="0" numFmtId="173" xfId="0" applyNumberFormat="1" applyFont="1" applyFill="1"/>
    <xf fontId="6" fillId="6" borderId="1" numFmtId="173" xfId="10" applyNumberFormat="1" applyFont="1" applyFill="1" applyBorder="1" applyAlignment="1">
      <alignment wrapText="1"/>
    </xf>
    <xf fontId="6" fillId="3" borderId="1" numFmtId="2" xfId="10" applyNumberFormat="1" applyFont="1" applyFill="1" applyBorder="1"/>
    <xf fontId="20" fillId="3" borderId="0" numFmtId="173" xfId="0" applyNumberFormat="1" applyFont="1" applyFill="1"/>
    <xf fontId="20" fillId="6" borderId="1" numFmtId="173" xfId="10" applyNumberFormat="1" applyFont="1" applyFill="1" applyBorder="1" applyAlignment="1">
      <alignment wrapText="1"/>
    </xf>
    <xf fontId="20" fillId="3" borderId="1" numFmtId="164" xfId="10" applyNumberFormat="1" applyFont="1" applyFill="1" applyBorder="1"/>
    <xf fontId="6" fillId="3" borderId="1" numFmtId="165" xfId="10" applyNumberFormat="1" applyFont="1" applyFill="1" applyBorder="1"/>
    <xf fontId="9" fillId="6" borderId="1" numFmtId="173" xfId="0" applyNumberFormat="1" applyFont="1" applyFill="1" applyBorder="1" applyAlignment="1">
      <alignment horizontal="left" vertical="center" wrapText="1"/>
    </xf>
    <xf fontId="6" fillId="3" borderId="0" numFmtId="173" xfId="10" applyNumberFormat="1" applyFont="1" applyFill="1" applyAlignment="1">
      <alignment horizontal="center" wrapText="1"/>
    </xf>
    <xf fontId="7" fillId="3" borderId="0" numFmtId="173" xfId="0" applyNumberFormat="1" applyFont="1" applyFill="1"/>
    <xf fontId="6" fillId="3" borderId="0" numFmtId="173" xfId="0" applyNumberFormat="1" applyFont="1" applyFill="1" applyAlignment="1">
      <alignment horizontal="center" vertical="center"/>
    </xf>
    <xf fontId="7" fillId="6" borderId="1" numFmtId="173" xfId="0" applyNumberFormat="1" applyFont="1" applyFill="1" applyBorder="1" applyAlignment="1">
      <alignment horizontal="center" vertical="center"/>
    </xf>
    <xf fontId="7" fillId="6" borderId="1" numFmtId="173" xfId="0" applyNumberFormat="1" applyFont="1" applyFill="1" applyBorder="1" applyAlignment="1">
      <alignment horizontal="center" vertical="center" wrapText="1"/>
    </xf>
    <xf fontId="6" fillId="6" borderId="1" numFmtId="173" xfId="0" applyNumberFormat="1" applyFont="1" applyFill="1" applyBorder="1" applyAlignment="1">
      <alignment wrapText="1"/>
    </xf>
    <xf fontId="6" fillId="3" borderId="1" numFmtId="172" xfId="11" applyNumberFormat="1" applyFont="1" applyFill="1" applyBorder="1" applyAlignment="1">
      <alignment wrapText="1"/>
    </xf>
    <xf fontId="9" fillId="3" borderId="7" numFmtId="173" xfId="0" applyNumberFormat="1" applyFont="1" applyFill="1" applyBorder="1" applyAlignment="1">
      <alignment horizontal="left" wrapText="1"/>
    </xf>
    <xf fontId="9" fillId="3" borderId="9" numFmtId="173" xfId="0" applyNumberFormat="1" applyFont="1" applyFill="1" applyBorder="1" applyAlignment="1">
      <alignment horizontal="left" wrapText="1"/>
    </xf>
    <xf fontId="9" fillId="3" borderId="8" numFmtId="173" xfId="0" applyNumberFormat="1" applyFont="1" applyFill="1" applyBorder="1" applyAlignment="1">
      <alignment horizontal="left" wrapText="1"/>
    </xf>
    <xf fontId="7" fillId="3" borderId="0" numFmtId="173" xfId="0" applyNumberFormat="1" applyFont="1" applyFill="1" applyAlignment="1">
      <alignment wrapText="1"/>
    </xf>
    <xf fontId="6" fillId="3" borderId="1" numFmtId="173" xfId="11" applyNumberFormat="1" applyFont="1" applyFill="1" applyBorder="1" applyAlignment="1">
      <alignment wrapText="1"/>
    </xf>
    <xf fontId="9" fillId="6" borderId="1" numFmtId="173" xfId="10" applyNumberFormat="1" applyFont="1" applyFill="1" applyBorder="1" applyAlignment="1">
      <alignment horizontal="left" vertical="center" wrapText="1"/>
    </xf>
    <xf fontId="11" fillId="3" borderId="0" numFmtId="173" xfId="0" applyNumberFormat="1" applyFont="1" applyFill="1"/>
    <xf fontId="11" fillId="3" borderId="0" numFmtId="173" xfId="0" applyNumberFormat="1" applyFont="1" applyFill="1" applyAlignment="1">
      <alignment horizontal="center" vertical="center"/>
    </xf>
    <xf fontId="6" fillId="3" borderId="0" numFmtId="166" xfId="6" applyNumberFormat="1" applyFont="1" applyFill="1"/>
    <xf fontId="7" fillId="3" borderId="0" numFmtId="166" xfId="6" applyNumberFormat="1" applyFont="1" applyFill="1"/>
    <xf fontId="7" fillId="6" borderId="4" numFmtId="166" xfId="12" applyNumberFormat="1" applyFont="1" applyFill="1" applyBorder="1" applyAlignment="1">
      <alignment horizontal="center" vertical="center" wrapText="1"/>
    </xf>
    <xf fontId="7" fillId="6" borderId="4" numFmtId="166" xfId="6" applyNumberFormat="1" applyFont="1" applyFill="1" applyBorder="1" applyAlignment="1">
      <alignment horizontal="center" vertical="center" wrapText="1"/>
    </xf>
    <xf fontId="7" fillId="6" borderId="1" numFmtId="166" xfId="12" applyNumberFormat="1" applyFont="1" applyFill="1" applyBorder="1" applyAlignment="1">
      <alignment horizontal="center" vertical="center" wrapText="1"/>
    </xf>
    <xf fontId="7" fillId="6" borderId="1" numFmtId="166" xfId="6" applyNumberFormat="1" applyFont="1" applyFill="1" applyBorder="1" applyAlignment="1">
      <alignment horizontal="center" vertical="center"/>
    </xf>
    <xf fontId="7" fillId="6" borderId="1" numFmtId="166" xfId="6" applyNumberFormat="1" applyFont="1" applyFill="1" applyBorder="1" applyAlignment="1">
      <alignment horizontal="center"/>
    </xf>
    <xf fontId="7" fillId="6" borderId="11" numFmtId="166" xfId="12" applyNumberFormat="1" applyFont="1" applyFill="1" applyBorder="1" applyAlignment="1">
      <alignment horizontal="center" vertical="center" wrapText="1"/>
    </xf>
    <xf fontId="7" fillId="6" borderId="11" numFmtId="166" xfId="6" applyNumberFormat="1" applyFont="1" applyFill="1" applyBorder="1" applyAlignment="1">
      <alignment horizontal="center" vertical="center" wrapText="1"/>
    </xf>
    <xf fontId="7" fillId="6" borderId="2" numFmtId="166" xfId="12" applyNumberFormat="1" applyFont="1" applyFill="1" applyBorder="1" applyAlignment="1">
      <alignment horizontal="center" vertical="center" wrapText="1"/>
    </xf>
    <xf fontId="7" fillId="6" borderId="2" numFmtId="166" xfId="6" applyNumberFormat="1" applyFont="1" applyFill="1" applyBorder="1" applyAlignment="1">
      <alignment horizontal="center" wrapText="1"/>
    </xf>
    <xf fontId="7" fillId="6" borderId="7" numFmtId="166" xfId="6" applyNumberFormat="1" applyFont="1" applyFill="1" applyBorder="1" applyAlignment="1">
      <alignment horizontal="center" wrapText="1"/>
    </xf>
    <xf fontId="7" fillId="6" borderId="9" numFmtId="166" xfId="6" applyNumberFormat="1" applyFont="1" applyFill="1" applyBorder="1" applyAlignment="1">
      <alignment horizontal="center" wrapText="1"/>
    </xf>
    <xf fontId="7" fillId="6" borderId="8" numFmtId="166" xfId="6" applyNumberFormat="1" applyFont="1" applyFill="1" applyBorder="1" applyAlignment="1">
      <alignment horizontal="center" wrapText="1"/>
    </xf>
    <xf fontId="7" fillId="6" borderId="1" numFmtId="166" xfId="6" applyNumberFormat="1" applyFont="1" applyFill="1" applyBorder="1" applyAlignment="1">
      <alignment horizontal="center" wrapText="1"/>
    </xf>
    <xf fontId="7" fillId="3" borderId="0" numFmtId="166" xfId="6" applyNumberFormat="1" applyFont="1" applyFill="1" applyAlignment="1">
      <alignment wrapText="1"/>
    </xf>
    <xf fontId="7" fillId="6" borderId="2" numFmtId="166" xfId="6" applyNumberFormat="1" applyFont="1" applyFill="1" applyBorder="1" applyAlignment="1">
      <alignment horizontal="center" vertical="center" wrapText="1"/>
    </xf>
    <xf fontId="7" fillId="6" borderId="1" numFmtId="49" xfId="6" applyNumberFormat="1" applyFont="1" applyFill="1" applyBorder="1" applyAlignment="1">
      <alignment horizontal="center" vertical="center" wrapText="1"/>
    </xf>
    <xf fontId="7" fillId="6" borderId="1" numFmtId="49" xfId="12" applyNumberFormat="1" applyFont="1" applyFill="1" applyBorder="1" applyAlignment="1">
      <alignment horizontal="center" vertical="center" wrapText="1"/>
    </xf>
    <xf fontId="7" fillId="6" borderId="4" numFmtId="49" xfId="12" applyNumberFormat="1" applyFont="1" applyFill="1" applyBorder="1" applyAlignment="1">
      <alignment horizontal="center" vertical="center" wrapText="1"/>
    </xf>
    <xf fontId="7" fillId="6" borderId="1" numFmtId="166" xfId="6" applyNumberFormat="1" applyFont="1" applyFill="1" applyBorder="1" applyAlignment="1">
      <alignment wrapText="1"/>
    </xf>
    <xf fontId="6" fillId="3" borderId="1" numFmtId="166" xfId="6" applyNumberFormat="1" applyFont="1" applyFill="1" applyBorder="1"/>
    <xf fontId="6" fillId="3" borderId="1" numFmtId="173" xfId="12" applyNumberFormat="1" applyFont="1" applyFill="1" applyBorder="1"/>
    <xf fontId="6" fillId="3" borderId="1" numFmtId="166" xfId="12" applyNumberFormat="1" applyFont="1" applyFill="1" applyBorder="1"/>
    <xf fontId="6" fillId="3" borderId="7" numFmtId="166" xfId="12" applyNumberFormat="1" applyFont="1" applyFill="1" applyBorder="1"/>
    <xf fontId="6" fillId="3" borderId="12" numFmtId="166" xfId="12" applyNumberFormat="1" applyFont="1" applyFill="1" applyBorder="1"/>
    <xf fontId="6" fillId="6" borderId="1" numFmtId="166" xfId="6" applyNumberFormat="1" applyFont="1" applyFill="1" applyBorder="1" applyAlignment="1">
      <alignment wrapText="1"/>
    </xf>
    <xf fontId="7" fillId="3" borderId="1" numFmtId="166" xfId="6" applyNumberFormat="1" applyFont="1" applyFill="1" applyBorder="1" applyAlignment="1">
      <alignment horizontal="center"/>
    </xf>
    <xf fontId="6" fillId="3" borderId="1" numFmtId="166" xfId="6" applyNumberFormat="1" applyFont="1" applyFill="1" applyBorder="1" applyAlignment="1">
      <alignment horizontal="center"/>
    </xf>
    <xf fontId="6" fillId="3" borderId="1" numFmtId="172" xfId="12" applyNumberFormat="1" applyFont="1" applyFill="1" applyBorder="1"/>
    <xf fontId="6" fillId="3" borderId="7" numFmtId="172" xfId="12" applyNumberFormat="1" applyFont="1" applyFill="1" applyBorder="1"/>
    <xf fontId="6" fillId="3" borderId="12" numFmtId="172" xfId="12" applyNumberFormat="1" applyFont="1" applyFill="1" applyBorder="1"/>
    <xf fontId="6" fillId="3" borderId="12" numFmtId="166" xfId="6" applyNumberFormat="1" applyFont="1" applyFill="1" applyBorder="1"/>
    <xf fontId="9" fillId="6" borderId="1" numFmtId="166" xfId="6" applyNumberFormat="1" applyFont="1" applyFill="1" applyBorder="1" applyAlignment="1">
      <alignment wrapText="1"/>
    </xf>
    <xf fontId="9" fillId="3" borderId="1" numFmtId="166" xfId="6" applyNumberFormat="1" applyFont="1" applyFill="1" applyBorder="1"/>
    <xf fontId="9" fillId="3" borderId="1" numFmtId="166" xfId="12" applyNumberFormat="1" applyFont="1" applyFill="1" applyBorder="1"/>
    <xf fontId="9" fillId="3" borderId="0" numFmtId="166" xfId="6" applyNumberFormat="1" applyFont="1" applyFill="1"/>
    <xf fontId="6" fillId="3" borderId="0" numFmtId="166" xfId="12" applyNumberFormat="1" applyFont="1" applyFill="1"/>
    <xf fontId="6" fillId="3" borderId="0" numFmtId="173" xfId="12" applyNumberFormat="1" applyFont="1" applyFill="1"/>
    <xf fontId="7" fillId="6" borderId="7" numFmtId="166" xfId="6" applyNumberFormat="1" applyFont="1" applyFill="1" applyBorder="1" applyAlignment="1">
      <alignment horizontal="center"/>
    </xf>
    <xf fontId="7" fillId="6" borderId="9" numFmtId="166" xfId="6" applyNumberFormat="1" applyFont="1" applyFill="1" applyBorder="1" applyAlignment="1">
      <alignment horizontal="center"/>
    </xf>
    <xf fontId="7" fillId="6" borderId="8" numFmtId="166" xfId="6" applyNumberFormat="1" applyFont="1" applyFill="1" applyBorder="1" applyAlignment="1">
      <alignment horizontal="center"/>
    </xf>
    <xf fontId="7" fillId="3" borderId="0" numFmtId="166" xfId="6" applyNumberFormat="1" applyFont="1" applyFill="1" applyAlignment="1">
      <alignment horizontal="center" vertical="center" wrapText="1"/>
    </xf>
    <xf fontId="7" fillId="6" borderId="1" numFmtId="166" xfId="6" applyNumberFormat="1" applyFont="1" applyFill="1" applyBorder="1" applyAlignment="1">
      <alignment horizontal="center" vertical="center" wrapText="1"/>
    </xf>
    <xf fontId="6" fillId="0" borderId="1" numFmtId="4" xfId="12" applyNumberFormat="1" applyFont="1" applyBorder="1"/>
    <xf fontId="6" fillId="0" borderId="7" numFmtId="4" xfId="12" applyNumberFormat="1" applyFont="1" applyBorder="1"/>
    <xf fontId="6" fillId="3" borderId="12" numFmtId="4" xfId="12" applyNumberFormat="1" applyFont="1" applyFill="1" applyBorder="1"/>
    <xf fontId="16" fillId="3" borderId="0" numFmtId="166" xfId="6" applyNumberFormat="1" applyFont="1" applyFill="1"/>
    <xf fontId="9" fillId="3" borderId="1" numFmtId="166" xfId="6" applyNumberFormat="1" applyFont="1" applyFill="1" applyBorder="1" applyAlignment="1">
      <alignment horizontal="center"/>
    </xf>
    <xf fontId="9" fillId="0" borderId="1" numFmtId="4" xfId="12" applyNumberFormat="1" applyFont="1" applyBorder="1"/>
    <xf fontId="9" fillId="0" borderId="7" numFmtId="4" xfId="12" applyNumberFormat="1" applyFont="1" applyBorder="1"/>
    <xf fontId="9" fillId="3" borderId="12" numFmtId="166" xfId="6" applyNumberFormat="1" applyFont="1" applyFill="1" applyBorder="1"/>
    <xf fontId="21" fillId="0" borderId="0" numFmtId="0" xfId="0" applyFont="1"/>
    <xf fontId="9" fillId="3" borderId="1" numFmtId="4" xfId="12" applyNumberFormat="1" applyFont="1" applyFill="1" applyBorder="1"/>
    <xf fontId="9" fillId="3" borderId="7" numFmtId="4" xfId="12" applyNumberFormat="1" applyFont="1" applyFill="1" applyBorder="1"/>
    <xf fontId="7" fillId="6" borderId="1" numFmtId="49" xfId="6" applyNumberFormat="1" applyFont="1" applyFill="1" applyBorder="1" applyAlignment="1">
      <alignment horizontal="center"/>
    </xf>
    <xf fontId="7" fillId="6" borderId="7" numFmtId="166" xfId="6" applyNumberFormat="1" applyFont="1" applyFill="1" applyBorder="1" applyAlignment="1">
      <alignment horizontal="center" vertical="center" wrapText="1"/>
    </xf>
    <xf fontId="7" fillId="6" borderId="9" numFmtId="166" xfId="6" applyNumberFormat="1" applyFont="1" applyFill="1" applyBorder="1" applyAlignment="1">
      <alignment horizontal="center" vertical="center" wrapText="1"/>
    </xf>
    <xf fontId="7" fillId="6" borderId="8" numFmtId="166" xfId="6" applyNumberFormat="1" applyFont="1" applyFill="1" applyBorder="1" applyAlignment="1">
      <alignment horizontal="center" vertical="center" wrapText="1"/>
    </xf>
    <xf fontId="6" fillId="0" borderId="1" numFmtId="172" xfId="12" applyNumberFormat="1" applyFont="1" applyBorder="1"/>
    <xf fontId="6" fillId="0" borderId="4" numFmtId="172" xfId="12" applyNumberFormat="1" applyFont="1" applyBorder="1" applyAlignment="1">
      <alignment horizontal="center" vertical="center"/>
    </xf>
    <xf fontId="6" fillId="0" borderId="7" numFmtId="166" xfId="6" applyNumberFormat="1" applyFont="1" applyBorder="1" applyAlignment="1">
      <alignment horizontal="left" wrapText="1"/>
    </xf>
    <xf fontId="6" fillId="0" borderId="9" numFmtId="166" xfId="6" applyNumberFormat="1" applyFont="1" applyBorder="1" applyAlignment="1">
      <alignment horizontal="left" wrapText="1"/>
    </xf>
    <xf fontId="6" fillId="0" borderId="8" numFmtId="166" xfId="6" applyNumberFormat="1" applyFont="1" applyBorder="1" applyAlignment="1">
      <alignment horizontal="left" wrapText="1"/>
    </xf>
    <xf fontId="6" fillId="0" borderId="11" numFmtId="172" xfId="12" applyNumberFormat="1" applyFont="1" applyBorder="1" applyAlignment="1">
      <alignment horizontal="center" vertical="center"/>
    </xf>
    <xf fontId="6" fillId="0" borderId="2" numFmtId="172" xfId="12" applyNumberFormat="1" applyFont="1" applyBorder="1" applyAlignment="1">
      <alignment horizontal="center" vertical="center"/>
    </xf>
    <xf fontId="6" fillId="3" borderId="0" numFmtId="166" xfId="6" applyNumberFormat="1" applyFont="1" applyFill="1" applyAlignment="1">
      <alignment wrapText="1"/>
    </xf>
    <xf fontId="6" fillId="3" borderId="0" numFmtId="166" xfId="6" applyNumberFormat="1" applyFont="1" applyFill="1" applyAlignment="1">
      <alignment horizontal="left" wrapText="1"/>
    </xf>
    <xf fontId="9" fillId="3" borderId="0" numFmtId="166" xfId="6" applyNumberFormat="1" applyFont="1" applyFill="1" applyAlignment="1">
      <alignment horizontal="right" vertical="center" wrapText="1"/>
    </xf>
    <xf fontId="6" fillId="8" borderId="0" numFmtId="49" xfId="6" applyNumberFormat="1" applyFont="1" applyFill="1" applyAlignment="1">
      <alignment horizontal="left" vertical="center" wrapText="1"/>
    </xf>
    <xf fontId="7" fillId="6" borderId="13" numFmtId="166" xfId="6" applyNumberFormat="1" applyFont="1" applyFill="1" applyBorder="1" applyAlignment="1">
      <alignment horizontal="center" vertical="center" wrapText="1"/>
    </xf>
    <xf fontId="7" fillId="6" borderId="14" numFmtId="166" xfId="6" applyNumberFormat="1" applyFont="1" applyFill="1" applyBorder="1" applyAlignment="1">
      <alignment horizontal="center" vertical="center" wrapText="1"/>
    </xf>
    <xf fontId="7" fillId="6" borderId="15" numFmtId="166" xfId="6" applyNumberFormat="1" applyFont="1" applyFill="1" applyBorder="1" applyAlignment="1">
      <alignment horizontal="center" vertical="center" wrapText="1"/>
    </xf>
    <xf fontId="7" fillId="6" borderId="1" numFmtId="166" xfId="10" applyNumberFormat="1" applyFont="1" applyFill="1" applyBorder="1" applyAlignment="1">
      <alignment horizontal="center" vertical="center"/>
    </xf>
    <xf fontId="6" fillId="3" borderId="0" numFmtId="166" xfId="10" applyNumberFormat="1" applyFont="1" applyFill="1" applyAlignment="1">
      <alignment wrapText="1"/>
    </xf>
    <xf fontId="6" fillId="3" borderId="1" numFmtId="172" xfId="0" applyNumberFormat="1" applyFont="1" applyFill="1" applyBorder="1" applyAlignment="1">
      <alignment horizontal="center"/>
    </xf>
    <xf fontId="9" fillId="3" borderId="0" numFmtId="173" xfId="0" applyNumberFormat="1" applyFont="1" applyFill="1" applyAlignment="1">
      <alignment horizontal="right" vertical="center"/>
    </xf>
    <xf fontId="6" fillId="8" borderId="0" numFmtId="49" xfId="0" applyNumberFormat="1" applyFont="1" applyFill="1" applyAlignment="1">
      <alignment horizontal="left" wrapText="1"/>
    </xf>
    <xf fontId="6" fillId="8" borderId="0" numFmtId="49" xfId="0" applyNumberFormat="1" applyFont="1" applyFill="1" applyAlignment="1">
      <alignment horizontal="left"/>
    </xf>
    <xf fontId="6" fillId="0" borderId="1" numFmtId="172" xfId="0" applyNumberFormat="1" applyFont="1" applyBorder="1"/>
    <xf fontId="6" fillId="3" borderId="1" numFmtId="172" xfId="0" applyNumberFormat="1" applyFont="1" applyFill="1" applyBorder="1"/>
    <xf fontId="6" fillId="3" borderId="0" numFmtId="173" xfId="0" applyNumberFormat="1" applyFont="1" applyFill="1" applyAlignment="1">
      <alignment wrapText="1"/>
    </xf>
    <xf fontId="9" fillId="3" borderId="16" numFmtId="173" xfId="0" applyNumberFormat="1" applyFont="1" applyFill="1" applyBorder="1" applyAlignment="1">
      <alignment horizontal="right" vertical="center"/>
    </xf>
    <xf fontId="6" fillId="0" borderId="1" numFmtId="172" xfId="0" applyNumberFormat="1" applyFont="1" applyBorder="1" applyAlignment="1">
      <alignment horizontal="center"/>
    </xf>
    <xf fontId="6" fillId="0" borderId="1" numFmtId="172" xfId="0" applyNumberFormat="1" applyFont="1" applyBorder="1" applyAlignment="1">
      <alignment horizontal="right"/>
    </xf>
    <xf fontId="6" fillId="3" borderId="0" numFmtId="173" xfId="10" applyNumberFormat="1" applyFont="1" applyFill="1" applyAlignment="1">
      <alignment wrapText="1"/>
    </xf>
    <xf fontId="6" fillId="3" borderId="0" numFmtId="173" xfId="0" applyNumberFormat="1" applyFont="1" applyFill="1" applyAlignment="1">
      <alignment horizontal="center"/>
    </xf>
    <xf fontId="6" fillId="8" borderId="0" numFmtId="49" xfId="0" applyNumberFormat="1" applyFont="1" applyFill="1" applyAlignment="1">
      <alignment horizontal="left" vertical="center" wrapText="1"/>
    </xf>
    <xf fontId="6" fillId="0" borderId="1" numFmtId="164" xfId="10" applyNumberFormat="1" applyFont="1" applyBorder="1" applyAlignment="1">
      <alignment horizontal="center"/>
    </xf>
    <xf fontId="6" fillId="6" borderId="1" numFmtId="0" xfId="0" applyFont="1" applyFill="1" applyBorder="1" applyAlignment="1">
      <alignment wrapText="1"/>
    </xf>
    <xf fontId="6" fillId="0" borderId="1" numFmtId="165" xfId="10" applyNumberFormat="1" applyFont="1" applyBorder="1" applyAlignment="1">
      <alignment horizontal="center"/>
    </xf>
    <xf fontId="6" fillId="0" borderId="1" numFmtId="165" xfId="10" applyNumberFormat="1" applyFont="1" applyBorder="1"/>
    <xf fontId="6" fillId="0" borderId="1" numFmtId="166" xfId="0" applyNumberFormat="1" applyFont="1" applyBorder="1"/>
    <xf fontId="6" fillId="8" borderId="0" numFmtId="49" xfId="0" applyNumberFormat="1" applyFont="1" applyFill="1" applyAlignment="1">
      <alignment horizontal="left" vertical="center"/>
    </xf>
    <xf fontId="6" fillId="0" borderId="1" numFmtId="164" xfId="10" applyNumberFormat="1" applyFont="1" applyBorder="1"/>
    <xf fontId="7" fillId="6" borderId="1" numFmtId="173" xfId="10" applyNumberFormat="1" applyFont="1" applyFill="1" applyBorder="1" applyAlignment="1">
      <alignment horizontal="center" vertical="center" wrapText="1"/>
    </xf>
    <xf fontId="6" fillId="6" borderId="1" numFmtId="173" xfId="10" applyNumberFormat="1" applyFont="1" applyFill="1" applyBorder="1"/>
    <xf fontId="6" fillId="3" borderId="1" numFmtId="166" xfId="10" applyNumberFormat="1" applyFont="1" applyFill="1" applyBorder="1" applyAlignment="1">
      <alignment horizontal="center" vertical="center"/>
    </xf>
    <xf fontId="6" fillId="3" borderId="1" numFmtId="172" xfId="10" applyNumberFormat="1" applyFont="1" applyFill="1" applyBorder="1" applyAlignment="1">
      <alignment horizontal="center" vertical="center"/>
    </xf>
    <xf fontId="6" fillId="3" borderId="1" numFmtId="173" xfId="10" applyNumberFormat="1" applyFont="1" applyFill="1" applyBorder="1" applyAlignment="1">
      <alignment horizontal="center" vertical="center"/>
    </xf>
    <xf fontId="6" fillId="3" borderId="1" numFmtId="169" xfId="10" applyNumberFormat="1" applyFont="1" applyFill="1" applyBorder="1" applyAlignment="1">
      <alignment horizontal="center" vertical="center"/>
    </xf>
    <xf fontId="7" fillId="6" borderId="1" numFmtId="173" xfId="10" applyNumberFormat="1" applyFont="1" applyFill="1" applyBorder="1" applyAlignment="1">
      <alignment wrapText="1"/>
    </xf>
    <xf fontId="7" fillId="3" borderId="1" numFmtId="166" xfId="10" applyNumberFormat="1" applyFont="1" applyFill="1" applyBorder="1" applyAlignment="1">
      <alignment horizontal="center" vertical="center"/>
    </xf>
    <xf fontId="6" fillId="3" borderId="0" numFmtId="166" xfId="10" applyNumberFormat="1" applyFont="1" applyFill="1" applyAlignment="1">
      <alignment horizontal="center" vertical="center"/>
    </xf>
    <xf fontId="6" fillId="3" borderId="0" numFmtId="173" xfId="10" applyNumberFormat="1" applyFont="1" applyFill="1" applyAlignment="1">
      <alignment horizontal="center" vertical="center"/>
    </xf>
    <xf fontId="9" fillId="3" borderId="0" numFmtId="166" xfId="0" applyNumberFormat="1" applyFont="1" applyFill="1" applyAlignment="1">
      <alignment horizontal="right" vertical="center" wrapText="1"/>
    </xf>
    <xf fontId="7" fillId="6" borderId="1" numFmtId="166" xfId="0" applyNumberFormat="1" applyFont="1" applyFill="1" applyBorder="1" applyAlignment="1">
      <alignment horizontal="center" vertical="center" wrapText="1"/>
    </xf>
    <xf fontId="6" fillId="6" borderId="7" numFmtId="173" xfId="0" applyNumberFormat="1" applyFont="1" applyFill="1" applyBorder="1" applyAlignment="1">
      <alignment horizontal="left" wrapText="1"/>
    </xf>
    <xf fontId="6" fillId="6" borderId="9" numFmtId="173" xfId="0" applyNumberFormat="1" applyFont="1" applyFill="1" applyBorder="1" applyAlignment="1">
      <alignment horizontal="left" wrapText="1"/>
    </xf>
    <xf fontId="6" fillId="6" borderId="8" numFmtId="173" xfId="0" applyNumberFormat="1" applyFont="1" applyFill="1" applyBorder="1" applyAlignment="1">
      <alignment horizontal="left" wrapText="1"/>
    </xf>
    <xf fontId="6" fillId="3" borderId="1" numFmtId="172" xfId="0" applyNumberFormat="1" applyFont="1" applyFill="1" applyBorder="1" applyAlignment="1">
      <alignment horizontal="center" vertical="center"/>
    </xf>
    <xf fontId="6" fillId="3" borderId="0" numFmtId="172" xfId="0" applyNumberFormat="1" applyFont="1" applyFill="1" applyAlignment="1">
      <alignment horizontal="center" vertical="center"/>
    </xf>
    <xf fontId="7" fillId="6" borderId="1" numFmtId="173" xfId="0" applyNumberFormat="1" applyFont="1" applyFill="1" applyBorder="1" applyAlignment="1">
      <alignment wrapText="1"/>
    </xf>
    <xf fontId="7" fillId="3" borderId="1" numFmtId="172" xfId="0" applyNumberFormat="1" applyFont="1" applyFill="1" applyBorder="1" applyAlignment="1">
      <alignment horizontal="center" vertical="center"/>
    </xf>
    <xf fontId="7" fillId="3" borderId="0" numFmtId="172" xfId="0" applyNumberFormat="1" applyFont="1" applyFill="1" applyAlignment="1">
      <alignment horizontal="center" vertical="center"/>
    </xf>
    <xf fontId="7" fillId="3" borderId="0" numFmtId="173" xfId="0" applyNumberFormat="1" applyFont="1" applyFill="1" applyAlignment="1">
      <alignment horizontal="center" vertical="center"/>
    </xf>
    <xf fontId="6" fillId="6" borderId="1" numFmtId="166" xfId="0" applyNumberFormat="1" applyFont="1" applyFill="1" applyBorder="1" applyAlignment="1">
      <alignment horizontal="left" vertical="center" wrapText="1"/>
    </xf>
    <xf fontId="6" fillId="3" borderId="1" numFmtId="172" xfId="0" applyNumberFormat="1" applyFont="1" applyFill="1" applyBorder="1" applyAlignment="1">
      <alignment horizontal="center" vertical="center" wrapText="1"/>
    </xf>
    <xf fontId="6" fillId="3" borderId="0" numFmtId="172" xfId="0" applyNumberFormat="1" applyFont="1" applyFill="1" applyAlignment="1">
      <alignment horizontal="center" vertical="center" wrapText="1"/>
    </xf>
    <xf fontId="6" fillId="0" borderId="0" numFmtId="49" xfId="0" applyNumberFormat="1" applyFont="1" applyAlignment="1">
      <alignment vertical="center"/>
    </xf>
    <xf fontId="6" fillId="6" borderId="1" numFmtId="173" xfId="0" applyNumberFormat="1" applyFont="1" applyFill="1" applyBorder="1"/>
    <xf fontId="6" fillId="3" borderId="1" numFmtId="172" xfId="0" applyNumberFormat="1" applyFont="1" applyFill="1" applyBorder="1" applyAlignment="1">
      <alignment vertical="center" wrapText="1"/>
    </xf>
    <xf fontId="6" fillId="3" borderId="0" numFmtId="173" xfId="0" applyNumberFormat="1" applyFont="1" applyFill="1" applyAlignment="1">
      <alignment horizontal="left" wrapText="1"/>
    </xf>
    <xf fontId="7" fillId="3" borderId="0" numFmtId="173" xfId="0" applyNumberFormat="1" applyFont="1" applyFill="1" applyAlignment="1">
      <alignment horizontal="left"/>
    </xf>
    <xf fontId="8" fillId="6" borderId="1" numFmtId="49" xfId="0" applyNumberFormat="1" applyFont="1" applyFill="1" applyBorder="1" applyAlignment="1">
      <alignment horizontal="center" vertical="top" wrapText="1"/>
    </xf>
    <xf fontId="6" fillId="6" borderId="1" numFmtId="166" xfId="0" applyNumberFormat="1" applyFont="1" applyFill="1" applyBorder="1" applyAlignment="1">
      <alignment wrapText="1"/>
    </xf>
    <xf fontId="6" fillId="3" borderId="1" numFmtId="166" xfId="10" applyNumberFormat="1" applyFont="1" applyFill="1" applyBorder="1" applyAlignment="1">
      <alignment wrapText="1"/>
    </xf>
    <xf fontId="6" fillId="6" borderId="17" numFmtId="166" xfId="0" applyNumberFormat="1" applyFont="1" applyFill="1" applyBorder="1" applyAlignment="1">
      <alignment wrapText="1"/>
    </xf>
    <xf fontId="6" fillId="3" borderId="17" numFmtId="166" xfId="10" applyNumberFormat="1" applyFont="1" applyFill="1" applyBorder="1" applyAlignment="1">
      <alignment wrapText="1"/>
    </xf>
    <xf fontId="6" fillId="6" borderId="2" numFmtId="166" xfId="0" applyNumberFormat="1" applyFont="1" applyFill="1" applyBorder="1" applyAlignment="1">
      <alignment wrapText="1"/>
    </xf>
    <xf fontId="6" fillId="3" borderId="2" numFmtId="166" xfId="10" applyNumberFormat="1" applyFont="1" applyFill="1" applyBorder="1" applyAlignment="1">
      <alignment wrapText="1"/>
    </xf>
    <xf fontId="6" fillId="3" borderId="17" numFmtId="172" xfId="10" applyNumberFormat="1" applyFont="1" applyFill="1" applyBorder="1" applyAlignment="1">
      <alignment horizontal="center" wrapText="1"/>
    </xf>
    <xf fontId="6" fillId="3" borderId="17" numFmtId="172" xfId="10" applyNumberFormat="1" applyFont="1" applyFill="1" applyBorder="1" applyAlignment="1">
      <alignment wrapText="1"/>
    </xf>
    <xf fontId="8" fillId="6" borderId="1" numFmtId="0" xfId="0" applyFont="1" applyFill="1" applyBorder="1" applyAlignment="1">
      <alignment horizontal="center" vertical="center" wrapText="1"/>
    </xf>
    <xf fontId="7" fillId="6" borderId="1" numFmtId="166" xfId="10" applyNumberFormat="1" applyFont="1" applyFill="1" applyBorder="1" applyAlignment="1">
      <alignment wrapText="1"/>
    </xf>
    <xf fontId="9" fillId="6" borderId="1" numFmtId="166" xfId="10" applyNumberFormat="1" applyFont="1" applyFill="1" applyBorder="1" applyAlignment="1">
      <alignment horizontal="center" vertical="center"/>
    </xf>
    <xf fontId="6" fillId="3" borderId="1" numFmtId="166" xfId="10" applyNumberFormat="1" applyFont="1" applyFill="1" applyBorder="1" applyAlignment="1">
      <alignment horizontal="center" vertical="center" wrapText="1"/>
    </xf>
    <xf fontId="9" fillId="3" borderId="0" numFmtId="166" xfId="0" applyNumberFormat="1" applyFont="1" applyFill="1"/>
    <xf fontId="7" fillId="6" borderId="1" numFmtId="166" xfId="0" applyNumberFormat="1" applyFont="1" applyFill="1" applyBorder="1" applyAlignment="1">
      <alignment horizontal="center" vertical="center"/>
    </xf>
    <xf fontId="8" fillId="6" borderId="1" numFmtId="166" xfId="0" applyNumberFormat="1" applyFont="1" applyFill="1" applyBorder="1" applyAlignment="1">
      <alignment horizontal="center" vertical="center" wrapText="1"/>
    </xf>
    <xf fontId="7" fillId="3" borderId="1" numFmtId="172" xfId="0" applyNumberFormat="1" applyFont="1" applyFill="1" applyBorder="1" applyAlignment="1">
      <alignment horizontal="center"/>
    </xf>
    <xf fontId="6" fillId="3" borderId="0" numFmtId="172" xfId="0" applyNumberFormat="1" applyFont="1" applyFill="1" applyAlignment="1">
      <alignment horizontal="center" wrapText="1"/>
    </xf>
    <xf fontId="6" fillId="3" borderId="1" numFmtId="172" xfId="0" applyNumberFormat="1" applyFont="1" applyFill="1" applyBorder="1" applyAlignment="1">
      <alignment horizontal="center" wrapText="1"/>
    </xf>
    <xf fontId="7" fillId="3" borderId="0" numFmtId="173" xfId="0" applyNumberFormat="1" applyFont="1" applyFill="1" applyAlignment="1">
      <alignment horizontal="center"/>
    </xf>
    <xf fontId="6" fillId="3" borderId="0" numFmtId="173" xfId="0" applyNumberFormat="1" applyFont="1" applyFill="1" applyAlignment="1">
      <alignment horizontal="center" wrapText="1"/>
    </xf>
    <xf fontId="7" fillId="6" borderId="1" numFmtId="173" xfId="10" applyNumberFormat="1" applyFont="1" applyFill="1" applyBorder="1" applyAlignment="1">
      <alignment horizontal="center"/>
    </xf>
    <xf fontId="6" fillId="6" borderId="1" numFmtId="173" xfId="10" applyNumberFormat="1" applyFont="1" applyFill="1" applyBorder="1" applyAlignment="1">
      <alignment horizontal="left" wrapText="1"/>
    </xf>
    <xf fontId="7" fillId="3" borderId="1" numFmtId="172" xfId="10" applyNumberFormat="1" applyFont="1" applyFill="1" applyBorder="1" applyAlignment="1">
      <alignment horizontal="center" vertical="center"/>
    </xf>
    <xf fontId="6" fillId="3" borderId="1" numFmtId="172" xfId="10" applyNumberFormat="1" applyFont="1" applyFill="1" applyBorder="1" applyAlignment="1">
      <alignment horizontal="center" wrapText="1"/>
    </xf>
    <xf fontId="6" fillId="3" borderId="0" numFmtId="173" xfId="10" applyNumberFormat="1" applyFont="1" applyFill="1" applyAlignment="1">
      <alignment horizontal="left" wrapText="1"/>
    </xf>
    <xf fontId="7" fillId="3" borderId="0" numFmtId="173" xfId="10" applyNumberFormat="1" applyFont="1" applyFill="1" applyAlignment="1">
      <alignment horizontal="center"/>
    </xf>
    <xf fontId="6" fillId="3" borderId="1" numFmtId="172" xfId="10" applyNumberFormat="1" applyFont="1" applyFill="1" applyBorder="1" applyAlignment="1">
      <alignment horizontal="center"/>
    </xf>
    <xf fontId="7" fillId="6" borderId="7" numFmtId="173" xfId="10" applyNumberFormat="1" applyFont="1" applyFill="1" applyBorder="1" applyAlignment="1">
      <alignment horizontal="center" vertical="center" wrapText="1"/>
    </xf>
    <xf fontId="7" fillId="6" borderId="9" numFmtId="173" xfId="10" applyNumberFormat="1" applyFont="1" applyFill="1" applyBorder="1" applyAlignment="1">
      <alignment horizontal="center" vertical="center" wrapText="1"/>
    </xf>
    <xf fontId="7" fillId="6" borderId="8" numFmtId="173" xfId="10" applyNumberFormat="1" applyFont="1" applyFill="1" applyBorder="1" applyAlignment="1">
      <alignment horizontal="center" vertical="center" wrapText="1"/>
    </xf>
    <xf fontId="6" fillId="6" borderId="1" numFmtId="166" xfId="10" applyNumberFormat="1" applyFont="1" applyFill="1" applyBorder="1" applyAlignment="1">
      <alignment horizontal="left" vertical="center" wrapText="1"/>
    </xf>
    <xf fontId="6" fillId="3" borderId="1" numFmtId="172" xfId="10" applyNumberFormat="1" applyFont="1" applyFill="1" applyBorder="1"/>
    <xf fontId="6" fillId="3" borderId="1" numFmtId="173" xfId="10" applyNumberFormat="1" applyFont="1" applyFill="1" applyBorder="1"/>
    <xf fontId="7" fillId="3" borderId="0" numFmtId="49" xfId="0" applyNumberFormat="1" applyFont="1" applyFill="1" applyAlignment="1">
      <alignment horizontal="center" vertical="center"/>
    </xf>
    <xf fontId="7" fillId="6" borderId="1" numFmtId="49" xfId="0" applyNumberFormat="1" applyFont="1" applyFill="1" applyBorder="1" applyAlignment="1">
      <alignment horizontal="center" vertical="center" wrapText="1"/>
    </xf>
    <xf fontId="6" fillId="3" borderId="1" numFmtId="172" xfId="10" applyNumberFormat="1" applyFont="1" applyFill="1" applyBorder="1" applyAlignment="1">
      <alignment wrapText="1"/>
    </xf>
    <xf fontId="6" fillId="3" borderId="1" numFmtId="173" xfId="10" applyNumberFormat="1" applyFont="1" applyFill="1" applyBorder="1" applyAlignment="1">
      <alignment wrapText="1"/>
    </xf>
    <xf fontId="6" fillId="3" borderId="0" numFmtId="173" xfId="10" applyNumberFormat="1" applyFont="1" applyFill="1"/>
    <xf fontId="6" fillId="6" borderId="18" numFmtId="166" xfId="10" applyNumberFormat="1" applyFont="1" applyFill="1" applyBorder="1" applyAlignment="1">
      <alignment vertical="center" wrapText="1"/>
    </xf>
    <xf fontId="6" fillId="3" borderId="1" numFmtId="172" xfId="10" applyNumberFormat="1" applyFont="1" applyFill="1" applyBorder="1" applyAlignment="1">
      <alignment vertical="center" wrapText="1"/>
    </xf>
    <xf fontId="7" fillId="6" borderId="9" numFmtId="166" xfId="10" applyNumberFormat="1" applyFont="1" applyFill="1" applyBorder="1" applyAlignment="1">
      <alignment vertical="center" wrapText="1"/>
    </xf>
    <xf fontId="7" fillId="3" borderId="1" numFmtId="172" xfId="10" applyNumberFormat="1" applyFont="1" applyFill="1" applyBorder="1" applyAlignment="1">
      <alignment vertical="center" wrapText="1"/>
    </xf>
    <xf fontId="6" fillId="3" borderId="0" numFmtId="164" xfId="10" applyNumberFormat="1" applyFont="1" applyFill="1" applyAlignment="1">
      <alignment vertical="center" wrapText="1"/>
    </xf>
    <xf fontId="6" fillId="6" borderId="1" numFmtId="172" xfId="0" applyNumberFormat="1" applyFont="1" applyFill="1" applyBorder="1" applyAlignment="1">
      <alignment vertical="center" wrapText="1"/>
    </xf>
    <xf fontId="6" fillId="6" borderId="7" numFmtId="172" xfId="0" applyNumberFormat="1" applyFont="1" applyFill="1" applyBorder="1" applyAlignment="1">
      <alignment vertical="center" wrapText="1"/>
    </xf>
    <xf fontId="6" fillId="6" borderId="0" numFmtId="166" xfId="0" applyNumberFormat="1" applyFont="1" applyFill="1" applyAlignment="1">
      <alignment vertical="center" wrapText="1"/>
    </xf>
    <xf fontId="6" fillId="3" borderId="1" numFmtId="164" xfId="10" applyNumberFormat="1" applyFont="1" applyFill="1" applyBorder="1" applyAlignment="1">
      <alignment vertical="center" wrapText="1"/>
    </xf>
    <xf fontId="6" fillId="6" borderId="9" numFmtId="166" xfId="10" applyNumberFormat="1" applyFont="1" applyFill="1" applyBorder="1" applyAlignment="1">
      <alignment vertical="center" wrapText="1"/>
    </xf>
    <xf fontId="6" fillId="3" borderId="0" numFmtId="166" xfId="0" applyNumberFormat="1" applyFont="1" applyFill="1" applyAlignment="1">
      <alignment horizontal="center" vertical="center" wrapText="1"/>
    </xf>
    <xf fontId="6" fillId="3" borderId="0" numFmtId="172" xfId="10" applyNumberFormat="1" applyFont="1" applyFill="1" applyAlignment="1">
      <alignment vertical="center" wrapText="1"/>
    </xf>
    <xf fontId="6" fillId="3" borderId="0" numFmtId="172" xfId="0" applyNumberFormat="1" applyFont="1" applyFill="1" applyAlignment="1">
      <alignment vertical="center" wrapText="1"/>
    </xf>
    <xf fontId="7" fillId="6" borderId="1" numFmtId="166" xfId="10" applyNumberFormat="1" applyFont="1" applyFill="1" applyBorder="1" applyAlignment="1">
      <alignment vertical="center" wrapText="1"/>
    </xf>
    <xf fontId="7" fillId="3" borderId="1" numFmtId="174" xfId="10" applyNumberFormat="1" applyFont="1" applyFill="1" applyBorder="1" applyAlignment="1">
      <alignment vertical="center" wrapText="1"/>
    </xf>
    <xf fontId="6" fillId="6" borderId="1" numFmtId="172" xfId="0" applyNumberFormat="1" applyFont="1" applyFill="1" applyBorder="1" applyAlignment="1">
      <alignment horizontal="left" vertical="center" wrapText="1"/>
    </xf>
    <xf fontId="6" fillId="3" borderId="1" numFmtId="166" xfId="10" applyNumberFormat="1" applyFont="1" applyFill="1" applyBorder="1" applyAlignment="1">
      <alignment vertical="center" wrapText="1"/>
    </xf>
    <xf fontId="6" fillId="3" borderId="1" numFmtId="174" xfId="10" applyNumberFormat="1" applyFont="1" applyFill="1" applyBorder="1" applyAlignment="1">
      <alignment vertical="center" wrapText="1"/>
    </xf>
    <xf fontId="7" fillId="6" borderId="1" numFmtId="14" xfId="6" applyNumberFormat="1" applyFont="1" applyFill="1" applyBorder="1" applyAlignment="1">
      <alignment horizontal="center" vertical="center" wrapText="1"/>
    </xf>
    <xf fontId="7" fillId="6" borderId="1" numFmtId="14" xfId="12" applyNumberFormat="1" applyFont="1" applyFill="1" applyBorder="1" applyAlignment="1">
      <alignment horizontal="center" vertical="center" wrapText="1"/>
    </xf>
    <xf fontId="6" fillId="3" borderId="0" numFmtId="169" xfId="10" applyNumberFormat="1" applyFont="1" applyFill="1"/>
    <xf fontId="22" fillId="3" borderId="0" numFmtId="166" xfId="0" applyNumberFormat="1" applyFont="1" applyFill="1"/>
    <xf fontId="6" fillId="0" borderId="1" numFmtId="172" xfId="10" applyNumberFormat="1" applyFont="1" applyBorder="1" applyAlignment="1">
      <alignment wrapText="1"/>
    </xf>
    <xf fontId="6" fillId="3" borderId="0" numFmtId="49" xfId="0" applyNumberFormat="1" applyFont="1" applyFill="1" applyAlignment="1">
      <alignment horizontal="left" vertical="center" wrapText="1"/>
    </xf>
    <xf fontId="6" fillId="0" borderId="0" numFmtId="166" xfId="0" applyNumberFormat="1" applyFont="1" applyAlignment="1">
      <alignment wrapText="1"/>
    </xf>
    <xf fontId="6" fillId="3" borderId="0" numFmtId="172" xfId="10" applyNumberFormat="1" applyFont="1" applyFill="1" applyAlignment="1">
      <alignment wrapText="1"/>
    </xf>
    <xf fontId="6" fillId="3" borderId="0" numFmtId="49" xfId="10" applyNumberFormat="1" applyFont="1" applyFill="1" applyAlignment="1">
      <alignment horizontal="left" vertical="center" wrapText="1"/>
    </xf>
    <xf fontId="7" fillId="3" borderId="0" numFmtId="166" xfId="0" applyNumberFormat="1" applyFont="1" applyFill="1" applyAlignment="1">
      <alignment horizontal="center" vertical="center"/>
    </xf>
    <xf fontId="6" fillId="3" borderId="16" numFmtId="49" xfId="0" applyNumberFormat="1" applyFont="1" applyFill="1" applyBorder="1" applyAlignment="1">
      <alignment horizontal="left" vertical="center" wrapText="1"/>
    </xf>
    <xf fontId="6" fillId="3" borderId="1" numFmtId="172" xfId="0" applyNumberFormat="1" applyFont="1" applyFill="1" applyBorder="1" applyAlignment="1">
      <alignment wrapText="1"/>
    </xf>
    <xf fontId="23" fillId="3" borderId="0" numFmtId="166" xfId="0" applyNumberFormat="1" applyFont="1" applyFill="1"/>
    <xf fontId="10" fillId="6" borderId="1" numFmtId="0" xfId="0" applyFont="1" applyFill="1" applyBorder="1" applyAlignment="1">
      <alignment vertical="top" wrapText="1"/>
    </xf>
    <xf fontId="7" fillId="6" borderId="1" numFmtId="166" xfId="10" applyNumberFormat="1" applyFont="1" applyFill="1" applyBorder="1"/>
    <xf fontId="7" fillId="3" borderId="1" numFmtId="172" xfId="10" applyNumberFormat="1" applyFont="1" applyFill="1" applyBorder="1"/>
    <xf fontId="7" fillId="3" borderId="1" numFmtId="166" xfId="10" applyNumberFormat="1" applyFont="1" applyFill="1" applyBorder="1"/>
    <xf fontId="7" fillId="3" borderId="0" numFmtId="166" xfId="10" applyNumberFormat="1" applyFont="1" applyFill="1"/>
    <xf fontId="7" fillId="3" borderId="0" numFmtId="173" xfId="10" applyNumberFormat="1" applyFont="1" applyFill="1"/>
    <xf fontId="7" fillId="3" borderId="0" numFmtId="173" xfId="10" applyNumberFormat="1" applyFont="1" applyFill="1" applyAlignment="1">
      <alignment wrapText="1"/>
    </xf>
    <xf fontId="6" fillId="3" borderId="0" numFmtId="172" xfId="10" applyNumberFormat="1" applyFont="1" applyFill="1"/>
    <xf fontId="6" fillId="3" borderId="0" numFmtId="172" xfId="0" applyNumberFormat="1" applyFont="1" applyFill="1"/>
    <xf fontId="14" fillId="3" borderId="0" numFmtId="166" xfId="0" applyNumberFormat="1" applyFont="1" applyFill="1" applyAlignment="1">
      <alignment wrapText="1"/>
    </xf>
    <xf fontId="6" fillId="3" borderId="1" numFmtId="172" xfId="10" applyNumberFormat="1" applyFont="1" applyFill="1" applyBorder="1" applyAlignment="1">
      <alignment horizontal="center" vertical="center" wrapText="1"/>
    </xf>
    <xf fontId="7" fillId="3" borderId="1" numFmtId="172" xfId="10" applyNumberFormat="1" applyFont="1" applyFill="1" applyBorder="1" applyAlignment="1">
      <alignment wrapText="1"/>
    </xf>
    <xf fontId="7" fillId="3" borderId="1" numFmtId="166" xfId="10" applyNumberFormat="1" applyFont="1" applyFill="1" applyBorder="1" applyAlignment="1">
      <alignment wrapText="1"/>
    </xf>
    <xf fontId="24" fillId="9" borderId="0" numFmtId="0" xfId="4" applyFont="1" applyFill="1" applyAlignment="1">
      <alignment wrapText="1"/>
    </xf>
    <xf fontId="25" fillId="9" borderId="0" numFmtId="0" xfId="4" applyFont="1" applyFill="1"/>
    <xf fontId="26" fillId="6" borderId="1" numFmtId="0" xfId="4" applyFont="1" applyFill="1" applyBorder="1" applyAlignment="1">
      <alignment wrapText="1"/>
    </xf>
    <xf fontId="24" fillId="9" borderId="1" numFmtId="166" xfId="4" applyNumberFormat="1" applyFont="1" applyFill="1" applyBorder="1"/>
    <xf fontId="27" fillId="6" borderId="1" numFmtId="0" xfId="4" applyFont="1" applyFill="1" applyBorder="1" applyAlignment="1">
      <alignment wrapText="1"/>
    </xf>
    <xf fontId="24" fillId="9" borderId="0" numFmtId="166" xfId="4" applyNumberFormat="1" applyFont="1" applyFill="1" applyAlignment="1">
      <alignment wrapText="1"/>
    </xf>
    <xf fontId="6" fillId="0" borderId="0" numFmtId="166" xfId="0" applyNumberFormat="1" applyFont="1"/>
    <xf fontId="7" fillId="0" borderId="0" numFmtId="166" xfId="0" applyNumberFormat="1" applyFont="1"/>
    <xf fontId="16" fillId="0" borderId="0" numFmtId="166" xfId="0" applyNumberFormat="1" applyFont="1"/>
    <xf fontId="7" fillId="6" borderId="1" numFmtId="172" xfId="9" applyNumberFormat="1" applyFont="1" applyFill="1" applyBorder="1" applyAlignment="1">
      <alignment wrapText="1"/>
    </xf>
    <xf fontId="7" fillId="6" borderId="1" numFmtId="172" xfId="9" applyNumberFormat="1" applyFont="1" applyFill="1" applyBorder="1" applyAlignment="1">
      <alignment horizontal="center" wrapText="1"/>
    </xf>
    <xf fontId="6" fillId="6" borderId="1" numFmtId="172" xfId="9" applyNumberFormat="1" applyFont="1" applyFill="1" applyBorder="1" applyAlignment="1">
      <alignment wrapText="1"/>
    </xf>
    <xf fontId="6" fillId="3" borderId="1" numFmtId="172" xfId="9" applyNumberFormat="1" applyFont="1" applyFill="1" applyBorder="1" applyAlignment="1">
      <alignment horizontal="left"/>
    </xf>
    <xf fontId="6" fillId="6" borderId="17" numFmtId="172" xfId="9" applyNumberFormat="1" applyFont="1" applyFill="1" applyBorder="1" applyAlignment="1">
      <alignment wrapText="1"/>
    </xf>
    <xf fontId="6" fillId="3" borderId="17" numFmtId="172" xfId="9" applyNumberFormat="1" applyFont="1" applyFill="1" applyBorder="1" applyAlignment="1">
      <alignment horizontal="left"/>
    </xf>
    <xf fontId="6" fillId="6" borderId="19" numFmtId="172" xfId="9" applyNumberFormat="1" applyFont="1" applyFill="1" applyBorder="1" applyAlignment="1">
      <alignment wrapText="1"/>
    </xf>
    <xf fontId="6" fillId="3" borderId="19" numFmtId="166" xfId="9" applyNumberFormat="1" applyFont="1" applyFill="1" applyBorder="1"/>
    <xf fontId="28" fillId="3" borderId="0" numFmtId="166" xfId="0" applyNumberFormat="1" applyFont="1" applyFill="1"/>
    <xf fontId="6" fillId="3" borderId="1" numFmtId="166" xfId="9" applyNumberFormat="1" applyFont="1" applyFill="1" applyBorder="1" applyAlignment="1">
      <alignment horizontal="left"/>
    </xf>
    <xf fontId="6" fillId="6" borderId="20" numFmtId="172" xfId="9" applyNumberFormat="1" applyFont="1" applyFill="1" applyBorder="1" applyAlignment="1">
      <alignment wrapText="1"/>
    </xf>
    <xf fontId="6" fillId="3" borderId="20" numFmtId="166" xfId="9" applyNumberFormat="1" applyFont="1" applyFill="1" applyBorder="1" applyAlignment="1">
      <alignment horizontal="left"/>
    </xf>
    <xf fontId="10" fillId="6" borderId="1" numFmtId="0" xfId="0" applyFont="1" applyFill="1" applyBorder="1" applyAlignment="1">
      <alignment wrapText="1"/>
    </xf>
    <xf fontId="6" fillId="3" borderId="17" numFmtId="166" xfId="9" applyNumberFormat="1" applyFont="1" applyFill="1" applyBorder="1" applyAlignment="1">
      <alignment horizontal="left"/>
    </xf>
    <xf fontId="7" fillId="6" borderId="1" numFmtId="166" xfId="0" applyNumberFormat="1" applyFont="1" applyFill="1" applyBorder="1" applyAlignment="1">
      <alignment wrapText="1"/>
    </xf>
    <xf fontId="6" fillId="3" borderId="1" numFmtId="164" xfId="9" applyNumberFormat="1" applyFont="1" applyFill="1" applyBorder="1" applyAlignment="1">
      <alignment wrapText="1"/>
    </xf>
    <xf fontId="6" fillId="6" borderId="1" numFmtId="166" xfId="9" applyNumberFormat="1" applyFont="1" applyFill="1" applyBorder="1" applyAlignment="1">
      <alignment wrapText="1"/>
    </xf>
    <xf fontId="6" fillId="3" borderId="1" numFmtId="169" xfId="0" applyNumberFormat="1" applyFont="1" applyFill="1" applyBorder="1" applyAlignment="1">
      <alignment wrapText="1"/>
    </xf>
  </cellXfs>
  <cellStyles count="14">
    <cellStyle name="ColumnHeaderNormal" xfId="1"/>
    <cellStyle name="TextNormal" xfId="2"/>
    <cellStyle name="Гиперссылка" xfId="3" builtinId="8"/>
    <cellStyle name="Обычный" xfId="0" builtinId="0"/>
    <cellStyle name="Обычный 2" xfId="4"/>
    <cellStyle name="Обычный 3" xfId="5"/>
    <cellStyle name="Обычный 4 2" xfId="6"/>
    <cellStyle name="Обычный 4 2 2" xfId="7"/>
    <cellStyle name="Обычный_ф2" xfId="8"/>
    <cellStyle name="Финансовый" xfId="9" builtinId="3"/>
    <cellStyle name="Финансовый 2" xfId="10"/>
    <cellStyle name="Финансовый 2 2" xfId="11"/>
    <cellStyle name="Финансовый 4" xfId="12"/>
    <cellStyle name="Финансовый 4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theme" Target="theme/theme1.xml"/><Relationship  Id="rId19" Type="http://schemas.openxmlformats.org/officeDocument/2006/relationships/sharedStrings" Target="sharedStrings.xml"/><Relationship  Id="rId2" Type="http://schemas.openxmlformats.org/officeDocument/2006/relationships/externalLink" Target="externalLinks/externalLink2.xml"/><Relationship  Id="rId20" Type="http://schemas.openxmlformats.org/officeDocument/2006/relationships/styles" Target="styles.xml"/><Relationship  Id="rId3" Type="http://schemas.openxmlformats.org/officeDocument/2006/relationships/externalLink" Target="externalLinks/externalLink3.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s>
</file>

<file path=xl/charts/_rels/chart11.xml.rels><?xml version="1.0" encoding="UTF-8" standalone="yes"?><Relationships xmlns="http://schemas.openxmlformats.org/package/2006/relationships"></Relationships>
</file>

<file path=xl/charts/_rels/chart12.xml.rels><?xml version="1.0" encoding="UTF-8" standalone="yes"?><Relationships xmlns="http://schemas.openxmlformats.org/package/2006/relationships"></Relationships>
</file>

<file path=xl/charts/_rels/chart13.xml.rels><?xml version="1.0" encoding="UTF-8" standalone="yes"?><Relationships xmlns="http://schemas.openxmlformats.org/package/2006/relationships"></Relationships>
</file>

<file path=xl/charts/_rels/chart14.xml.rels><?xml version="1.0" encoding="UTF-8" standalone="yes"?><Relationships xmlns="http://schemas.openxmlformats.org/package/2006/relationships"></Relationships>
</file>

<file path=xl/charts/_rels/chart15.xml.rels><?xml version="1.0" encoding="UTF-8" standalone="yes"?><Relationships xmlns="http://schemas.openxmlformats.org/package/2006/relationships"></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7.xml.rels><?xml version="1.0" encoding="UTF-8" standalone="yes"?><Relationships xmlns="http://schemas.openxmlformats.org/package/2006/relationships"></Relationships>
</file>

<file path=xl/charts/_rels/chart8.xml.rels><?xml version="1.0" encoding="UTF-8" standalone="yes"?><Relationships xmlns="http://schemas.openxmlformats.org/package/2006/relationships"></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xml:space="preserve"> Темп прироста выручки, % </c:v>
                </c:pt>
              </c:strCache>
            </c:strRef>
          </c:tx>
          <c:spPr bwMode="auto">
            <a:prstGeom prst="rect">
              <a:avLst/>
            </a:prstGeom>
            <a:ln w="28575" cap="rnd">
              <a:solidFill>
                <a:schemeClr val="accent1"/>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аб!$B$91:$G$91</c:f>
              <c:numCache>
                <c:formatCode>_(* #\ ##0.00_);_(* \(#\ ##0.00\);_(* "-"??_);_(@_)</c:formatCode>
                <c:ptCount val="6"/>
                <c:pt idx="0">
                  <c:v>-20.270821911941304</c:v>
                </c:pt>
                <c:pt idx="1">
                  <c:v>13.141887622586646</c:v>
                </c:pt>
                <c:pt idx="2">
                  <c:v>3.212652619792214</c:v>
                </c:pt>
                <c:pt idx="3">
                  <c:v>-12.760483385521956</c:v>
                </c:pt>
                <c:pt idx="4">
                  <c:v>65.23937127133117</c:v>
                </c:pt>
                <c:pt idx="5">
                  <c:v>-7.076934456115142</c:v>
                </c:pt>
              </c:numCache>
            </c:numRef>
          </c:val>
          <c:smooth val="0"/>
        </c:ser>
        <c:ser>
          <c:idx val="1"/>
          <c:order val="1"/>
          <c:tx>
            <c:strRef>
              <c:f>аб!$A$92</c:f>
              <c:strCache>
                <c:ptCount val="1"/>
                <c:pt idx="0">
                  <c:v xml:space="preserve"> Рентабельность продаж (маржа), % </c:v>
                </c:pt>
              </c:strCache>
            </c:strRef>
          </c:tx>
          <c:spPr bwMode="auto">
            <a:prstGeom prst="rect">
              <a:avLst/>
            </a:prstGeom>
            <a:ln w="28575" cap="rnd">
              <a:solidFill>
                <a:schemeClr val="accent2"/>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аб!$B$92:$G$92</c:f>
              <c:numCache>
                <c:formatCode>_(* #\ ##0.00_);_(* \(#\ ##0.00\);_(* "-"??_);_(@_)</c:formatCode>
                <c:ptCount val="6"/>
                <c:pt idx="0">
                  <c:v>-2.5356659548734557</c:v>
                </c:pt>
                <c:pt idx="1">
                  <c:v>-47.93252991213194</c:v>
                </c:pt>
                <c:pt idx="2">
                  <c:v>4.6459866174752475</c:v>
                </c:pt>
                <c:pt idx="3">
                  <c:v>-5.778588005176624</c:v>
                </c:pt>
                <c:pt idx="4">
                  <c:v>1231.3516455377621</c:v>
                </c:pt>
                <c:pt idx="5">
                  <c:v>-88.98077907661165</c:v>
                </c:pt>
              </c:numCache>
            </c:numRef>
          </c:val>
          <c:smooth val="0"/>
        </c:ser>
        <c:ser>
          <c:idx val="2"/>
          <c:order val="2"/>
          <c:tx>
            <c:strRef>
              <c:f>аб!$A$93</c:f>
              <c:strCache>
                <c:ptCount val="1"/>
                <c:pt idx="0">
                  <c:v xml:space="preserve"> Доля прибыли от продаж в прибыли до налогообложения, % </c:v>
                </c:pt>
              </c:strCache>
            </c:strRef>
          </c:tx>
          <c:spPr bwMode="auto">
            <a:prstGeom prst="rect">
              <a:avLst/>
            </a:prstGeom>
            <a:ln w="28575" cap="rnd">
              <a:solidFill>
                <a:schemeClr val="accent3"/>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аб!$B$93:$G$93</c:f>
              <c:numCache>
                <c:formatCode>_(* #\ ##0.00_);_(* \(#\ ##0.00\);_(* "-"??_);_(@_)</c:formatCode>
                <c:ptCount val="6"/>
                <c:pt idx="0">
                  <c:v>-28.209041585380746</c:v>
                </c:pt>
                <c:pt idx="1">
                  <c:v>54.884160653412884</c:v>
                </c:pt>
                <c:pt idx="2">
                  <c:v>9.693171602408796</c:v>
                </c:pt>
                <c:pt idx="3">
                  <c:v>-40.47999556337893</c:v>
                </c:pt>
                <c:pt idx="4">
                  <c:v>-85.8888547509761</c:v>
                </c:pt>
                <c:pt idx="5">
                  <c:v>724.6421994579143</c:v>
                </c:pt>
              </c:numCache>
            </c:numRef>
          </c:val>
          <c:smooth val="0"/>
        </c:ser>
        <c:dLbls>
          <c:showBubbleSize val="0"/>
          <c:showCatName val="0"/>
          <c:showLeaderLines val="0"/>
          <c:showLegendKey val="0"/>
          <c:showPercent val="0"/>
          <c:showSerName val="0"/>
          <c:showVal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799848"/>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xml:space="preserve"> Чистая кредитная позиция (дебиторская задолженность - кредиторская задолженность), тыс. руб. </c:v>
                </c:pt>
              </c:strCache>
            </c:strRef>
          </c:tx>
          <c:spPr bwMode="auto">
            <a:prstGeom prst="rect">
              <a:avLst/>
            </a:prstGeom>
            <a:ln w="28575" cap="rnd">
              <a:solidFill>
                <a:schemeClr val="accent1"/>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аб!$B$94:$G$94</c:f>
              <c:numCache>
                <c:formatCode>_(* #\ ##0_);_(* \(#\ ##0\);_(* "-"??_);_(@_)</c:formatCode>
                <c:ptCount val="6"/>
                <c:pt idx="0">
                  <c:v>-2394681</c:v>
                </c:pt>
                <c:pt idx="1">
                  <c:v>187662.5</c:v>
                </c:pt>
                <c:pt idx="2">
                  <c:v>-376449</c:v>
                </c:pt>
                <c:pt idx="3">
                  <c:v>-1425982.5</c:v>
                </c:pt>
                <c:pt idx="4">
                  <c:v>-648843</c:v>
                </c:pt>
                <c:pt idx="5">
                  <c:v>192623.5</c:v>
                </c:pt>
              </c:numCache>
            </c:numRef>
          </c:val>
          <c:smooth val="0"/>
        </c:ser>
        <c:dLbls>
          <c:showBubbleSize val="0"/>
          <c:showCatName val="0"/>
          <c:showLeaderLines val="0"/>
          <c:showLegendKey val="0"/>
          <c:showPercent val="0"/>
          <c:showSerName val="0"/>
          <c:showVal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5512"/>
        <c:crosses val="autoZero"/>
        <c:crossBetween val="between"/>
      </c:valAx>
      <c:spPr bwMode="auto">
        <a:prstGeom prst="rect">
          <a:avLst/>
        </a:prstGeom>
        <a:noFill/>
        <a:ln>
          <a:noFill/>
        </a:ln>
        <a:effectLst/>
      </c:spPr>
    </c:plotArea>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layout/>
      <c:overlay val="0"/>
      <c:spPr bwMode="auto">
        <a:prstGeom prst="rect">
          <a:avLst/>
        </a:prstGeom>
        <a:noFill/>
        <a:ln>
          <a:noFill/>
        </a:ln>
        <a:effectLst/>
      </c:spPr>
      <c:txPr>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xml:space="preserve"> 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аб!$B$98:$H$98</c:f>
              <c:numCache>
                <c:formatCode>_(* #\ ##0.00_);_(* \(#\ ##0.00\);_(* "-"??_);_(@_)</c:formatCode>
                <c:ptCount val="7"/>
                <c:pt idx="0">
                  <c:v>35.26747146100458</c:v>
                </c:pt>
                <c:pt idx="1">
                  <c:v>33.79225971724095</c:v>
                </c:pt>
                <c:pt idx="2">
                  <c:v>25.813783430025065</c:v>
                </c:pt>
                <c:pt idx="3">
                  <c:v>18.03281904743439</c:v>
                </c:pt>
                <c:pt idx="4">
                  <c:v>22.483484416137383</c:v>
                </c:pt>
                <c:pt idx="5">
                  <c:v>34.24077715579476</c:v>
                </c:pt>
                <c:pt idx="6">
                  <c:v>55.308873767138145</c:v>
                </c:pt>
              </c:numCache>
            </c:numRef>
          </c:val>
          <c:smooth val="0"/>
        </c:ser>
        <c:ser>
          <c:idx val="1"/>
          <c:order val="1"/>
          <c:tx>
            <c:strRef>
              <c:f>аб!$A$99</c:f>
              <c:strCache>
                <c:ptCount val="1"/>
                <c:pt idx="0">
                  <c:v xml:space="preserve"> Темп прироста внеоборотных активов, % </c:v>
                </c:pt>
              </c:strCache>
            </c:strRef>
          </c:tx>
          <c:spPr bwMode="auto">
            <a:prstGeom prst="rect">
              <a:avLst/>
            </a:prstGeom>
            <a:ln w="28575" cap="rnd">
              <a:solidFill>
                <a:schemeClr val="accent2"/>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аб!$B$99:$H$99</c:f>
              <c:numCache>
                <c:formatCode>_(* #\ ##0.00_);_(* \(#\ ##0.00\);_(* "-"??_);_(@_)</c:formatCode>
                <c:ptCount val="7"/>
                <c:pt idx="0">
                  <c:v>1.3025923869312386</c:v>
                </c:pt>
                <c:pt idx="1">
                  <c:v>19.084556012264322</c:v>
                </c:pt>
                <c:pt idx="2">
                  <c:v>44.28020921217669</c:v>
                </c:pt>
                <c:pt idx="3">
                  <c:v>-9.816965093361542</c:v>
                </c:pt>
                <c:pt idx="4">
                  <c:v>-20.447390488669797</c:v>
                </c:pt>
                <c:pt idx="5">
                  <c:v>-21.744323057627092</c:v>
                </c:pt>
                <c:pt idx="6">
                  <c:v>0</c:v>
                </c:pt>
              </c:numCache>
            </c:numRef>
          </c:val>
          <c:smooth val="0"/>
        </c:ser>
        <c:ser>
          <c:idx val="2"/>
          <c:order val="2"/>
          <c:tx>
            <c:strRef>
              <c:f>аб!$A$100</c:f>
              <c:strCache>
                <c:ptCount val="1"/>
                <c:pt idx="0">
                  <c:v xml:space="preserve"> Коэффициент ввода основных средств </c:v>
                </c:pt>
              </c:strCache>
            </c:strRef>
          </c:tx>
          <c:spPr bwMode="auto">
            <a:prstGeom prst="rect">
              <a:avLst/>
            </a:prstGeom>
            <a:ln w="28575" cap="rnd">
              <a:solidFill>
                <a:schemeClr val="accent3"/>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аб!$B$100:$H$100</c:f>
              <c:numCache>
                <c:formatCode>_(* #\ ##0.00_);_(* \(#\ ##0.00\);_(* "-"??_);_(@_)</c:formatCode>
                <c:ptCount val="7"/>
                <c:pt idx="0">
                  <c:v>0.06040973496344959</c:v>
                </c:pt>
                <c:pt idx="1">
                  <c:v>0.11852411790535572</c:v>
                </c:pt>
                <c:pt idx="2">
                  <c:v>0.17634388719604194</c:v>
                </c:pt>
                <c:pt idx="3">
                  <c:v>0.2604675077995334</c:v>
                </c:pt>
                <c:pt idx="4">
                  <c:v>0.09638178195705527</c:v>
                </c:pt>
                <c:pt idx="5">
                  <c:v>0.14282270361117766</c:v>
                </c:pt>
                <c:pt idx="6">
                  <c:v>0.17326677221907033</c:v>
                </c:pt>
              </c:numCache>
            </c:numRef>
          </c:val>
          <c:smooth val="0"/>
        </c:ser>
        <c:ser>
          <c:idx val="3"/>
          <c:order val="3"/>
          <c:tx>
            <c:strRef>
              <c:f>аб!$A$101</c:f>
              <c:strCache>
                <c:ptCount val="1"/>
                <c:pt idx="0">
                  <c:v xml:space="preserve"> Коэффициент годности основных средств, % </c:v>
                </c:pt>
              </c:strCache>
            </c:strRef>
          </c:tx>
          <c:spPr bwMode="auto">
            <a:prstGeom prst="rect">
              <a:avLst/>
            </a:prstGeom>
            <a:ln w="28575" cap="rnd">
              <a:solidFill>
                <a:schemeClr val="accent4"/>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аб!$B$101:$H$101</c:f>
              <c:numCache>
                <c:formatCode>_(* #\ ##0.00_);_(* \(#\ ##0.00\);_(* "-"??_);_(@_)</c:formatCode>
                <c:ptCount val="7"/>
                <c:pt idx="0">
                  <c:v>0.9524833257339694</c:v>
                </c:pt>
                <c:pt idx="1">
                  <c:v>0.4780659939885795</c:v>
                </c:pt>
                <c:pt idx="2">
                  <c:v>0.4684063716551854</c:v>
                </c:pt>
                <c:pt idx="3">
                  <c:v>0.5082651591307276</c:v>
                </c:pt>
                <c:pt idx="4">
                  <c:v>0.5627856969353051</c:v>
                </c:pt>
                <c:pt idx="5">
                  <c:v>0.6080628342462364</c:v>
                </c:pt>
                <c:pt idx="6">
                  <c:v>0.5944849742074666</c:v>
                </c:pt>
              </c:numCache>
            </c:numRef>
          </c:val>
          <c:smooth val="0"/>
        </c:ser>
        <c:dLbls>
          <c:showBubbleSize val="0"/>
          <c:showCatName val="0"/>
          <c:showLeaderLines val="0"/>
          <c:showLegendKey val="0"/>
          <c:showPercent val="0"/>
          <c:showSerName val="0"/>
          <c:showVal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20800"/>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layout/>
      <c:overlay val="0"/>
      <c:spPr bwMode="auto">
        <a:prstGeom prst="rect">
          <a:avLst/>
        </a:prstGeom>
        <a:noFill/>
        <a:ln w="25400">
          <a:noFill/>
        </a:ln>
      </c:spPr>
    </c:title>
    <c:autoTitleDeleted val="0"/>
    <c:view3D>
      <c:rotX val="15"/>
      <c:hPercent val="6"/>
      <c:rotY val="20"/>
      <c:depthPercent val="100"/>
      <c:rAngAx val="1"/>
    </c:view3D>
    <c:floor>
      <c:thickness val="0"/>
      <c:spPr bwMode="auto">
        <a:prstGeom prst="rect">
          <a:avLst/>
        </a:prstGeom>
        <a:solidFill>
          <a:srgbClr val="FFFFFF"/>
        </a:solidFill>
        <a:ln w="3175">
          <a:solidFill>
            <a:srgbClr val="000000"/>
          </a:solidFill>
          <a:prstDash val="solid"/>
        </a:ln>
      </c:spPr>
    </c:floor>
    <c:sideWall>
      <c:thickness val="0"/>
      <c:spPr bwMode="auto">
        <a:prstGeom prst="rect">
          <a:avLst/>
        </a:prstGeom>
        <a:solidFill>
          <a:srgbClr val="FFFFFF"/>
        </a:solidFill>
        <a:ln w="12700">
          <a:solidFill>
            <a:srgbClr val="808080"/>
          </a:solidFill>
          <a:prstDash val="solid"/>
        </a:ln>
      </c:spPr>
    </c:sideWall>
    <c:backWall>
      <c:thickness val="0"/>
      <c:spPr bwMode="auto">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bwMode="auto">
            <a:prstGeom prst="rect">
              <a:avLst/>
            </a:prstGeom>
            <a:blipFill rotWithShape="0">
              <a:blip r:embed="rId1"/>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1"/>
          <c:order val="1"/>
          <c:tx>
            <c:strRef>
              <c:f>[1]п!$A$22</c:f>
              <c:strCache>
                <c:ptCount val="1"/>
                <c:pt idx="0">
                  <c:v>Себестоимость продаж</c:v>
                </c:pt>
              </c:strCache>
            </c:strRef>
          </c:tx>
          <c:spPr bwMode="auto">
            <a:prstGeom prst="rect">
              <a:avLst/>
            </a:prstGeom>
            <a:blipFill rotWithShape="0">
              <a:blip r:embed="rId2"/>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2"/>
          <c:order val="2"/>
          <c:tx>
            <c:strRef>
              <c:f>[1]п!$A$23</c:f>
              <c:strCache>
                <c:ptCount val="1"/>
                <c:pt idx="0">
                  <c:v>Валовая прибыль</c:v>
                </c:pt>
              </c:strCache>
            </c:strRef>
          </c:tx>
          <c:spPr bwMode="auto">
            <a:prstGeom prst="rect">
              <a:avLst/>
            </a:prstGeom>
            <a:blipFill rotWithShape="0">
              <a:blip r:embed="rId3"/>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3"/>
          <c:order val="3"/>
          <c:tx>
            <c:strRef>
              <c:f>[1]п!$A$26</c:f>
              <c:strCache>
                <c:ptCount val="1"/>
                <c:pt idx="0">
                  <c:v>Прибыль (убыток) от продаж</c:v>
                </c:pt>
              </c:strCache>
            </c:strRef>
          </c:tx>
          <c:spPr bwMode="auto">
            <a:prstGeom prst="rect">
              <a:avLst/>
            </a:prstGeom>
            <a:blipFill rotWithShape="0">
              <a:blip r:embed="rId4"/>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4"/>
          <c:order val="4"/>
          <c:tx>
            <c:strRef>
              <c:f>[1]п!$A$34</c:f>
              <c:strCache>
                <c:ptCount val="1"/>
                <c:pt idx="0">
                  <c:v>Текущий налог на прибыль</c:v>
                </c:pt>
              </c:strCache>
            </c:strRef>
          </c:tx>
          <c:spPr bwMode="auto">
            <a:prstGeom prst="rect">
              <a:avLst/>
            </a:prstGeom>
            <a:blipFill rotWithShape="0">
              <a:blip r:embed="rId5"/>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5"/>
          <c:order val="5"/>
          <c:tx>
            <c:strRef>
              <c:f>[1]п!$A$36</c:f>
              <c:strCache>
                <c:ptCount val="1"/>
                <c:pt idx="0">
                  <c:v>Изменение отложенных налоговых обязательств</c:v>
                </c:pt>
              </c:strCache>
            </c:strRef>
          </c:tx>
          <c:spPr bwMode="auto">
            <a:prstGeom prst="rect">
              <a:avLst/>
            </a:prstGeom>
            <a:blipFill rotWithShape="0">
              <a:blip r:embed="rId6"/>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dLbls>
          <c:showBubbleSize val="0"/>
          <c:showCatName val="0"/>
          <c:showLeaderLines val="0"/>
          <c:showLegendKey val="0"/>
          <c:showPercent val="0"/>
          <c:showSerName val="0"/>
          <c:showVal val="0"/>
        </c:dLbls>
        <c:gapWidth val="150"/>
        <c:shape val="box"/>
        <c:axId val="581225344"/>
        <c:axId val="1"/>
      </c:bar3DChart>
      <c:catAx>
        <c:axId val="581225344"/>
        <c:scaling>
          <c:orientation val="minMax"/>
        </c:scaling>
        <c:delete val="0"/>
        <c:axPos val="b"/>
        <c:numFmt formatCode="General" sourceLinked="1"/>
        <c:majorTickMark val="out"/>
        <c:minorTickMark val="none"/>
        <c:tickLblPos val="low"/>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solid"/>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bwMode="auto">
        <a:prstGeom prst="rect">
          <a:avLst/>
        </a:prstGeom>
        <a:noFill/>
        <a:ln w="25400">
          <a:noFill/>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dLbls>
          <c:showBubbleSize val="0"/>
          <c:showCatName val="0"/>
          <c:showLeaderLines val="0"/>
          <c:showLegendKey val="0"/>
          <c:showPercent val="0"/>
          <c:showSerName val="0"/>
          <c:showVal val="0"/>
        </c:dLbls>
        <c:gapWidth val="150"/>
        <c:axId val="579921944"/>
        <c:axId val="1"/>
      </c:barChart>
      <c:catAx>
        <c:axId val="57992194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968"/>
        <c:axId val="1"/>
      </c:barChart>
      <c:catAx>
        <c:axId val="582178968"/>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autoTitleDeleted val="0"/>
    <c:plotArea>
      <c:layout/>
      <c:barChart>
        <c:barDir val="col"/>
        <c:grouping val="clustered"/>
        <c:varyColors val="0"/>
        <c:ser>
          <c:idx val="0"/>
          <c:order val="0"/>
          <c:spPr bwMode="auto">
            <a:prstGeom prst="rect">
              <a:avLst/>
            </a:prstGeom>
            <a:solidFill>
              <a:srgbClr val="C0C0C0"/>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solidFill>
              <a:srgbClr val="FFFFFF"/>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640"/>
        <c:axId val="1"/>
      </c:barChart>
      <c:catAx>
        <c:axId val="582178640"/>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bwMode="auto">
        <a:prstGeom prst="rect">
          <a:avLst/>
        </a:prstGeom>
        <a:solidFill>
          <a:srgbClr val="FFFFFF"/>
        </a:solidFill>
        <a:ln w="12700">
          <a:solidFill>
            <a:srgbClr val="80808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layout/>
      <c:overlay val="0"/>
      <c:spPr bwMode="auto">
        <a:prstGeom prst="rect">
          <a:avLst/>
        </a:prstGeom>
        <a:noFill/>
        <a:ln w="25400">
          <a:noFill/>
        </a:ln>
      </c:spPr>
    </c:title>
    <c:autoTitleDeleted val="0"/>
    <c:plotArea>
      <c:layout/>
      <c:scatterChart>
        <c:scatterStyle val="lineMarker"/>
        <c:varyColors val="0"/>
        <c:ser>
          <c:idx val="0"/>
          <c:order val="0"/>
          <c:spPr bwMode="auto">
            <a:prstGeom prst="rect">
              <a:avLst/>
            </a:prstGeom>
            <a:ln w="28575">
              <a:noFill/>
            </a:ln>
          </c:spPr>
          <c:smooth val="0"/>
        </c:ser>
        <c:ser>
          <c:idx val="1"/>
          <c:order val="1"/>
          <c:spPr bwMode="auto">
            <a:prstGeom prst="rect">
              <a:avLst/>
            </a:prstGeom>
            <a:ln w="28575">
              <a:noFill/>
            </a:ln>
          </c:spPr>
          <c:smooth val="0"/>
        </c:ser>
        <c:dLbls>
          <c:showBubbleSize val="0"/>
          <c:showCatName val="0"/>
          <c:showLeaderLines val="0"/>
          <c:showLegendKey val="0"/>
          <c:showPercent val="0"/>
          <c:showSerName val="0"/>
          <c:showVal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12700">
              <a:solidFill>
                <a:srgbClr val="000000"/>
              </a:solidFill>
              <a:prstDash val="solid"/>
            </a:ln>
          </c:spPr>
          <c:invertIfNegative val="1"/>
        </c:ser>
        <c:ser>
          <c:idx val="1"/>
          <c:order val="1"/>
          <c:spPr bwMode="auto">
            <a:prstGeom prst="rect">
              <a:avLst/>
            </a:prstGeom>
            <a:solidFill>
              <a:srgbClr val="C0C0C0"/>
            </a:solidFill>
            <a:ln w="12700">
              <a:solidFill>
                <a:srgbClr val="000000"/>
              </a:solidFill>
              <a:prstDash val="solid"/>
            </a:ln>
          </c:spPr>
          <c:invertIfNegative val="0"/>
        </c:ser>
        <c:ser>
          <c:idx val="2"/>
          <c:order val="2"/>
          <c:spPr bwMode="auto">
            <a:prstGeom prst="rect">
              <a:avLst/>
            </a:prstGeom>
            <a:blipFill rotWithShape="0">
              <a:blip r:embed="rId1"/>
              <a:tile algn="tl" flip="none" sx="100000" sy="100000" tx="0" ty="0"/>
            </a:blipFill>
            <a:ln w="12700">
              <a:solidFill>
                <a:srgbClr val="000000"/>
              </a:solidFill>
              <a:prstDash val="solid"/>
            </a:ln>
          </c:spPr>
          <c:invertIfNegative val="1"/>
        </c:ser>
        <c:dLbls>
          <c:showBubbleSize val="0"/>
          <c:showCatName val="0"/>
          <c:showLeaderLines val="0"/>
          <c:showLegendKey val="0"/>
          <c:showPercent val="0"/>
          <c:showSerName val="0"/>
          <c:showVal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22</xdr:col>
      <xdr:colOff>146957</xdr:colOff>
      <xdr:row>79</xdr:row>
      <xdr:rowOff>16327</xdr:rowOff>
    </xdr:from>
    <xdr:to>
      <xdr:col>27</xdr:col>
      <xdr:colOff>727982</xdr:colOff>
      <xdr:row>93</xdr:row>
      <xdr:rowOff>420461</xdr:rowOff>
    </xdr:to>
    <xdr:graphicFrame>
      <xdr:nvGraphicFramePr>
        <xdr:cNvPr id="4" name="Диаграмма 3"/>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27</xdr:col>
      <xdr:colOff>876299</xdr:colOff>
      <xdr:row>80</xdr:row>
      <xdr:rowOff>133350</xdr:rowOff>
    </xdr:from>
    <xdr:to>
      <xdr:col>33</xdr:col>
      <xdr:colOff>466724</xdr:colOff>
      <xdr:row>93</xdr:row>
      <xdr:rowOff>38100</xdr:rowOff>
    </xdr:to>
    <xdr:graphicFrame>
      <xdr:nvGraphicFramePr>
        <xdr:cNvPr id="5" name="Диаграмма 4"/>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22</xdr:col>
      <xdr:colOff>830045</xdr:colOff>
      <xdr:row>97</xdr:row>
      <xdr:rowOff>95250</xdr:rowOff>
    </xdr:from>
    <xdr:to>
      <xdr:col>30</xdr:col>
      <xdr:colOff>81643</xdr:colOff>
      <xdr:row>115</xdr:row>
      <xdr:rowOff>272143</xdr:rowOff>
    </xdr:to>
    <xdr:graphicFrame>
      <xdr:nvGraphicFramePr>
        <xdr:cNvPr id="6" name="Диаграмма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13</xdr:col>
      <xdr:colOff>0</xdr:colOff>
      <xdr:row>44</xdr:row>
      <xdr:rowOff>0</xdr:rowOff>
    </xdr:from>
    <xdr:to>
      <xdr:col>21</xdr:col>
      <xdr:colOff>704849</xdr:colOff>
      <xdr:row>44</xdr:row>
      <xdr:rowOff>0</xdr:rowOff>
    </xdr:to>
    <xdr:graphicFrame>
      <xdr:nvGraphicFramePr>
        <xdr:cNvPr id="2087"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91</xdr:row>
      <xdr:rowOff>0</xdr:rowOff>
    </xdr:from>
    <xdr:to>
      <xdr:col>0</xdr:col>
      <xdr:colOff>0</xdr:colOff>
      <xdr:row>91</xdr:row>
      <xdr:rowOff>0</xdr:rowOff>
    </xdr:to>
    <xdr:graphicFrame>
      <xdr:nvGraphicFramePr>
        <xdr:cNvPr id="26673" name="Chart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4" name="Chart 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5"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57</xdr:row>
      <xdr:rowOff>0</xdr:rowOff>
    </xdr:from>
    <xdr:to>
      <xdr:col>0</xdr:col>
      <xdr:colOff>0</xdr:colOff>
      <xdr:row>57</xdr:row>
      <xdr:rowOff>0</xdr:rowOff>
    </xdr:to>
    <xdr:graphicFrame>
      <xdr:nvGraphicFramePr>
        <xdr:cNvPr id="39964" name="Chart 103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57</xdr:row>
      <xdr:rowOff>0</xdr:rowOff>
    </xdr:from>
    <xdr:to>
      <xdr:col>0</xdr:col>
      <xdr:colOff>0</xdr:colOff>
      <xdr:row>57</xdr:row>
      <xdr:rowOff>0</xdr:rowOff>
    </xdr:to>
    <xdr:graphicFrame>
      <xdr:nvGraphicFramePr>
        <xdr:cNvPr id="39965" name="Chart 1038"/>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58</xdr:row>
      <xdr:rowOff>0</xdr:rowOff>
    </xdr:from>
    <xdr:to>
      <xdr:col>0</xdr:col>
      <xdr:colOff>0</xdr:colOff>
      <xdr:row>58</xdr:row>
      <xdr:rowOff>0</xdr:rowOff>
    </xdr:to>
    <xdr:pic>
      <xdr:nvPicPr>
        <xdr:cNvPr id="39966" name="Object 30"/>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7" name="Object 31"/>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8" name="Object 32"/>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9" name="Object 33"/>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70" name="Object 34"/>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37</xdr:row>
      <xdr:rowOff>0</xdr:rowOff>
    </xdr:from>
    <xdr:to>
      <xdr:col>3</xdr:col>
      <xdr:colOff>0</xdr:colOff>
      <xdr:row>37</xdr:row>
      <xdr:rowOff>0</xdr:rowOff>
    </xdr:to>
    <xdr:graphicFrame>
      <xdr:nvGraphicFramePr>
        <xdr:cNvPr id="2"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37</xdr:row>
      <xdr:rowOff>0</xdr:rowOff>
    </xdr:from>
    <xdr:to>
      <xdr:col>3</xdr:col>
      <xdr:colOff>0</xdr:colOff>
      <xdr:row>37</xdr:row>
      <xdr:rowOff>0</xdr:rowOff>
    </xdr:to>
    <xdr:graphicFrame>
      <xdr:nvGraphicFramePr>
        <xdr:cNvPr id="3"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4"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5"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6"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7"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    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     Прибыль (убыток) до налогообложения</v>
          </cell>
        </row>
        <row r="21">
          <cell r="A21" t="str">
            <v xml:space="preserve">Текущий налог на прибыль</v>
          </cell>
        </row>
        <row r="22">
          <cell r="A22" t="str">
            <v xml:space="preserve">   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 xml:space="preserve">Себестоимость продаж</v>
          </cell>
        </row>
        <row r="23">
          <cell r="A23" t="str">
            <v xml:space="preserve">Валовая прибыль</v>
          </cell>
        </row>
        <row r="26">
          <cell r="A26" t="str">
            <v xml:space="preserve">Прибыль (убыток) от продаж</v>
          </cell>
        </row>
        <row r="34">
          <cell r="A34" t="str">
            <v xml:space="preserve">Текущий налог на прибыль</v>
          </cell>
        </row>
        <row r="36">
          <cell r="A36" t="str">
            <v xml:space="preserve">Изменение отложенных налоговых обязательств</v>
          </cell>
        </row>
      </sheetData>
      <sheetData sheetId="9"/>
      <sheetData sheetId="10"/>
      <sheetData sheetId="11"/>
      <sheetData sheetId="12">
        <row r="5">
          <cell r="B5" t="str">
            <v xml:space="preserve">предыдущий год</v>
          </cell>
        </row>
      </sheetData>
      <sheetData sheetId="13">
        <row r="30">
          <cell r="D30">
            <v>25906082</v>
          </cell>
          <cell r="F30">
            <v>26135480</v>
          </cell>
        </row>
      </sheetData>
      <sheetData sheetId="14">
        <row r="4">
          <cell r="B4" t="str">
            <v xml:space="preserve">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2">
    <tabColor indexed="45"/>
    <outlinePr applyStyles="0" summaryBelow="1" summaryRight="1" showOutlineSymbols="1"/>
    <pageSetUpPr autoPageBreaks="1" fitToPage="1"/>
  </sheetPr>
  <sheetViews>
    <sheetView topLeftCell="A25" zoomScale="100" workbookViewId="0">
      <pane xSplit="1" topLeftCell="B1" activePane="topRight" state="frozen"/>
      <selection activeCell="A25" activeCellId="0" sqref="A25"/>
    </sheetView>
  </sheetViews>
  <sheetFormatPr defaultColWidth="9.109375" defaultRowHeight="15.6"/>
  <cols>
    <col customWidth="1" min="1" max="1" style="1" width="49"/>
    <col customWidth="1" min="2" max="2" style="2" width="10.88671875"/>
    <col customWidth="1" min="3" max="4" width="17.44140625"/>
    <col customWidth="1" min="5" max="5" style="3" width="17.44140625"/>
    <col customWidth="1" min="6" max="6" style="4" width="17.44140625"/>
    <col customWidth="1" min="7" max="7" style="2" width="17.44140625"/>
    <col customWidth="1" min="8" max="8" style="1" width="17.44140625"/>
    <col customWidth="1" min="9" max="9" style="5" width="17.44140625"/>
    <col customWidth="1" min="10" max="10" style="1" width="17.44140625"/>
    <col bestFit="1" customWidth="1" min="11" max="11" style="1" width="11.44140625"/>
    <col min="12" max="16384" style="1" width="9.109375"/>
  </cols>
  <sheetData>
    <row r="1">
      <c r="A1" s="1" t="s">
        <v>0</v>
      </c>
      <c r="B1" s="1"/>
      <c r="G1" s="1"/>
    </row>
    <row r="2">
      <c r="A2" s="6" t="s">
        <v>1</v>
      </c>
      <c r="B2" s="7"/>
      <c r="G2" s="1"/>
    </row>
    <row r="3" ht="16.199999999999999">
      <c r="A3" s="6" t="s">
        <v>2</v>
      </c>
      <c r="B3" s="8" t="s">
        <v>3</v>
      </c>
      <c r="F3" s="9"/>
      <c r="G3" s="1"/>
    </row>
    <row r="4" ht="16.199999999999999">
      <c r="A4" s="6" t="s">
        <v>4</v>
      </c>
      <c r="B4" s="8" t="s">
        <v>5</v>
      </c>
      <c r="G4" s="1"/>
    </row>
    <row r="5" s="6" customFormat="1" ht="31.199999999999999">
      <c r="A5" s="10" t="s">
        <v>6</v>
      </c>
      <c r="B5" s="11" t="s">
        <v>7</v>
      </c>
      <c r="C5" s="12" t="s">
        <v>8</v>
      </c>
      <c r="D5" s="12" t="s">
        <v>9</v>
      </c>
      <c r="E5" s="12" t="s">
        <v>10</v>
      </c>
      <c r="F5" s="12" t="s">
        <v>11</v>
      </c>
      <c r="G5" s="12" t="s">
        <v>12</v>
      </c>
      <c r="H5" s="12" t="s">
        <v>13</v>
      </c>
      <c r="I5" s="12" t="s">
        <v>14</v>
      </c>
      <c r="J5" s="12" t="s">
        <v>15</v>
      </c>
    </row>
    <row r="6" s="6" customFormat="1">
      <c r="A6" s="13">
        <v>1</v>
      </c>
      <c r="B6" s="14">
        <v>2</v>
      </c>
      <c r="C6" s="15">
        <v>3</v>
      </c>
      <c r="D6" s="15">
        <v>4</v>
      </c>
      <c r="E6" s="15">
        <v>5</v>
      </c>
      <c r="F6" s="15">
        <v>6</v>
      </c>
      <c r="G6" s="15">
        <v>7</v>
      </c>
      <c r="H6" s="15">
        <v>8</v>
      </c>
      <c r="I6" s="15">
        <v>9</v>
      </c>
      <c r="J6" s="15">
        <v>10</v>
      </c>
    </row>
    <row r="7">
      <c r="A7" s="16" t="s">
        <v>16</v>
      </c>
      <c r="B7" s="17"/>
      <c r="C7" s="18"/>
      <c r="D7" s="18"/>
      <c r="E7" s="18"/>
      <c r="F7" s="18"/>
      <c r="G7" s="18"/>
      <c r="H7" s="18"/>
      <c r="I7" s="18"/>
      <c r="J7" s="18"/>
    </row>
    <row r="8">
      <c r="A8" s="16" t="s">
        <v>17</v>
      </c>
      <c r="B8" s="19">
        <v>1110</v>
      </c>
      <c r="C8" s="20">
        <v>0</v>
      </c>
      <c r="D8" s="20">
        <v>0</v>
      </c>
      <c r="E8" s="20">
        <v>0</v>
      </c>
      <c r="F8" s="20">
        <v>0</v>
      </c>
      <c r="G8" s="20">
        <v>0</v>
      </c>
      <c r="H8" s="20">
        <v>0</v>
      </c>
      <c r="I8" s="20">
        <v>74</v>
      </c>
      <c r="J8" s="20">
        <v>241</v>
      </c>
    </row>
    <row r="9">
      <c r="A9" s="16" t="s">
        <v>18</v>
      </c>
      <c r="B9" s="19">
        <v>1120</v>
      </c>
      <c r="C9" s="20">
        <v>0</v>
      </c>
      <c r="D9" s="20">
        <v>0</v>
      </c>
      <c r="E9" s="20">
        <v>0</v>
      </c>
      <c r="F9" s="20">
        <v>0</v>
      </c>
      <c r="G9" s="20">
        <v>0</v>
      </c>
      <c r="H9" s="20">
        <v>0</v>
      </c>
      <c r="I9" s="20">
        <v>0</v>
      </c>
      <c r="J9" s="20">
        <v>0</v>
      </c>
    </row>
    <row r="10" ht="18" customHeight="1">
      <c r="A10" s="16" t="s">
        <v>19</v>
      </c>
      <c r="B10" s="19">
        <v>1130</v>
      </c>
      <c r="C10" s="20">
        <v>8002783</v>
      </c>
      <c r="D10" s="20">
        <v>3835076</v>
      </c>
      <c r="E10" s="20">
        <v>3893835</v>
      </c>
      <c r="F10" s="20">
        <v>3942223</v>
      </c>
      <c r="G10" s="20">
        <v>3832135</v>
      </c>
      <c r="H10" s="20">
        <v>3944835</v>
      </c>
      <c r="I10" s="20">
        <v>3571054</v>
      </c>
      <c r="J10" s="20">
        <v>3621106</v>
      </c>
    </row>
    <row r="11" ht="16.5" customHeight="1">
      <c r="A11" s="16" t="s">
        <v>20</v>
      </c>
      <c r="B11" s="19">
        <v>1140</v>
      </c>
      <c r="C11" s="20">
        <v>0</v>
      </c>
      <c r="D11" s="20">
        <v>0</v>
      </c>
      <c r="E11" s="20">
        <v>0</v>
      </c>
      <c r="F11" s="20">
        <v>0</v>
      </c>
      <c r="G11" s="20">
        <v>0</v>
      </c>
      <c r="H11" s="20">
        <v>0</v>
      </c>
      <c r="I11" s="20">
        <v>0</v>
      </c>
      <c r="J11" s="20">
        <v>0</v>
      </c>
    </row>
    <row r="12">
      <c r="A12" s="16" t="s">
        <v>21</v>
      </c>
      <c r="B12" s="19">
        <v>1150</v>
      </c>
      <c r="C12" s="20">
        <v>10139182</v>
      </c>
      <c r="D12" s="20">
        <v>8392766</v>
      </c>
      <c r="E12" s="20">
        <v>14629278</v>
      </c>
      <c r="F12" s="20">
        <v>4566241</v>
      </c>
      <c r="G12" s="20">
        <v>6479088</v>
      </c>
      <c r="H12" s="20">
        <v>7103849</v>
      </c>
      <c r="I12" s="20">
        <v>12356799</v>
      </c>
      <c r="J12" s="20">
        <v>15086882</v>
      </c>
    </row>
    <row r="13">
      <c r="A13" s="16" t="s">
        <v>22</v>
      </c>
      <c r="B13" s="19">
        <v>1160</v>
      </c>
      <c r="C13" s="20">
        <v>165840</v>
      </c>
      <c r="D13" s="20">
        <v>159685</v>
      </c>
      <c r="E13" s="20">
        <v>159055</v>
      </c>
      <c r="F13" s="20">
        <v>162155</v>
      </c>
      <c r="G13" s="20">
        <v>152200</v>
      </c>
      <c r="H13" s="20">
        <v>141399</v>
      </c>
      <c r="I13" s="20">
        <v>66139</v>
      </c>
      <c r="J13" s="20">
        <v>55032</v>
      </c>
    </row>
    <row r="14">
      <c r="A14" s="16" t="s">
        <v>23</v>
      </c>
      <c r="B14" s="19">
        <v>1170</v>
      </c>
      <c r="C14" s="20">
        <v>1345294</v>
      </c>
      <c r="D14" s="20">
        <v>2083522</v>
      </c>
      <c r="E14" s="20">
        <v>532148</v>
      </c>
      <c r="F14" s="20">
        <v>401995</v>
      </c>
      <c r="G14" s="20">
        <v>69514</v>
      </c>
      <c r="H14" s="20">
        <v>16713</v>
      </c>
      <c r="I14" s="20">
        <v>126630</v>
      </c>
      <c r="J14" s="20">
        <v>36822</v>
      </c>
    </row>
    <row r="15" s="6" customFormat="1">
      <c r="A15" s="21" t="s">
        <v>24</v>
      </c>
      <c r="B15" s="22">
        <v>1100</v>
      </c>
      <c r="C15" s="23">
        <f t="shared" ref="C15:J15" si="0">SUM(C8:C14)</f>
        <v>19653099</v>
      </c>
      <c r="D15" s="23">
        <f t="shared" si="0"/>
        <v>14471049</v>
      </c>
      <c r="E15" s="23">
        <f t="shared" si="0"/>
        <v>19214316</v>
      </c>
      <c r="F15" s="23">
        <f t="shared" si="0"/>
        <v>9072614</v>
      </c>
      <c r="G15" s="23">
        <f t="shared" si="0"/>
        <v>10532937</v>
      </c>
      <c r="H15" s="23">
        <f t="shared" si="0"/>
        <v>11206796</v>
      </c>
      <c r="I15" s="23">
        <f t="shared" si="0"/>
        <v>16120696</v>
      </c>
      <c r="J15" s="23">
        <f t="shared" si="0"/>
        <v>18800083</v>
      </c>
    </row>
    <row r="16">
      <c r="A16" s="16" t="s">
        <v>25</v>
      </c>
      <c r="B16" s="17"/>
      <c r="C16" s="18"/>
      <c r="D16" s="18"/>
      <c r="E16" s="18"/>
      <c r="F16" s="18"/>
      <c r="G16" s="18"/>
      <c r="H16" s="18"/>
      <c r="I16" s="18"/>
      <c r="J16" s="18"/>
    </row>
    <row r="17">
      <c r="A17" s="16" t="s">
        <v>26</v>
      </c>
      <c r="B17" s="19">
        <v>1210</v>
      </c>
      <c r="C17" s="20">
        <v>3359236</v>
      </c>
      <c r="D17" s="20">
        <v>2454097</v>
      </c>
      <c r="E17" s="24">
        <v>2594147</v>
      </c>
      <c r="F17" s="20">
        <v>2183513</v>
      </c>
      <c r="G17" s="20">
        <v>1971564</v>
      </c>
      <c r="H17" s="24">
        <v>1667298</v>
      </c>
      <c r="I17" s="20">
        <v>1505696</v>
      </c>
      <c r="J17" s="24">
        <v>1811263</v>
      </c>
    </row>
    <row r="18" ht="31.199999999999999">
      <c r="A18" s="16" t="s">
        <v>27</v>
      </c>
      <c r="B18" s="19">
        <v>1220</v>
      </c>
      <c r="C18" s="20">
        <v>33290</v>
      </c>
      <c r="D18" s="20">
        <v>16327</v>
      </c>
      <c r="E18" s="20">
        <v>549766</v>
      </c>
      <c r="F18" s="20">
        <v>186218</v>
      </c>
      <c r="G18" s="20">
        <v>432921</v>
      </c>
      <c r="H18" s="20">
        <v>212888</v>
      </c>
      <c r="I18" s="20">
        <v>196713</v>
      </c>
      <c r="J18" s="20">
        <v>43321</v>
      </c>
    </row>
    <row r="19">
      <c r="A19" s="16" t="s">
        <v>28</v>
      </c>
      <c r="B19" s="19">
        <v>1230</v>
      </c>
      <c r="C19" s="20">
        <f t="shared" ref="C19:J19" si="1">SUM(C20:C21)</f>
        <v>2703825</v>
      </c>
      <c r="D19" s="20">
        <f t="shared" si="1"/>
        <v>3097566</v>
      </c>
      <c r="E19" s="20">
        <f t="shared" si="1"/>
        <v>3241082</v>
      </c>
      <c r="F19" s="20">
        <f t="shared" si="1"/>
        <v>3705802</v>
      </c>
      <c r="G19" s="20">
        <f t="shared" si="1"/>
        <v>5380410</v>
      </c>
      <c r="H19" s="20">
        <f t="shared" si="1"/>
        <v>5548340</v>
      </c>
      <c r="I19" s="20">
        <f t="shared" si="1"/>
        <v>4398970</v>
      </c>
      <c r="J19" s="20">
        <f t="shared" si="1"/>
        <v>4598730</v>
      </c>
    </row>
    <row r="20">
      <c r="A20" s="25" t="s">
        <v>29</v>
      </c>
      <c r="B20" s="19">
        <v>1231</v>
      </c>
      <c r="C20" s="20">
        <v>0</v>
      </c>
      <c r="D20" s="20">
        <v>0</v>
      </c>
      <c r="E20" s="20">
        <v>101369</v>
      </c>
      <c r="F20" s="20">
        <v>0</v>
      </c>
      <c r="G20" s="20">
        <v>206724</v>
      </c>
      <c r="H20" s="20">
        <v>295395</v>
      </c>
      <c r="I20" s="20">
        <v>1780926</v>
      </c>
      <c r="J20" s="20">
        <v>2720474</v>
      </c>
    </row>
    <row r="21">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ht="31.199999999999999">
      <c r="A22" s="16" t="s">
        <v>31</v>
      </c>
      <c r="B22" s="19">
        <v>1240</v>
      </c>
      <c r="C22" s="20">
        <v>18308260</v>
      </c>
      <c r="D22" s="20">
        <v>27313352</v>
      </c>
      <c r="E22" s="20">
        <v>22234137</v>
      </c>
      <c r="F22" s="20">
        <v>38591144</v>
      </c>
      <c r="G22" s="20">
        <v>24929179</v>
      </c>
      <c r="H22" s="20">
        <v>23956588</v>
      </c>
      <c r="I22" s="20">
        <v>10536852</v>
      </c>
      <c r="J22" s="20">
        <v>3602536</v>
      </c>
    </row>
    <row r="23">
      <c r="A23" s="16" t="s">
        <v>32</v>
      </c>
      <c r="B23" s="19">
        <v>1250</v>
      </c>
      <c r="C23" s="20">
        <v>3397538</v>
      </c>
      <c r="D23" s="20">
        <v>1007422</v>
      </c>
      <c r="E23" s="20">
        <v>3121333</v>
      </c>
      <c r="F23" s="20">
        <v>4548134</v>
      </c>
      <c r="G23" s="20">
        <v>6655180</v>
      </c>
      <c r="H23" s="20">
        <v>3728021</v>
      </c>
      <c r="I23" s="20">
        <v>509947</v>
      </c>
      <c r="J23" s="20">
        <v>831112</v>
      </c>
    </row>
    <row r="24">
      <c r="A24" s="16" t="s">
        <v>33</v>
      </c>
      <c r="B24" s="19">
        <v>1260</v>
      </c>
      <c r="C24" s="20">
        <v>726358</v>
      </c>
      <c r="D24" s="20">
        <v>216717</v>
      </c>
      <c r="E24" s="20">
        <v>152360</v>
      </c>
      <c r="F24" s="20">
        <v>186155</v>
      </c>
      <c r="G24" s="20">
        <v>345727</v>
      </c>
      <c r="H24" s="20">
        <v>124161</v>
      </c>
      <c r="I24" s="20">
        <v>96823</v>
      </c>
      <c r="J24" s="20">
        <v>85009</v>
      </c>
    </row>
    <row r="25" s="6" customFormat="1">
      <c r="A25" s="21" t="s">
        <v>34</v>
      </c>
      <c r="B25" s="22">
        <v>1200</v>
      </c>
      <c r="C25" s="23">
        <f t="shared" ref="C25:J25" si="2">SUM(C17:C19,C22,C23,C24)</f>
        <v>28528507</v>
      </c>
      <c r="D25" s="23">
        <f t="shared" si="2"/>
        <v>34105481</v>
      </c>
      <c r="E25" s="23">
        <f t="shared" si="2"/>
        <v>31892825</v>
      </c>
      <c r="F25" s="23">
        <f t="shared" si="2"/>
        <v>49400966</v>
      </c>
      <c r="G25" s="23">
        <f t="shared" si="2"/>
        <v>39714981</v>
      </c>
      <c r="H25" s="23">
        <f t="shared" si="2"/>
        <v>35237296</v>
      </c>
      <c r="I25" s="23">
        <f t="shared" si="2"/>
        <v>17245001</v>
      </c>
      <c r="J25" s="23">
        <f t="shared" si="2"/>
        <v>10971971</v>
      </c>
    </row>
    <row r="26" s="6" customFormat="1">
      <c r="A26" s="21" t="s">
        <v>35</v>
      </c>
      <c r="B26" s="22">
        <v>1600</v>
      </c>
      <c r="C26" s="23">
        <f t="shared" ref="C26:J26" si="3">C15+C25</f>
        <v>48181606</v>
      </c>
      <c r="D26" s="23">
        <f t="shared" si="3"/>
        <v>48576530</v>
      </c>
      <c r="E26" s="23">
        <f t="shared" si="3"/>
        <v>51107141</v>
      </c>
      <c r="F26" s="23">
        <f t="shared" si="3"/>
        <v>58473580</v>
      </c>
      <c r="G26" s="23">
        <f t="shared" si="3"/>
        <v>50247918</v>
      </c>
      <c r="H26" s="23">
        <f t="shared" si="3"/>
        <v>46444092</v>
      </c>
      <c r="I26" s="23">
        <f t="shared" si="3"/>
        <v>33365697</v>
      </c>
      <c r="J26" s="23">
        <f t="shared" si="3"/>
        <v>29772054</v>
      </c>
    </row>
    <row r="27">
      <c r="A27" s="26"/>
      <c r="B27" s="26"/>
      <c r="C27" s="27"/>
      <c r="D27" s="27"/>
      <c r="E27" s="27"/>
      <c r="F27" s="27"/>
      <c r="G27" s="27"/>
      <c r="H27" s="27"/>
      <c r="I27" s="27"/>
      <c r="J27" s="27"/>
    </row>
    <row r="28" s="6" customFormat="1" ht="31.199999999999999">
      <c r="A28" s="10" t="s">
        <v>36</v>
      </c>
      <c r="B28" s="11" t="s">
        <v>7</v>
      </c>
      <c r="C28" s="28" t="str">
        <f t="shared" ref="C28:J28" si="4">C5</f>
        <v xml:space="preserve">на 31 декабря 2019 года</v>
      </c>
      <c r="D28" s="28" t="str">
        <f t="shared" si="4"/>
        <v xml:space="preserve">на 31 декабря 2018 года</v>
      </c>
      <c r="E28" s="28" t="str">
        <f t="shared" si="4"/>
        <v xml:space="preserve">на 31 декабря 2017 года</v>
      </c>
      <c r="F28" s="28" t="str">
        <f t="shared" si="4"/>
        <v xml:space="preserve">на 31 декабря 2016 года</v>
      </c>
      <c r="G28" s="28" t="str">
        <f t="shared" si="4"/>
        <v xml:space="preserve">на 31 декабря 2015 года</v>
      </c>
      <c r="H28" s="28" t="str">
        <f t="shared" si="4"/>
        <v xml:space="preserve">на 31 декабря 2014 года</v>
      </c>
      <c r="I28" s="28" t="str">
        <f t="shared" si="4"/>
        <v xml:space="preserve">на 31 декабря 2013 года</v>
      </c>
      <c r="J28" s="28" t="str">
        <f t="shared" si="4"/>
        <v xml:space="preserve">на 31 декабря 2012 года</v>
      </c>
    </row>
    <row r="29" s="6" customFormat="1">
      <c r="A29" s="13">
        <v>1</v>
      </c>
      <c r="B29" s="14">
        <v>2</v>
      </c>
      <c r="C29" s="29">
        <v>3</v>
      </c>
      <c r="D29" s="29">
        <v>4</v>
      </c>
      <c r="E29" s="29">
        <v>5</v>
      </c>
      <c r="F29" s="29">
        <v>6</v>
      </c>
      <c r="G29" s="29">
        <v>7</v>
      </c>
      <c r="H29" s="29">
        <v>8</v>
      </c>
      <c r="I29" s="29">
        <v>9</v>
      </c>
      <c r="J29" s="29">
        <v>10</v>
      </c>
    </row>
    <row r="30">
      <c r="A30" s="16" t="s">
        <v>37</v>
      </c>
      <c r="B30" s="17"/>
      <c r="C30" s="18"/>
      <c r="D30" s="18"/>
      <c r="E30" s="18"/>
      <c r="F30" s="18"/>
      <c r="G30" s="18"/>
      <c r="H30" s="18"/>
      <c r="I30" s="18"/>
      <c r="J30" s="18"/>
    </row>
    <row r="31" ht="15" customHeight="1">
      <c r="A31" s="16" t="s">
        <v>38</v>
      </c>
      <c r="B31" s="19">
        <v>1310</v>
      </c>
      <c r="C31" s="20">
        <v>218860</v>
      </c>
      <c r="D31" s="20">
        <v>218860</v>
      </c>
      <c r="E31" s="20">
        <v>218860</v>
      </c>
      <c r="F31" s="20">
        <v>218860</v>
      </c>
      <c r="G31" s="20">
        <v>218860</v>
      </c>
      <c r="H31" s="20">
        <v>218860</v>
      </c>
      <c r="I31" s="20">
        <v>218860</v>
      </c>
      <c r="J31" s="20">
        <v>218860</v>
      </c>
    </row>
    <row r="32" ht="18.75" customHeight="1">
      <c r="A32" s="16" t="s">
        <v>39</v>
      </c>
      <c r="B32" s="19">
        <v>1320</v>
      </c>
      <c r="C32" s="20">
        <v>0</v>
      </c>
      <c r="D32" s="20">
        <v>0</v>
      </c>
      <c r="E32" s="20">
        <v>-96647</v>
      </c>
      <c r="F32" s="20">
        <v>0</v>
      </c>
      <c r="G32" s="20">
        <v>-20847</v>
      </c>
      <c r="H32" s="20">
        <v>0</v>
      </c>
      <c r="I32" s="20">
        <v>0</v>
      </c>
      <c r="J32" s="20">
        <v>0</v>
      </c>
    </row>
    <row r="33">
      <c r="A33" s="16" t="s">
        <v>40</v>
      </c>
      <c r="B33" s="19">
        <v>1340</v>
      </c>
      <c r="C33" s="30">
        <v>417269</v>
      </c>
      <c r="D33" s="30">
        <v>418860</v>
      </c>
      <c r="E33" s="20">
        <v>420686</v>
      </c>
      <c r="F33" s="30">
        <v>484791</v>
      </c>
      <c r="G33" s="30">
        <v>518210</v>
      </c>
      <c r="H33" s="20">
        <v>531553</v>
      </c>
      <c r="I33" s="30">
        <v>543121</v>
      </c>
      <c r="J33" s="20">
        <v>563922</v>
      </c>
    </row>
    <row r="34">
      <c r="A34" s="16" t="s">
        <v>41</v>
      </c>
      <c r="B34" s="19">
        <v>1350</v>
      </c>
      <c r="C34" s="20">
        <v>84000</v>
      </c>
      <c r="D34" s="20">
        <v>84000</v>
      </c>
      <c r="E34" s="20">
        <v>84000</v>
      </c>
      <c r="F34" s="20">
        <v>84000</v>
      </c>
      <c r="G34" s="20">
        <v>84000</v>
      </c>
      <c r="H34" s="20">
        <v>84000</v>
      </c>
      <c r="I34" s="20">
        <v>84000</v>
      </c>
      <c r="J34" s="20">
        <v>84000</v>
      </c>
    </row>
    <row r="35">
      <c r="A35" s="16" t="s">
        <v>42</v>
      </c>
      <c r="B35" s="19">
        <v>1360</v>
      </c>
      <c r="C35" s="20">
        <v>32829</v>
      </c>
      <c r="D35" s="20">
        <v>32829</v>
      </c>
      <c r="E35" s="20">
        <v>32829</v>
      </c>
      <c r="F35" s="20">
        <v>32829</v>
      </c>
      <c r="G35" s="20">
        <v>32829</v>
      </c>
      <c r="H35" s="20">
        <v>32829</v>
      </c>
      <c r="I35" s="20">
        <v>32829</v>
      </c>
      <c r="J35" s="20">
        <v>32829</v>
      </c>
    </row>
    <row r="36" ht="31.199999999999999">
      <c r="A36" s="16" t="s">
        <v>43</v>
      </c>
      <c r="B36" s="19">
        <v>1370</v>
      </c>
      <c r="C36" s="20">
        <v>39665734</v>
      </c>
      <c r="D36" s="20">
        <v>44989485</v>
      </c>
      <c r="E36" s="20">
        <v>46368906</v>
      </c>
      <c r="F36" s="20">
        <v>40435274</v>
      </c>
      <c r="G36" s="20">
        <v>34077800</v>
      </c>
      <c r="H36" s="20">
        <v>25268238</v>
      </c>
      <c r="I36" s="20">
        <v>25027272</v>
      </c>
      <c r="J36" s="20">
        <v>21162720</v>
      </c>
    </row>
    <row r="37" s="6" customFormat="1" ht="19.949999999999999" customHeight="1">
      <c r="A37" s="21" t="s">
        <v>44</v>
      </c>
      <c r="B37" s="22">
        <v>1300</v>
      </c>
      <c r="C37" s="23">
        <f t="shared" ref="C37:J37" si="5">SUM(C31:C36)</f>
        <v>40418692</v>
      </c>
      <c r="D37" s="23">
        <f t="shared" si="5"/>
        <v>45744034</v>
      </c>
      <c r="E37" s="23">
        <f t="shared" si="5"/>
        <v>47028634</v>
      </c>
      <c r="F37" s="23">
        <f t="shared" si="5"/>
        <v>41255754</v>
      </c>
      <c r="G37" s="23">
        <f t="shared" si="5"/>
        <v>34910852</v>
      </c>
      <c r="H37" s="23">
        <f t="shared" si="5"/>
        <v>26135480</v>
      </c>
      <c r="I37" s="23">
        <f t="shared" si="5"/>
        <v>25906082</v>
      </c>
      <c r="J37" s="23">
        <f t="shared" si="5"/>
        <v>22062331</v>
      </c>
    </row>
    <row r="38" ht="17.399999999999999" customHeight="1">
      <c r="A38" s="16" t="s">
        <v>45</v>
      </c>
      <c r="B38" s="17"/>
      <c r="C38" s="18"/>
      <c r="D38" s="18"/>
      <c r="E38" s="18"/>
      <c r="F38" s="18"/>
      <c r="G38" s="18"/>
      <c r="H38" s="18"/>
      <c r="I38" s="18"/>
      <c r="J38" s="18"/>
    </row>
    <row r="39">
      <c r="A39" s="16" t="s">
        <v>46</v>
      </c>
      <c r="B39" s="19">
        <v>1410</v>
      </c>
      <c r="C39" s="20">
        <v>0</v>
      </c>
      <c r="D39" s="20">
        <v>0</v>
      </c>
      <c r="E39" s="20">
        <v>0</v>
      </c>
      <c r="F39" s="20">
        <v>3000000</v>
      </c>
      <c r="G39" s="20">
        <v>10932405</v>
      </c>
      <c r="H39" s="20">
        <v>8438760</v>
      </c>
      <c r="I39" s="20">
        <v>4909380</v>
      </c>
      <c r="J39" s="20">
        <v>5454937</v>
      </c>
    </row>
    <row r="40">
      <c r="A40" s="16" t="s">
        <v>47</v>
      </c>
      <c r="B40" s="19">
        <v>1420</v>
      </c>
      <c r="C40" s="20">
        <v>675161</v>
      </c>
      <c r="D40" s="20">
        <v>551941</v>
      </c>
      <c r="E40" s="20">
        <v>419734</v>
      </c>
      <c r="F40" s="20">
        <v>261403</v>
      </c>
      <c r="G40" s="20">
        <v>275358</v>
      </c>
      <c r="H40" s="20">
        <v>161590</v>
      </c>
      <c r="I40" s="20">
        <v>124369</v>
      </c>
      <c r="J40" s="20">
        <v>113141</v>
      </c>
    </row>
    <row r="41">
      <c r="A41" s="16" t="s">
        <v>48</v>
      </c>
      <c r="B41" s="19">
        <v>1430</v>
      </c>
      <c r="C41" s="20">
        <v>0</v>
      </c>
      <c r="D41" s="20">
        <v>0</v>
      </c>
      <c r="E41" s="20">
        <v>0</v>
      </c>
      <c r="F41" s="20">
        <v>0</v>
      </c>
      <c r="G41" s="20">
        <v>0</v>
      </c>
      <c r="H41" s="20">
        <v>0</v>
      </c>
      <c r="I41" s="20">
        <v>0</v>
      </c>
      <c r="J41" s="20">
        <v>0</v>
      </c>
    </row>
    <row r="42">
      <c r="A42" s="16" t="s">
        <v>49</v>
      </c>
      <c r="B42" s="19">
        <v>1450</v>
      </c>
      <c r="C42" s="20">
        <v>0</v>
      </c>
      <c r="D42" s="20">
        <v>0</v>
      </c>
      <c r="E42" s="20">
        <v>0</v>
      </c>
      <c r="F42" s="20">
        <v>0</v>
      </c>
      <c r="G42" s="20">
        <v>0</v>
      </c>
      <c r="H42" s="20">
        <v>29937</v>
      </c>
      <c r="I42" s="20">
        <v>0</v>
      </c>
      <c r="J42" s="20">
        <v>0</v>
      </c>
    </row>
    <row r="43" s="6" customFormat="1">
      <c r="A43" s="21" t="s">
        <v>50</v>
      </c>
      <c r="B43" s="22">
        <v>1400</v>
      </c>
      <c r="C43" s="23">
        <f t="shared" ref="C43:J43" si="6">SUM(C39:C42)</f>
        <v>675161</v>
      </c>
      <c r="D43" s="23">
        <f t="shared" si="6"/>
        <v>551941</v>
      </c>
      <c r="E43" s="23">
        <f t="shared" si="6"/>
        <v>419734</v>
      </c>
      <c r="F43" s="23">
        <f t="shared" si="6"/>
        <v>3261403</v>
      </c>
      <c r="G43" s="23">
        <f t="shared" si="6"/>
        <v>11207763</v>
      </c>
      <c r="H43" s="23">
        <f t="shared" si="6"/>
        <v>8630287</v>
      </c>
      <c r="I43" s="23">
        <f t="shared" si="6"/>
        <v>5033749</v>
      </c>
      <c r="J43" s="23">
        <f t="shared" si="6"/>
        <v>5568078</v>
      </c>
    </row>
    <row r="44">
      <c r="A44" s="16" t="s">
        <v>51</v>
      </c>
      <c r="B44" s="17"/>
      <c r="C44" s="18"/>
      <c r="D44" s="18"/>
      <c r="E44" s="18"/>
      <c r="F44" s="18"/>
      <c r="G44" s="18"/>
      <c r="H44" s="18"/>
      <c r="I44" s="18"/>
      <c r="J44" s="18"/>
    </row>
    <row r="45">
      <c r="A45" s="16" t="s">
        <v>46</v>
      </c>
      <c r="B45" s="19">
        <v>1510</v>
      </c>
      <c r="C45" s="20">
        <v>0</v>
      </c>
      <c r="D45" s="20">
        <v>0</v>
      </c>
      <c r="E45" s="20">
        <v>866541</v>
      </c>
      <c r="F45" s="20">
        <v>10726608</v>
      </c>
      <c r="G45" s="20">
        <v>15345</v>
      </c>
      <c r="H45" s="20">
        <v>9580010</v>
      </c>
      <c r="I45" s="20">
        <v>657754</v>
      </c>
      <c r="J45" s="20">
        <v>597056</v>
      </c>
    </row>
    <row r="46">
      <c r="A46" s="16" t="s">
        <v>52</v>
      </c>
      <c r="B46" s="19">
        <v>1520</v>
      </c>
      <c r="C46" s="20">
        <v>6817353</v>
      </c>
      <c r="D46" s="20">
        <v>2027319</v>
      </c>
      <c r="E46" s="20">
        <v>2565248</v>
      </c>
      <c r="F46" s="20">
        <v>3010880</v>
      </c>
      <c r="G46" s="20">
        <v>3951678</v>
      </c>
      <c r="H46" s="20">
        <v>2001453</v>
      </c>
      <c r="I46" s="20">
        <v>1672552</v>
      </c>
      <c r="J46" s="20">
        <v>1437090</v>
      </c>
    </row>
    <row r="47">
      <c r="A47" s="16" t="s">
        <v>53</v>
      </c>
      <c r="B47" s="19">
        <v>1530</v>
      </c>
      <c r="C47" s="20">
        <v>7661</v>
      </c>
      <c r="D47" s="20">
        <v>926</v>
      </c>
      <c r="E47" s="20">
        <v>1085</v>
      </c>
      <c r="F47" s="20">
        <v>1244</v>
      </c>
      <c r="G47" s="20">
        <v>1403</v>
      </c>
      <c r="H47" s="20">
        <v>1562</v>
      </c>
      <c r="I47" s="20">
        <v>1722</v>
      </c>
      <c r="J47" s="20">
        <v>2168</v>
      </c>
    </row>
    <row r="48">
      <c r="A48" s="16" t="s">
        <v>48</v>
      </c>
      <c r="B48" s="19">
        <v>1540</v>
      </c>
      <c r="C48" s="20">
        <v>249890</v>
      </c>
      <c r="D48" s="20">
        <v>208416</v>
      </c>
      <c r="E48" s="20">
        <v>190774</v>
      </c>
      <c r="F48" s="20">
        <v>211683</v>
      </c>
      <c r="G48" s="20">
        <v>159709</v>
      </c>
      <c r="H48" s="20">
        <v>94742</v>
      </c>
      <c r="I48" s="20">
        <v>85327</v>
      </c>
      <c r="J48" s="20">
        <v>102181</v>
      </c>
    </row>
    <row r="49">
      <c r="A49" s="16" t="s">
        <v>49</v>
      </c>
      <c r="B49" s="19">
        <v>1550</v>
      </c>
      <c r="C49" s="20">
        <v>12849</v>
      </c>
      <c r="D49" s="20">
        <v>43894</v>
      </c>
      <c r="E49" s="20">
        <v>35125</v>
      </c>
      <c r="F49" s="20">
        <v>6008</v>
      </c>
      <c r="G49" s="20">
        <v>1168</v>
      </c>
      <c r="H49" s="20">
        <v>558</v>
      </c>
      <c r="I49" s="20">
        <v>8511</v>
      </c>
      <c r="J49" s="20">
        <v>3150</v>
      </c>
    </row>
    <row r="50" s="6" customFormat="1">
      <c r="A50" s="21" t="s">
        <v>54</v>
      </c>
      <c r="B50" s="22">
        <v>1500</v>
      </c>
      <c r="C50" s="23">
        <f t="shared" ref="C50:J50" si="7">SUM(C45:C49)</f>
        <v>7087753</v>
      </c>
      <c r="D50" s="23">
        <f t="shared" si="7"/>
        <v>2280555</v>
      </c>
      <c r="E50" s="23">
        <f t="shared" si="7"/>
        <v>3658773</v>
      </c>
      <c r="F50" s="23">
        <f t="shared" si="7"/>
        <v>13956423</v>
      </c>
      <c r="G50" s="23">
        <f t="shared" si="7"/>
        <v>4129303</v>
      </c>
      <c r="H50" s="23">
        <f t="shared" si="7"/>
        <v>11678325</v>
      </c>
      <c r="I50" s="23">
        <f t="shared" si="7"/>
        <v>2425866</v>
      </c>
      <c r="J50" s="23">
        <f t="shared" si="7"/>
        <v>2141645</v>
      </c>
    </row>
    <row r="51" s="6" customFormat="1">
      <c r="A51" s="21" t="s">
        <v>55</v>
      </c>
      <c r="B51" s="22">
        <v>1700</v>
      </c>
      <c r="C51" s="23">
        <f t="shared" ref="C51:J51" si="8">C37+C43+C50</f>
        <v>48181606</v>
      </c>
      <c r="D51" s="23">
        <f t="shared" si="8"/>
        <v>48576530</v>
      </c>
      <c r="E51" s="23">
        <f t="shared" si="8"/>
        <v>51107141</v>
      </c>
      <c r="F51" s="23">
        <f t="shared" si="8"/>
        <v>58473580</v>
      </c>
      <c r="G51" s="23">
        <f t="shared" si="8"/>
        <v>50247918</v>
      </c>
      <c r="H51" s="23">
        <f t="shared" si="8"/>
        <v>46444092</v>
      </c>
      <c r="I51" s="23">
        <f t="shared" si="8"/>
        <v>33365697</v>
      </c>
      <c r="J51" s="23">
        <f t="shared" si="8"/>
        <v>29772054</v>
      </c>
    </row>
    <row r="52">
      <c r="C52" s="4">
        <f t="shared" ref="C52:J52" si="9">C26-C51</f>
        <v>0</v>
      </c>
      <c r="D52" s="4">
        <f t="shared" si="9"/>
        <v>0</v>
      </c>
      <c r="E52" s="4">
        <f t="shared" si="9"/>
        <v>0</v>
      </c>
      <c r="F52" s="4">
        <f t="shared" si="9"/>
        <v>0</v>
      </c>
      <c r="G52" s="4">
        <f t="shared" si="9"/>
        <v>0</v>
      </c>
      <c r="H52" s="4">
        <f t="shared" si="9"/>
        <v>0</v>
      </c>
      <c r="I52" s="4">
        <f t="shared" si="9"/>
        <v>0</v>
      </c>
      <c r="J52" s="4">
        <f t="shared" si="9"/>
        <v>0</v>
      </c>
    </row>
    <row r="53">
      <c r="D53" s="3"/>
      <c r="E53" s="1"/>
      <c r="G53" s="4"/>
      <c r="I53" s="1"/>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1" zoomScale="80" workbookViewId="0">
      <pane xSplit="1" topLeftCell="B1" activePane="topRight" state="frozen"/>
      <selection activeCell="A1" activeCellId="0" sqref="A1"/>
    </sheetView>
  </sheetViews>
  <sheetFormatPr defaultColWidth="9.109375" defaultRowHeight="12.75"/>
  <cols>
    <col customWidth="1" min="1" max="1" style="198" width="35.33203125"/>
    <col bestFit="1" customWidth="1" min="2" max="2" style="208" width="16.86328125"/>
    <col customWidth="1" min="3" max="33" style="208" width="16.5546875"/>
    <col min="34" max="16384" style="198" width="9.109375"/>
  </cols>
  <sheetData>
    <row r="1" ht="15">
      <c r="A1" s="207" t="s">
        <v>515</v>
      </c>
    </row>
    <row r="2" ht="15">
      <c r="A2" s="179" t="s">
        <v>177</v>
      </c>
      <c r="B2" s="179" t="s">
        <v>421</v>
      </c>
      <c r="C2" s="179"/>
      <c r="D2" s="179"/>
      <c r="E2" s="179"/>
      <c r="F2" s="179"/>
      <c r="G2" s="179"/>
      <c r="H2" s="179"/>
      <c r="I2" s="316" t="s">
        <v>422</v>
      </c>
      <c r="J2" s="316"/>
      <c r="K2" s="316"/>
      <c r="L2" s="316"/>
      <c r="M2" s="316"/>
      <c r="N2" s="316"/>
      <c r="O2" s="316"/>
      <c r="P2" s="316" t="s">
        <v>516</v>
      </c>
      <c r="Q2" s="316"/>
      <c r="R2" s="316"/>
      <c r="S2" s="316"/>
      <c r="T2" s="316"/>
      <c r="U2" s="316"/>
      <c r="V2" s="316"/>
      <c r="W2" s="316"/>
      <c r="X2" s="316"/>
      <c r="Y2" s="316"/>
      <c r="Z2" s="316"/>
      <c r="AA2" s="316"/>
      <c r="AB2" s="316"/>
      <c r="AC2" s="316"/>
      <c r="AD2" s="316"/>
      <c r="AE2" s="316"/>
      <c r="AF2" s="316"/>
      <c r="AG2" s="316"/>
    </row>
    <row r="3" s="216" customFormat="1" ht="15">
      <c r="A3" s="179"/>
      <c r="B3" s="179"/>
      <c r="C3" s="179"/>
      <c r="D3" s="179"/>
      <c r="E3" s="179"/>
      <c r="F3" s="179"/>
      <c r="G3" s="179"/>
      <c r="H3" s="179"/>
      <c r="I3" s="316"/>
      <c r="J3" s="316"/>
      <c r="K3" s="316"/>
      <c r="L3" s="316"/>
      <c r="M3" s="316"/>
      <c r="N3" s="316"/>
      <c r="O3" s="316"/>
      <c r="P3" s="210" t="str">
        <f>аб!Q22</f>
        <v xml:space="preserve">2019/2018 </v>
      </c>
      <c r="Q3" s="210"/>
      <c r="R3" s="210"/>
      <c r="S3" s="210" t="str">
        <f>аб!T22</f>
        <v>2018/2017</v>
      </c>
      <c r="T3" s="210"/>
      <c r="U3" s="210"/>
      <c r="V3" s="210" t="str">
        <f>аб!W22</f>
        <v>2017/2016</v>
      </c>
      <c r="W3" s="210"/>
      <c r="X3" s="210"/>
      <c r="Y3" s="210" t="str">
        <f>аб!Z22</f>
        <v>2016/2015</v>
      </c>
      <c r="Z3" s="210"/>
      <c r="AA3" s="210"/>
      <c r="AB3" s="210" t="str">
        <f>аб!AC22</f>
        <v>2015/2014</v>
      </c>
      <c r="AC3" s="210"/>
      <c r="AD3" s="210"/>
      <c r="AE3" s="210" t="str">
        <f>аб!AF22</f>
        <v>2014/2013</v>
      </c>
      <c r="AF3" s="210"/>
      <c r="AG3" s="210"/>
    </row>
    <row r="4" s="216" customFormat="1" ht="30">
      <c r="A4" s="179"/>
      <c r="B4" s="316" t="s">
        <v>320</v>
      </c>
      <c r="C4" s="316" t="s">
        <v>321</v>
      </c>
      <c r="D4" s="316" t="s">
        <v>322</v>
      </c>
      <c r="E4" s="316" t="s">
        <v>323</v>
      </c>
      <c r="F4" s="316" t="s">
        <v>324</v>
      </c>
      <c r="G4" s="316" t="s">
        <v>325</v>
      </c>
      <c r="H4" s="316" t="s">
        <v>326</v>
      </c>
      <c r="I4" s="316" t="str">
        <f t="shared" ref="I4:O4" si="232">B4</f>
        <v xml:space="preserve">2019 год</v>
      </c>
      <c r="J4" s="316" t="str">
        <f t="shared" si="232"/>
        <v xml:space="preserve">2018 год</v>
      </c>
      <c r="K4" s="316" t="str">
        <f t="shared" si="232"/>
        <v xml:space="preserve">2017 год</v>
      </c>
      <c r="L4" s="316" t="str">
        <f t="shared" si="232"/>
        <v xml:space="preserve">2016 год</v>
      </c>
      <c r="M4" s="316" t="str">
        <f t="shared" si="232"/>
        <v xml:space="preserve">2015 год</v>
      </c>
      <c r="N4" s="316" t="str">
        <f t="shared" si="232"/>
        <v xml:space="preserve">2014 год</v>
      </c>
      <c r="O4" s="316" t="str">
        <f t="shared" si="232"/>
        <v xml:space="preserve">2013 год</v>
      </c>
      <c r="P4" s="316" t="str">
        <f>аб!Q23</f>
        <v xml:space="preserve">в тыс. руб.</v>
      </c>
      <c r="Q4" s="316" t="str">
        <f>аб!R23</f>
        <v xml:space="preserve">темп прироста, %</v>
      </c>
      <c r="R4" s="316" t="str">
        <f>аб!S23</f>
        <v xml:space="preserve">в структуре, %</v>
      </c>
      <c r="S4" s="316" t="str">
        <f>аб!T23</f>
        <v xml:space="preserve">в тыс. руб.</v>
      </c>
      <c r="T4" s="316" t="str">
        <f>аб!U23</f>
        <v xml:space="preserve">темп прироста, %</v>
      </c>
      <c r="U4" s="316" t="str">
        <f>аб!V23</f>
        <v xml:space="preserve">в структуре, %</v>
      </c>
      <c r="V4" s="316" t="str">
        <f>аб!W23</f>
        <v xml:space="preserve">в тыс. руб.</v>
      </c>
      <c r="W4" s="316" t="str">
        <f>аб!X23</f>
        <v xml:space="preserve">темп прироста, %</v>
      </c>
      <c r="X4" s="316" t="str">
        <f>аб!Y23</f>
        <v xml:space="preserve">в структуре, %</v>
      </c>
      <c r="Y4" s="316" t="str">
        <f>аб!Z23</f>
        <v xml:space="preserve">в тыс. руб.</v>
      </c>
      <c r="Z4" s="316" t="str">
        <f>аб!AA23</f>
        <v xml:space="preserve">темп прироста, %</v>
      </c>
      <c r="AA4" s="316" t="str">
        <f>аб!AB23</f>
        <v xml:space="preserve">в структуре, %</v>
      </c>
      <c r="AB4" s="316" t="str">
        <f>аб!AC23</f>
        <v xml:space="preserve">в тыс. руб.</v>
      </c>
      <c r="AC4" s="316" t="str">
        <f>аб!AD23</f>
        <v xml:space="preserve">темп прироста, %</v>
      </c>
      <c r="AD4" s="316" t="str">
        <f>аб!AE23</f>
        <v xml:space="preserve">в структуре, %</v>
      </c>
      <c r="AE4" s="316" t="str">
        <f>аб!AF23</f>
        <v xml:space="preserve">в тыс. руб.</v>
      </c>
      <c r="AF4" s="316" t="str">
        <f>аб!AG23</f>
        <v xml:space="preserve">темп прироста, %</v>
      </c>
      <c r="AG4" s="316" t="str">
        <f>аб!AH23</f>
        <v xml:space="preserve">в структуре, %</v>
      </c>
    </row>
    <row r="5" ht="15">
      <c r="A5" s="317" t="s">
        <v>517</v>
      </c>
      <c r="B5" s="318">
        <f>'2'!C7</f>
        <v>21650314</v>
      </c>
      <c r="C5" s="318">
        <f>'2'!D7</f>
        <v>27154819</v>
      </c>
      <c r="D5" s="318">
        <f>'2'!E7</f>
        <v>24000677</v>
      </c>
      <c r="E5" s="318">
        <f>'2'!F7</f>
        <v>23253619</v>
      </c>
      <c r="F5" s="318">
        <f>'2'!G7</f>
        <v>26654915</v>
      </c>
      <c r="G5" s="318">
        <f>'2'!H7</f>
        <v>16131092</v>
      </c>
      <c r="H5" s="318">
        <f>'2'!I7</f>
        <v>17359621</v>
      </c>
      <c r="I5" s="319">
        <f t="shared" ref="I5:I9" si="233">(B5/B$5)*100</f>
        <v>100</v>
      </c>
      <c r="J5" s="319">
        <f t="shared" ref="J5:J9" si="234">(C5/C$5)*100</f>
        <v>100</v>
      </c>
      <c r="K5" s="319">
        <f t="shared" ref="K5:K9" si="235">(D5/D$5)*100</f>
        <v>100</v>
      </c>
      <c r="L5" s="319">
        <f t="shared" ref="L5:L9" si="236">(E5/E$5)*100</f>
        <v>100</v>
      </c>
      <c r="M5" s="319">
        <f t="shared" ref="M5:M9" si="237">(F5/F$5)*100</f>
        <v>100</v>
      </c>
      <c r="N5" s="319">
        <f t="shared" ref="N5:N9" si="238">(G5/G$5)*100</f>
        <v>100</v>
      </c>
      <c r="O5" s="319">
        <f t="shared" ref="O5:O9" si="239">(H5/H$5)*100</f>
        <v>100</v>
      </c>
      <c r="P5" s="320">
        <f t="shared" ref="P5:P9" si="240">B5-C5</f>
        <v>-5504505</v>
      </c>
      <c r="Q5" s="321">
        <f t="shared" ref="Q5:Q9" si="241">((B5-C5)/C5)*100</f>
        <v>-20.270821911941304</v>
      </c>
      <c r="R5" s="321">
        <f t="shared" ref="R5:R9" si="242">((B5/$B$5)-(C5/$C$5))*100</f>
        <v>0</v>
      </c>
      <c r="S5" s="320">
        <f t="shared" ref="S5:S9" si="243">C5-D5</f>
        <v>3154142</v>
      </c>
      <c r="T5" s="321">
        <f t="shared" ref="T5:T9" si="244">((C5-D5)/D5)*100</f>
        <v>13.141887622586646</v>
      </c>
      <c r="U5" s="321">
        <f t="shared" ref="U5:U9" si="245">((C5/$C$5)-(D5/$D$5))*100</f>
        <v>0</v>
      </c>
      <c r="V5" s="320">
        <f t="shared" ref="V5:V9" si="246">D5-E5</f>
        <v>747058</v>
      </c>
      <c r="W5" s="321">
        <f t="shared" ref="W5:W9" si="247">((D5-E5)/E5)*100</f>
        <v>3.2126526197922138</v>
      </c>
      <c r="X5" s="321">
        <f t="shared" ref="X5:X9" si="248">((D5/$D$5)-(E5/$E$5))*100</f>
        <v>0</v>
      </c>
      <c r="Y5" s="320">
        <f t="shared" ref="Y5:Y9" si="249">E5-F5</f>
        <v>-3401296</v>
      </c>
      <c r="Z5" s="321">
        <f t="shared" ref="Z5:Z9" si="250">((E5-F5)/F5)*100</f>
        <v>-12.760483385521956</v>
      </c>
      <c r="AA5" s="321">
        <f t="shared" ref="AA5:AA9" si="251">((E5/$E$5)-(F5/$F$5))*100</f>
        <v>0</v>
      </c>
      <c r="AB5" s="320">
        <f t="shared" ref="AB5:AB9" si="252">F5-G5</f>
        <v>10523823</v>
      </c>
      <c r="AC5" s="321">
        <f t="shared" ref="AC5:AC9" si="253">((F5-G5)/G5)*100</f>
        <v>65.239371271331166</v>
      </c>
      <c r="AD5" s="321">
        <f t="shared" ref="AD5:AD9" si="254">((F5/$F$5)-(G5/$G$5))*100</f>
        <v>0</v>
      </c>
      <c r="AE5" s="320">
        <f t="shared" ref="AE5:AE9" si="255">G5-H5</f>
        <v>-1228529</v>
      </c>
      <c r="AF5" s="321">
        <f t="shared" ref="AF5:AF9" si="256">((G5-H5)/H5)*100</f>
        <v>-7.0769344561151417</v>
      </c>
      <c r="AG5" s="321">
        <f t="shared" ref="AG5:AG9" si="257">((G5/$G$5)-(H5/$H$5))*100</f>
        <v>0</v>
      </c>
    </row>
    <row r="6" ht="30">
      <c r="A6" s="199" t="s">
        <v>518</v>
      </c>
      <c r="B6" s="318">
        <f>'2'!C8+'2'!C10+'2'!C11</f>
        <v>-18342702</v>
      </c>
      <c r="C6" s="318">
        <f>'2'!D8+'2'!D10+'2'!D11</f>
        <v>-19744407</v>
      </c>
      <c r="D6" s="318">
        <f>'2'!E8+'2'!E10+'2'!E11</f>
        <v>-17314516</v>
      </c>
      <c r="E6" s="318">
        <f>'2'!F8+'2'!F10+'2'!F11</f>
        <v>-17554473</v>
      </c>
      <c r="F6" s="318">
        <f>'2'!G8+'2'!G10+'2'!G11</f>
        <v>-15035034</v>
      </c>
      <c r="G6" s="318">
        <f>'2'!H8+'2'!H10+'2'!H11</f>
        <v>-12043987</v>
      </c>
      <c r="H6" s="318">
        <f>'2'!I8+'2'!I10+'2'!I11</f>
        <v>-12894116</v>
      </c>
      <c r="I6" s="319">
        <f t="shared" si="233"/>
        <v>-84.722567996011506</v>
      </c>
      <c r="J6" s="319">
        <f t="shared" si="234"/>
        <v>-72.710508584130125</v>
      </c>
      <c r="K6" s="319">
        <f t="shared" si="235"/>
        <v>-72.141781667242128</v>
      </c>
      <c r="L6" s="319">
        <f t="shared" si="236"/>
        <v>-75.491359000936583</v>
      </c>
      <c r="M6" s="319">
        <f t="shared" si="237"/>
        <v>-56.406235022696563</v>
      </c>
      <c r="N6" s="319">
        <f t="shared" si="238"/>
        <v>-74.663184612672225</v>
      </c>
      <c r="O6" s="319">
        <f t="shared" si="239"/>
        <v>-74.276483340275689</v>
      </c>
      <c r="P6" s="320">
        <f t="shared" si="240"/>
        <v>1401705</v>
      </c>
      <c r="Q6" s="321">
        <f t="shared" si="241"/>
        <v>-7.0992509423048258</v>
      </c>
      <c r="R6" s="321">
        <f t="shared" si="242"/>
        <v>-12.012059411881381</v>
      </c>
      <c r="S6" s="320">
        <f t="shared" si="243"/>
        <v>-2429891</v>
      </c>
      <c r="T6" s="321">
        <f t="shared" si="244"/>
        <v>14.033837272725384</v>
      </c>
      <c r="U6" s="321">
        <f t="shared" si="245"/>
        <v>-0.56872691688799604</v>
      </c>
      <c r="V6" s="320">
        <f t="shared" si="246"/>
        <v>239957</v>
      </c>
      <c r="W6" s="321">
        <f t="shared" si="247"/>
        <v>-1.3669279618932451</v>
      </c>
      <c r="X6" s="321">
        <f t="shared" si="248"/>
        <v>3.3495773336944534</v>
      </c>
      <c r="Y6" s="320">
        <f t="shared" si="249"/>
        <v>-2519439</v>
      </c>
      <c r="Z6" s="321">
        <f t="shared" si="250"/>
        <v>16.757122065703342</v>
      </c>
      <c r="AA6" s="321">
        <f t="shared" si="251"/>
        <v>-19.085123978240027</v>
      </c>
      <c r="AB6" s="320">
        <f t="shared" si="252"/>
        <v>-2991047</v>
      </c>
      <c r="AC6" s="321">
        <f t="shared" si="253"/>
        <v>24.83435925329378</v>
      </c>
      <c r="AD6" s="321">
        <f t="shared" si="254"/>
        <v>18.256949589975669</v>
      </c>
      <c r="AE6" s="320">
        <f t="shared" si="255"/>
        <v>850129</v>
      </c>
      <c r="AF6" s="321">
        <f t="shared" si="256"/>
        <v>-6.5931545830671912</v>
      </c>
      <c r="AG6" s="321">
        <f t="shared" si="257"/>
        <v>-0.38670127239653906</v>
      </c>
    </row>
    <row r="7" s="207" customFormat="1" ht="15">
      <c r="A7" s="322" t="s">
        <v>519</v>
      </c>
      <c r="B7" s="323">
        <f>B5+B6</f>
        <v>3307612</v>
      </c>
      <c r="C7" s="323">
        <f>C5+C6</f>
        <v>7410412</v>
      </c>
      <c r="D7" s="323">
        <f>D5+D6</f>
        <v>6686161</v>
      </c>
      <c r="E7" s="323">
        <f>E5+E6</f>
        <v>5699146</v>
      </c>
      <c r="F7" s="323">
        <f>F5+F6</f>
        <v>11619881</v>
      </c>
      <c r="G7" s="323">
        <f>G5+G6</f>
        <v>4087105</v>
      </c>
      <c r="H7" s="323">
        <f>H5+H6</f>
        <v>4465505</v>
      </c>
      <c r="I7" s="319">
        <f t="shared" si="233"/>
        <v>15.277432003988487</v>
      </c>
      <c r="J7" s="319">
        <f t="shared" si="234"/>
        <v>27.289491415869872</v>
      </c>
      <c r="K7" s="319">
        <f t="shared" si="235"/>
        <v>27.858218332757861</v>
      </c>
      <c r="L7" s="319">
        <f t="shared" si="236"/>
        <v>24.508640999063413</v>
      </c>
      <c r="M7" s="319">
        <f t="shared" si="237"/>
        <v>43.593764977303437</v>
      </c>
      <c r="N7" s="319">
        <f t="shared" si="238"/>
        <v>25.336815387327778</v>
      </c>
      <c r="O7" s="319">
        <f t="shared" si="239"/>
        <v>25.723516659724311</v>
      </c>
      <c r="P7" s="320">
        <f t="shared" si="240"/>
        <v>-4102800</v>
      </c>
      <c r="Q7" s="321">
        <f t="shared" si="241"/>
        <v>-55.36534270969009</v>
      </c>
      <c r="R7" s="321">
        <f t="shared" si="242"/>
        <v>-12.012059411881385</v>
      </c>
      <c r="S7" s="320">
        <f t="shared" si="243"/>
        <v>724251</v>
      </c>
      <c r="T7" s="321">
        <f t="shared" si="244"/>
        <v>10.832090343023449</v>
      </c>
      <c r="U7" s="321">
        <f t="shared" si="245"/>
        <v>-0.56872691688799049</v>
      </c>
      <c r="V7" s="320">
        <f t="shared" si="246"/>
        <v>987015</v>
      </c>
      <c r="W7" s="321">
        <f t="shared" si="247"/>
        <v>17.318647390328305</v>
      </c>
      <c r="X7" s="321">
        <f t="shared" si="248"/>
        <v>3.3495773336944481</v>
      </c>
      <c r="Y7" s="320">
        <f t="shared" si="249"/>
        <v>-5920735</v>
      </c>
      <c r="Z7" s="321">
        <f t="shared" si="250"/>
        <v>-50.953490831790795</v>
      </c>
      <c r="AA7" s="321">
        <f t="shared" si="251"/>
        <v>-19.08512397824002</v>
      </c>
      <c r="AB7" s="320">
        <f t="shared" si="252"/>
        <v>7532776</v>
      </c>
      <c r="AC7" s="321">
        <f t="shared" si="253"/>
        <v>184.30590846087881</v>
      </c>
      <c r="AD7" s="321">
        <f t="shared" si="254"/>
        <v>18.256949589975658</v>
      </c>
      <c r="AE7" s="320">
        <f t="shared" si="255"/>
        <v>-378400</v>
      </c>
      <c r="AF7" s="321">
        <f t="shared" si="256"/>
        <v>-8.4738456232833688</v>
      </c>
      <c r="AG7" s="321">
        <f t="shared" si="257"/>
        <v>-0.38670127239653351</v>
      </c>
    </row>
    <row r="8" ht="15">
      <c r="A8" s="199" t="s">
        <v>520</v>
      </c>
      <c r="B8" s="318">
        <f>'2'!C14+'2'!C15+'2'!C16+'2'!C17+'2'!C18</f>
        <v>1159910</v>
      </c>
      <c r="C8" s="318">
        <f>'2'!D14+'2'!D15+'2'!D16+'2'!D17+'2'!D18</f>
        <v>-224792</v>
      </c>
      <c r="D8" s="318">
        <f>'2'!E14+'2'!E15+'2'!E16+'2'!E17+'2'!E18</f>
        <v>3355504</v>
      </c>
      <c r="E8" s="318">
        <f>'2'!F14+'2'!F15+'2'!F16+'2'!F17+'2'!F18</f>
        <v>3689831</v>
      </c>
      <c r="F8" s="318">
        <f>'2'!G14+'2'!G15+'2'!G16+'2'!G17+'2'!G18</f>
        <v>-225962</v>
      </c>
      <c r="G8" s="318">
        <f>'2'!H14+'2'!H15+'2'!H16+'2'!H17+'2'!H18</f>
        <v>-3521583</v>
      </c>
      <c r="H8" s="318">
        <f>'2'!I14+'2'!I15+'2'!I16+'2'!I17+'2'!I18</f>
        <v>629796</v>
      </c>
      <c r="I8" s="319">
        <f t="shared" si="233"/>
        <v>5.3574742611123325</v>
      </c>
      <c r="J8" s="319">
        <f t="shared" si="234"/>
        <v>-0.82781623401724758</v>
      </c>
      <c r="K8" s="319">
        <f t="shared" si="235"/>
        <v>13.98087228956083</v>
      </c>
      <c r="L8" s="319">
        <f t="shared" si="236"/>
        <v>15.867770947825369</v>
      </c>
      <c r="M8" s="319">
        <f t="shared" si="237"/>
        <v>-0.84773108449229717</v>
      </c>
      <c r="N8" s="319">
        <f t="shared" si="238"/>
        <v>-21.831026690567505</v>
      </c>
      <c r="O8" s="319">
        <f t="shared" si="239"/>
        <v>3.6279363472278572</v>
      </c>
      <c r="P8" s="320">
        <f t="shared" si="240"/>
        <v>1384702</v>
      </c>
      <c r="Q8" s="321">
        <f t="shared" si="241"/>
        <v>-615.99256201288301</v>
      </c>
      <c r="R8" s="321">
        <f t="shared" si="242"/>
        <v>6.1852904951295802</v>
      </c>
      <c r="S8" s="320">
        <f t="shared" si="243"/>
        <v>-3580296</v>
      </c>
      <c r="T8" s="321">
        <f t="shared" si="244"/>
        <v>-106.69920226588911</v>
      </c>
      <c r="U8" s="321">
        <f t="shared" si="245"/>
        <v>-14.808688523578079</v>
      </c>
      <c r="V8" s="320">
        <f t="shared" si="246"/>
        <v>-334327</v>
      </c>
      <c r="W8" s="321">
        <f t="shared" si="247"/>
        <v>-9.0607672817535541</v>
      </c>
      <c r="X8" s="321">
        <f t="shared" si="248"/>
        <v>-1.886898658264538</v>
      </c>
      <c r="Y8" s="320">
        <f t="shared" si="249"/>
        <v>3915793</v>
      </c>
      <c r="Z8" s="321">
        <f t="shared" si="250"/>
        <v>-1732.9431497331409</v>
      </c>
      <c r="AA8" s="321">
        <f t="shared" si="251"/>
        <v>16.715502032317666</v>
      </c>
      <c r="AB8" s="320">
        <f t="shared" si="252"/>
        <v>3295621</v>
      </c>
      <c r="AC8" s="321">
        <f t="shared" si="253"/>
        <v>-93.583510597364878</v>
      </c>
      <c r="AD8" s="321">
        <f t="shared" si="254"/>
        <v>20.98329560607521</v>
      </c>
      <c r="AE8" s="320">
        <f t="shared" si="255"/>
        <v>-4151379</v>
      </c>
      <c r="AF8" s="321">
        <f t="shared" si="256"/>
        <v>-659.16249071127788</v>
      </c>
      <c r="AG8" s="321">
        <f t="shared" si="257"/>
        <v>-25.458963037795364</v>
      </c>
    </row>
    <row r="9" ht="30">
      <c r="A9" s="199" t="s">
        <v>521</v>
      </c>
      <c r="B9" s="318">
        <f>'2'!C14+'2'!C15+'2'!C17+'2'!C18</f>
        <v>1159910</v>
      </c>
      <c r="C9" s="318">
        <f>'2'!D14+'2'!D15+'2'!D17+'2'!D18</f>
        <v>-178801</v>
      </c>
      <c r="D9" s="318">
        <f>'2'!E14+'2'!E15+'2'!E17+'2'!E18</f>
        <v>3684640</v>
      </c>
      <c r="E9" s="318">
        <f>'2'!F14+'2'!F15+'2'!F17+'2'!F18</f>
        <v>4464289</v>
      </c>
      <c r="F9" s="318">
        <f>'2'!G14+'2'!G15+'2'!G17+'2'!G18</f>
        <v>651365</v>
      </c>
      <c r="G9" s="318">
        <f>'2'!H14+'2'!H15+'2'!H17+'2'!H18</f>
        <v>-3091112</v>
      </c>
      <c r="H9" s="318">
        <f>'2'!I14+'2'!I15+'2'!I17+'2'!I18</f>
        <v>1049561</v>
      </c>
      <c r="I9" s="319">
        <f t="shared" si="233"/>
        <v>5.3574742611123325</v>
      </c>
      <c r="J9" s="319">
        <f t="shared" si="234"/>
        <v>-0.65845034724775742</v>
      </c>
      <c r="K9" s="319">
        <f t="shared" si="235"/>
        <v>15.352233605743704</v>
      </c>
      <c r="L9" s="319">
        <f t="shared" si="236"/>
        <v>19.1982546888723</v>
      </c>
      <c r="M9" s="319">
        <f t="shared" si="237"/>
        <v>2.4436956561294605</v>
      </c>
      <c r="N9" s="319">
        <f t="shared" si="238"/>
        <v>-19.162447278832705</v>
      </c>
      <c r="O9" s="319">
        <f t="shared" si="239"/>
        <v>6.0459902897649664</v>
      </c>
      <c r="P9" s="320">
        <f t="shared" si="240"/>
        <v>1338711</v>
      </c>
      <c r="Q9" s="321">
        <f t="shared" si="241"/>
        <v>-748.71561121022808</v>
      </c>
      <c r="R9" s="321">
        <f t="shared" si="242"/>
        <v>6.0159246083600904</v>
      </c>
      <c r="S9" s="320">
        <f t="shared" si="243"/>
        <v>-3863441</v>
      </c>
      <c r="T9" s="321">
        <f t="shared" si="244"/>
        <v>-104.85260432498154</v>
      </c>
      <c r="U9" s="321">
        <f t="shared" si="245"/>
        <v>-16.01068395299146</v>
      </c>
      <c r="V9" s="320">
        <f t="shared" si="246"/>
        <v>-779649</v>
      </c>
      <c r="W9" s="321">
        <f t="shared" si="247"/>
        <v>-17.464124746404185</v>
      </c>
      <c r="X9" s="321">
        <f t="shared" si="248"/>
        <v>-3.846021083128595</v>
      </c>
      <c r="Y9" s="320">
        <f t="shared" si="249"/>
        <v>3812924</v>
      </c>
      <c r="Z9" s="321">
        <f t="shared" si="250"/>
        <v>585.37440605497682</v>
      </c>
      <c r="AA9" s="321">
        <f t="shared" si="251"/>
        <v>16.75455903274284</v>
      </c>
      <c r="AB9" s="320">
        <f t="shared" si="252"/>
        <v>3742477</v>
      </c>
      <c r="AC9" s="321">
        <f t="shared" si="253"/>
        <v>-121.07219020210202</v>
      </c>
      <c r="AD9" s="321">
        <f t="shared" si="254"/>
        <v>21.606142934962165</v>
      </c>
      <c r="AE9" s="320">
        <f t="shared" si="255"/>
        <v>-4140673</v>
      </c>
      <c r="AF9" s="321">
        <f t="shared" si="256"/>
        <v>-394.51475426392557</v>
      </c>
      <c r="AG9" s="321">
        <f t="shared" si="257"/>
        <v>-25.20843756859767</v>
      </c>
    </row>
    <row r="10" ht="15">
      <c r="A10" s="199" t="s">
        <v>522</v>
      </c>
      <c r="B10" s="318">
        <f>'2'!C16</f>
        <v>0</v>
      </c>
      <c r="C10" s="318">
        <f>'2'!D16</f>
        <v>-45991</v>
      </c>
      <c r="D10" s="318">
        <f>'2'!E16</f>
        <v>-329136</v>
      </c>
      <c r="E10" s="318">
        <f>'2'!F16</f>
        <v>-774458</v>
      </c>
      <c r="F10" s="318">
        <f>'2'!G16</f>
        <v>-877327</v>
      </c>
      <c r="G10" s="318">
        <f>'2'!H16</f>
        <v>-430471</v>
      </c>
      <c r="H10" s="318">
        <f>'2'!I16</f>
        <v>-419765</v>
      </c>
      <c r="I10" s="319">
        <f t="shared" ref="I10:I15" si="258">(B10/B$5)*100</f>
        <v>0</v>
      </c>
      <c r="J10" s="319">
        <f t="shared" ref="J10:J15" si="259">(C10/C$5)*100</f>
        <v>-0.16936588676949016</v>
      </c>
      <c r="K10" s="319">
        <f t="shared" ref="K10:K15" si="260">(D10/D$5)*100</f>
        <v>-1.3713613161828726</v>
      </c>
      <c r="L10" s="319">
        <f t="shared" ref="L10:L15" si="261">(E10/E$5)*100</f>
        <v>-3.3304837410469315</v>
      </c>
      <c r="M10" s="319">
        <f t="shared" ref="M10:M15" si="262">(F10/F$5)*100</f>
        <v>-3.2914267406217577</v>
      </c>
      <c r="N10" s="319">
        <f t="shared" ref="N10:N15" si="263">(G10/G$5)*100</f>
        <v>-2.6685794117348038</v>
      </c>
      <c r="O10" s="319">
        <f t="shared" ref="O10:O15" si="264">(H10/H$5)*100</f>
        <v>-2.4180539425371097</v>
      </c>
      <c r="P10" s="320">
        <f t="shared" ref="P10:P15" si="265">B10-C10</f>
        <v>45991</v>
      </c>
      <c r="Q10" s="321">
        <f t="shared" ref="Q10:Q15" si="266">((B10-C10)/C10)*100</f>
        <v>-100</v>
      </c>
      <c r="R10" s="321">
        <f t="shared" ref="R10:R15" si="267">((B10/$B$5)-(C10/$C$5))*100</f>
        <v>0.16936588676949016</v>
      </c>
      <c r="S10" s="320">
        <f t="shared" ref="S10:S15" si="268">C10-D10</f>
        <v>283145</v>
      </c>
      <c r="T10" s="321">
        <f t="shared" ref="T10:T15" si="269">((C10-D10)/D10)*100</f>
        <v>-86.026748821155991</v>
      </c>
      <c r="U10" s="321">
        <f t="shared" ref="U10:U15" si="270">((C10/$C$5)-(D10/$D$5))*100</f>
        <v>1.2019954294133826</v>
      </c>
      <c r="V10" s="320">
        <f t="shared" ref="V10:V15" si="271">D10-E10</f>
        <v>445322</v>
      </c>
      <c r="W10" s="321">
        <f t="shared" ref="W10:W15" si="272">((D10-E10)/E10)*100</f>
        <v>-57.501116910148774</v>
      </c>
      <c r="X10" s="321">
        <f t="shared" ref="X10:X15" si="273">((D10/$D$5)-(E10/$E$5))*100</f>
        <v>1.9591224248640589</v>
      </c>
      <c r="Y10" s="320">
        <f t="shared" ref="Y10:Y15" si="274">E10-F10</f>
        <v>102869</v>
      </c>
      <c r="Z10" s="321">
        <f t="shared" ref="Z10:Z15" si="275">((E10-F10)/F10)*100</f>
        <v>-11.725274612544695</v>
      </c>
      <c r="AA10" s="321">
        <f t="shared" ref="AA10:AA15" si="276">((E10/$E$5)-(F10/$F$5))*100</f>
        <v>-0.039057000425173766</v>
      </c>
      <c r="AB10" s="320">
        <f t="shared" ref="AB10:AB15" si="277">F10-G10</f>
        <v>-446856</v>
      </c>
      <c r="AC10" s="321">
        <f t="shared" ref="AC10:AC15" si="278">((F10-G10)/G10)*100</f>
        <v>103.80629589449694</v>
      </c>
      <c r="AD10" s="321">
        <f t="shared" ref="AD10:AD15" si="279">((F10/$F$5)-(G10/$G$5))*100</f>
        <v>-0.62284732888695382</v>
      </c>
      <c r="AE10" s="320">
        <f t="shared" ref="AE10:AE15" si="280">G10-H10</f>
        <v>-10706</v>
      </c>
      <c r="AF10" s="321">
        <f t="shared" ref="AF10:AF15" si="281">((G10-H10)/H10)*100</f>
        <v>2.5504746703512682</v>
      </c>
      <c r="AG10" s="321">
        <f t="shared" ref="AG10:AG15" si="282">((G10/$G$5)-(H10/$H$5))*100</f>
        <v>-0.25052546919769431</v>
      </c>
    </row>
    <row r="11" s="207" customFormat="1" ht="30">
      <c r="A11" s="322" t="s">
        <v>523</v>
      </c>
      <c r="B11" s="323">
        <f>B7+B8</f>
        <v>4467522</v>
      </c>
      <c r="C11" s="323">
        <f>C7+C8</f>
        <v>7185620</v>
      </c>
      <c r="D11" s="323">
        <f>D7+D8</f>
        <v>10041665</v>
      </c>
      <c r="E11" s="323">
        <f>E7+E8</f>
        <v>9388977</v>
      </c>
      <c r="F11" s="323">
        <f>F7+F8</f>
        <v>11393919</v>
      </c>
      <c r="G11" s="323">
        <f>G7+G8</f>
        <v>565522</v>
      </c>
      <c r="H11" s="323">
        <f>H7+H8</f>
        <v>5095301</v>
      </c>
      <c r="I11" s="319">
        <f t="shared" si="258"/>
        <v>20.63490626510082</v>
      </c>
      <c r="J11" s="319">
        <f t="shared" si="259"/>
        <v>26.461675181852623</v>
      </c>
      <c r="K11" s="319">
        <f t="shared" si="260"/>
        <v>41.8390906223187</v>
      </c>
      <c r="L11" s="319">
        <f t="shared" si="261"/>
        <v>40.376411946888787</v>
      </c>
      <c r="M11" s="319">
        <f t="shared" si="262"/>
        <v>42.746033892811134</v>
      </c>
      <c r="N11" s="319">
        <f t="shared" si="263"/>
        <v>3.5057886967602689</v>
      </c>
      <c r="O11" s="319">
        <f t="shared" si="264"/>
        <v>29.351453006952166</v>
      </c>
      <c r="P11" s="320">
        <f t="shared" si="265"/>
        <v>-2718098</v>
      </c>
      <c r="Q11" s="321">
        <f t="shared" si="266"/>
        <v>-37.826909856073662</v>
      </c>
      <c r="R11" s="321">
        <f t="shared" si="267"/>
        <v>-5.8267689167518038</v>
      </c>
      <c r="S11" s="320">
        <f t="shared" si="268"/>
        <v>-2856045</v>
      </c>
      <c r="T11" s="321">
        <f t="shared" si="269"/>
        <v>-28.441946629368736</v>
      </c>
      <c r="U11" s="321">
        <f t="shared" si="270"/>
        <v>-15.377415440466075</v>
      </c>
      <c r="V11" s="320">
        <f t="shared" si="271"/>
        <v>652688</v>
      </c>
      <c r="W11" s="321">
        <f t="shared" si="272"/>
        <v>6.9516412703961254</v>
      </c>
      <c r="X11" s="321">
        <f t="shared" si="273"/>
        <v>1.4626786754299126</v>
      </c>
      <c r="Y11" s="320">
        <f t="shared" si="274"/>
        <v>-2004942</v>
      </c>
      <c r="Z11" s="321">
        <f t="shared" si="275"/>
        <v>-17.596596921568423</v>
      </c>
      <c r="AA11" s="321">
        <f t="shared" si="276"/>
        <v>-2.3696219459223511</v>
      </c>
      <c r="AB11" s="320">
        <f t="shared" si="277"/>
        <v>10828397</v>
      </c>
      <c r="AC11" s="321">
        <f t="shared" si="278"/>
        <v>1914.7614062759715</v>
      </c>
      <c r="AD11" s="321">
        <f t="shared" si="279"/>
        <v>39.240245196050864</v>
      </c>
      <c r="AE11" s="320">
        <f t="shared" si="280"/>
        <v>-4529779</v>
      </c>
      <c r="AF11" s="321">
        <f t="shared" si="281"/>
        <v>-88.901107118107447</v>
      </c>
      <c r="AG11" s="321">
        <f t="shared" si="282"/>
        <v>-25.845664310191896</v>
      </c>
    </row>
    <row r="12" ht="30">
      <c r="A12" s="199" t="s">
        <v>524</v>
      </c>
      <c r="B12" s="318">
        <f>'2'!C20+'2'!C22+'2'!C23+'2'!C24</f>
        <v>-779539</v>
      </c>
      <c r="C12" s="318">
        <f>'2'!D20+'2'!D22+'2'!D23+'2'!D24</f>
        <v>-2439640</v>
      </c>
      <c r="D12" s="318">
        <f>'2'!E20+'2'!E22+'2'!E23+'2'!E24</f>
        <v>-1985358</v>
      </c>
      <c r="E12" s="318">
        <f>'2'!F20+'2'!F22+'2'!F23+'2'!F24</f>
        <v>-1929979</v>
      </c>
      <c r="F12" s="318">
        <f>'2'!G20+'2'!G22+'2'!G23+'2'!G24</f>
        <v>-2319525</v>
      </c>
      <c r="G12" s="318">
        <f>'2'!H20+'2'!H22+'2'!H23+'2'!H24</f>
        <v>-153034</v>
      </c>
      <c r="H12" s="318">
        <f>'2'!I20+'2'!I22+'2'!I23+'2'!I24</f>
        <v>-1066861</v>
      </c>
      <c r="I12" s="319">
        <f t="shared" si="258"/>
        <v>-3.6005898113071249</v>
      </c>
      <c r="J12" s="319">
        <f t="shared" si="259"/>
        <v>-8.9841880367532561</v>
      </c>
      <c r="K12" s="319">
        <f t="shared" si="260"/>
        <v>-8.2720916580811448</v>
      </c>
      <c r="L12" s="319">
        <f t="shared" si="261"/>
        <v>-8.2996930499291306</v>
      </c>
      <c r="M12" s="319">
        <f t="shared" si="262"/>
        <v>-8.7020536362618301</v>
      </c>
      <c r="N12" s="319">
        <f t="shared" si="263"/>
        <v>-0.94868964853712323</v>
      </c>
      <c r="O12" s="319">
        <f t="shared" si="264"/>
        <v>-6.145646843326821</v>
      </c>
      <c r="P12" s="320">
        <f t="shared" si="265"/>
        <v>1660101</v>
      </c>
      <c r="Q12" s="321">
        <f t="shared" si="266"/>
        <v>-68.046965945795279</v>
      </c>
      <c r="R12" s="321">
        <f t="shared" si="267"/>
        <v>5.3835982254461312</v>
      </c>
      <c r="S12" s="320">
        <f t="shared" si="268"/>
        <v>-454282</v>
      </c>
      <c r="T12" s="321">
        <f t="shared" si="269"/>
        <v>22.881616313027674</v>
      </c>
      <c r="U12" s="321">
        <f t="shared" si="270"/>
        <v>-0.71209637867211129</v>
      </c>
      <c r="V12" s="320">
        <f t="shared" si="271"/>
        <v>-55379</v>
      </c>
      <c r="W12" s="321">
        <f t="shared" si="272"/>
        <v>2.8694094598956776</v>
      </c>
      <c r="X12" s="321">
        <f t="shared" si="273"/>
        <v>0.027601391847986712</v>
      </c>
      <c r="Y12" s="320">
        <f t="shared" si="274"/>
        <v>389546</v>
      </c>
      <c r="Z12" s="321">
        <f t="shared" si="275"/>
        <v>-16.794214332675871</v>
      </c>
      <c r="AA12" s="321">
        <f t="shared" si="276"/>
        <v>0.40236058633269928</v>
      </c>
      <c r="AB12" s="320">
        <f t="shared" si="277"/>
        <v>-2166491</v>
      </c>
      <c r="AC12" s="321">
        <f t="shared" si="278"/>
        <v>1415.6925911888861</v>
      </c>
      <c r="AD12" s="321">
        <f t="shared" si="279"/>
        <v>-7.7533639877247067</v>
      </c>
      <c r="AE12" s="320">
        <f t="shared" si="280"/>
        <v>913827</v>
      </c>
      <c r="AF12" s="321">
        <f t="shared" si="281"/>
        <v>-85.655675856554879</v>
      </c>
      <c r="AG12" s="321">
        <f t="shared" si="282"/>
        <v>5.1969571947896984</v>
      </c>
    </row>
    <row r="13" s="207" customFormat="1" ht="15">
      <c r="A13" s="322" t="s">
        <v>525</v>
      </c>
      <c r="B13" s="323">
        <f>B11+B12</f>
        <v>3687983</v>
      </c>
      <c r="C13" s="323">
        <f>C11+C12</f>
        <v>4745980</v>
      </c>
      <c r="D13" s="323">
        <f>D11+D12</f>
        <v>8056307</v>
      </c>
      <c r="E13" s="323">
        <f>E11+E12</f>
        <v>7458998</v>
      </c>
      <c r="F13" s="323">
        <f>F11+F12</f>
        <v>9074394</v>
      </c>
      <c r="G13" s="323">
        <f>G11+G12</f>
        <v>412488</v>
      </c>
      <c r="H13" s="323">
        <f>H11+H12</f>
        <v>4028440</v>
      </c>
      <c r="I13" s="319">
        <f t="shared" si="258"/>
        <v>17.034316453793696</v>
      </c>
      <c r="J13" s="319">
        <f t="shared" si="259"/>
        <v>17.477487145099367</v>
      </c>
      <c r="K13" s="319">
        <f t="shared" si="260"/>
        <v>33.566998964237548</v>
      </c>
      <c r="L13" s="319">
        <f t="shared" si="261"/>
        <v>32.076718896959648</v>
      </c>
      <c r="M13" s="319">
        <f t="shared" si="262"/>
        <v>34.043980256549304</v>
      </c>
      <c r="N13" s="319">
        <f t="shared" si="263"/>
        <v>2.5570990482231459</v>
      </c>
      <c r="O13" s="319">
        <f t="shared" si="264"/>
        <v>23.205806163625347</v>
      </c>
      <c r="P13" s="320">
        <f t="shared" si="265"/>
        <v>-1057997</v>
      </c>
      <c r="Q13" s="321">
        <f t="shared" si="266"/>
        <v>-22.292487536820634</v>
      </c>
      <c r="R13" s="321">
        <f t="shared" si="267"/>
        <v>-0.44317069130566933</v>
      </c>
      <c r="S13" s="320">
        <f t="shared" si="268"/>
        <v>-3310327</v>
      </c>
      <c r="T13" s="321">
        <f t="shared" si="269"/>
        <v>-41.089881505260415</v>
      </c>
      <c r="U13" s="321">
        <f t="shared" si="270"/>
        <v>-16.089511819138185</v>
      </c>
      <c r="V13" s="320">
        <f t="shared" si="271"/>
        <v>597309</v>
      </c>
      <c r="W13" s="321">
        <f t="shared" si="272"/>
        <v>8.0078986480489736</v>
      </c>
      <c r="X13" s="321">
        <f t="shared" si="273"/>
        <v>1.4902800672778993</v>
      </c>
      <c r="Y13" s="320">
        <f t="shared" si="274"/>
        <v>-1615396</v>
      </c>
      <c r="Z13" s="321">
        <f t="shared" si="275"/>
        <v>-17.801695628380255</v>
      </c>
      <c r="AA13" s="321">
        <f t="shared" si="276"/>
        <v>-1.967261359589656</v>
      </c>
      <c r="AB13" s="320">
        <f t="shared" si="277"/>
        <v>8661906</v>
      </c>
      <c r="AC13" s="321">
        <f t="shared" si="278"/>
        <v>2099.9170884971199</v>
      </c>
      <c r="AD13" s="321">
        <f t="shared" si="279"/>
        <v>31.48688120832616</v>
      </c>
      <c r="AE13" s="320">
        <f t="shared" si="280"/>
        <v>-3615952</v>
      </c>
      <c r="AF13" s="321">
        <f t="shared" si="281"/>
        <v>-89.760602118934372</v>
      </c>
      <c r="AG13" s="321">
        <f t="shared" si="282"/>
        <v>-20.6487071154022</v>
      </c>
    </row>
    <row r="14" ht="15">
      <c r="A14" s="199" t="s">
        <v>115</v>
      </c>
      <c r="B14" s="318">
        <f>'3'!H131</f>
        <v>-9017024</v>
      </c>
      <c r="C14" s="320">
        <f>'3'!H113</f>
        <v>-6128075</v>
      </c>
      <c r="D14" s="320">
        <f>'3'!H95</f>
        <v>-2188598</v>
      </c>
      <c r="E14" s="320">
        <f>'3'!H77</f>
        <v>-1136768</v>
      </c>
      <c r="F14" s="320">
        <f>'3'!H59</f>
        <v>-280140</v>
      </c>
      <c r="G14" s="320">
        <f>'3'!H41</f>
        <v>-185108</v>
      </c>
      <c r="H14" s="320">
        <f>'3'!H23</f>
        <v>-185108</v>
      </c>
      <c r="I14" s="319">
        <f t="shared" si="258"/>
        <v>-41.64846754647531</v>
      </c>
      <c r="J14" s="319">
        <f t="shared" si="259"/>
        <v>-22.567173067881615</v>
      </c>
      <c r="K14" s="319">
        <f t="shared" si="260"/>
        <v>-9.1189011043313499</v>
      </c>
      <c r="L14" s="319">
        <f t="shared" si="261"/>
        <v>-4.8885637973168823</v>
      </c>
      <c r="M14" s="319">
        <f t="shared" si="262"/>
        <v>-1.0509881573435893</v>
      </c>
      <c r="N14" s="319">
        <f t="shared" si="263"/>
        <v>-1.1475230567155652</v>
      </c>
      <c r="O14" s="319">
        <f t="shared" si="264"/>
        <v>-1.0663136021229958</v>
      </c>
      <c r="P14" s="320">
        <f t="shared" si="265"/>
        <v>-2888949</v>
      </c>
      <c r="Q14" s="321">
        <f t="shared" si="266"/>
        <v>47.142846652496914</v>
      </c>
      <c r="R14" s="321">
        <f t="shared" si="267"/>
        <v>-19.081294478593694</v>
      </c>
      <c r="S14" s="320">
        <f t="shared" si="268"/>
        <v>-3939477</v>
      </c>
      <c r="T14" s="321">
        <f t="shared" si="269"/>
        <v>180.00002741481075</v>
      </c>
      <c r="U14" s="321">
        <f t="shared" si="270"/>
        <v>-13.448271963550267</v>
      </c>
      <c r="V14" s="320">
        <f t="shared" si="271"/>
        <v>-1051830</v>
      </c>
      <c r="W14" s="321">
        <f t="shared" si="272"/>
        <v>92.528114795631126</v>
      </c>
      <c r="X14" s="321">
        <f t="shared" si="273"/>
        <v>-4.2303373070144676</v>
      </c>
      <c r="Y14" s="320">
        <f t="shared" si="274"/>
        <v>-856628</v>
      </c>
      <c r="Z14" s="321">
        <f t="shared" si="275"/>
        <v>305.78567858927681</v>
      </c>
      <c r="AA14" s="321">
        <f t="shared" si="276"/>
        <v>-3.8375756399732923</v>
      </c>
      <c r="AB14" s="320">
        <f t="shared" si="277"/>
        <v>-95032</v>
      </c>
      <c r="AC14" s="321">
        <f t="shared" si="278"/>
        <v>51.338677960974131</v>
      </c>
      <c r="AD14" s="321">
        <f t="shared" si="279"/>
        <v>0.096534899371975874</v>
      </c>
      <c r="AE14" s="320">
        <f t="shared" si="280"/>
        <v>0</v>
      </c>
      <c r="AF14" s="321">
        <f t="shared" si="281"/>
        <v>0</v>
      </c>
      <c r="AG14" s="321">
        <f t="shared" si="282"/>
        <v>-0.081209454592569452</v>
      </c>
    </row>
    <row r="15" s="207" customFormat="1" ht="15">
      <c r="A15" s="322" t="s">
        <v>526</v>
      </c>
      <c r="B15" s="323">
        <f>B13+B14</f>
        <v>-5329041</v>
      </c>
      <c r="C15" s="323">
        <f>C13+C14</f>
        <v>-1382095</v>
      </c>
      <c r="D15" s="323">
        <f>D13+D14</f>
        <v>5867709</v>
      </c>
      <c r="E15" s="323">
        <f>E13+E14</f>
        <v>6322230</v>
      </c>
      <c r="F15" s="323">
        <f>F13+F14</f>
        <v>8794254</v>
      </c>
      <c r="G15" s="323">
        <f>G13+G14</f>
        <v>227380</v>
      </c>
      <c r="H15" s="323">
        <f>H13+H14</f>
        <v>3843332</v>
      </c>
      <c r="I15" s="319">
        <f t="shared" si="258"/>
        <v>-24.614151092681613</v>
      </c>
      <c r="J15" s="319">
        <f t="shared" si="259"/>
        <v>-5.0896859227822508</v>
      </c>
      <c r="K15" s="319">
        <f t="shared" si="260"/>
        <v>24.448097859906202</v>
      </c>
      <c r="L15" s="319">
        <f t="shared" si="261"/>
        <v>27.188155099642771</v>
      </c>
      <c r="M15" s="319">
        <f t="shared" si="262"/>
        <v>32.992992099205722</v>
      </c>
      <c r="N15" s="319">
        <f t="shared" si="263"/>
        <v>1.4095759915075805</v>
      </c>
      <c r="O15" s="319">
        <f t="shared" si="264"/>
        <v>22.139492561502351</v>
      </c>
      <c r="P15" s="320">
        <f t="shared" si="265"/>
        <v>-3946946</v>
      </c>
      <c r="Q15" s="321">
        <f t="shared" si="266"/>
        <v>285.5770406520536</v>
      </c>
      <c r="R15" s="321">
        <f t="shared" si="267"/>
        <v>-19.524465169899365</v>
      </c>
      <c r="S15" s="320">
        <f t="shared" si="268"/>
        <v>-7249804</v>
      </c>
      <c r="T15" s="321">
        <f t="shared" si="269"/>
        <v>-123.55425260523315</v>
      </c>
      <c r="U15" s="321">
        <f t="shared" si="270"/>
        <v>-29.537783782688454</v>
      </c>
      <c r="V15" s="320">
        <f t="shared" si="271"/>
        <v>-454521</v>
      </c>
      <c r="W15" s="321">
        <f t="shared" si="272"/>
        <v>-7.189251261026568</v>
      </c>
      <c r="X15" s="321">
        <f t="shared" si="273"/>
        <v>-2.7400572397365681</v>
      </c>
      <c r="Y15" s="320">
        <f t="shared" si="274"/>
        <v>-2472024</v>
      </c>
      <c r="Z15" s="321">
        <f t="shared" si="275"/>
        <v>-28.109536067527728</v>
      </c>
      <c r="AA15" s="321">
        <f t="shared" si="276"/>
        <v>-5.8048369995629514</v>
      </c>
      <c r="AB15" s="320">
        <f t="shared" si="277"/>
        <v>8566874</v>
      </c>
      <c r="AC15" s="321">
        <f t="shared" si="278"/>
        <v>3767.6462309789777</v>
      </c>
      <c r="AD15" s="321">
        <f t="shared" si="279"/>
        <v>31.583416107698142</v>
      </c>
      <c r="AE15" s="320">
        <f t="shared" si="280"/>
        <v>-3615952</v>
      </c>
      <c r="AF15" s="321">
        <f t="shared" si="281"/>
        <v>-94.083779387260847</v>
      </c>
      <c r="AG15" s="321">
        <f t="shared" si="282"/>
        <v>-20.729916569994771</v>
      </c>
    </row>
    <row r="16" s="64" customFormat="1">
      <c r="A16" s="77"/>
      <c r="B16" s="33"/>
      <c r="C16" s="33"/>
      <c r="D16" s="324"/>
      <c r="E16" s="324"/>
      <c r="F16" s="324"/>
      <c r="G16" s="324"/>
      <c r="H16" s="325"/>
      <c r="I16" s="325"/>
      <c r="J16" s="325"/>
      <c r="K16" s="33"/>
      <c r="L16" s="33"/>
      <c r="M16" s="33"/>
      <c r="N16" s="33"/>
      <c r="O16" s="33"/>
      <c r="P16" s="33"/>
      <c r="Q16" s="33"/>
      <c r="R16" s="33"/>
      <c r="S16" s="33"/>
      <c r="T16" s="33"/>
      <c r="U16" s="33"/>
      <c r="V16" s="33"/>
      <c r="W16" s="33"/>
      <c r="X16" s="33"/>
      <c r="Y16" s="33"/>
      <c r="Z16" s="33"/>
      <c r="AA16" s="33"/>
      <c r="AB16" s="33"/>
      <c r="AC16" s="33"/>
      <c r="AD16" s="33"/>
      <c r="AE16" s="33"/>
      <c r="AF16" s="33"/>
      <c r="AG16" s="33"/>
    </row>
    <row r="17" s="64" customFormat="1" ht="31.5" customHeight="1">
      <c r="A17" s="326" t="s">
        <v>472</v>
      </c>
      <c r="B17" s="308" t="s">
        <v>527</v>
      </c>
      <c r="C17" s="314"/>
      <c r="D17" s="314"/>
      <c r="E17" s="314"/>
      <c r="F17" s="314"/>
      <c r="G17" s="314"/>
      <c r="H17" s="314"/>
      <c r="I17" s="314"/>
      <c r="J17" s="314"/>
      <c r="K17" s="314"/>
      <c r="L17" s="314"/>
      <c r="M17" s="314"/>
      <c r="N17" s="314"/>
      <c r="O17" s="314"/>
      <c r="P17" s="33"/>
      <c r="Q17" s="33"/>
      <c r="R17" s="33"/>
      <c r="S17" s="33"/>
      <c r="T17" s="33"/>
      <c r="U17" s="33"/>
      <c r="V17" s="33"/>
      <c r="W17" s="33"/>
      <c r="X17" s="33"/>
      <c r="Y17" s="33"/>
      <c r="Z17" s="33"/>
      <c r="AA17" s="33"/>
      <c r="AB17" s="33"/>
      <c r="AC17" s="33"/>
      <c r="AD17" s="33"/>
      <c r="AE17" s="33"/>
      <c r="AF17" s="33"/>
      <c r="AG17" s="33"/>
    </row>
    <row r="18" s="64" customFormat="1" ht="31.5" customHeight="1">
      <c r="A18" s="326"/>
      <c r="B18" s="314"/>
      <c r="C18" s="314"/>
      <c r="D18" s="314"/>
      <c r="E18" s="314"/>
      <c r="F18" s="314"/>
      <c r="G18" s="314"/>
      <c r="H18" s="314"/>
      <c r="I18" s="314"/>
      <c r="J18" s="314"/>
      <c r="K18" s="314"/>
      <c r="L18" s="314"/>
      <c r="M18" s="314"/>
      <c r="N18" s="314"/>
      <c r="O18" s="314"/>
      <c r="P18" s="33"/>
      <c r="Q18" s="33"/>
      <c r="R18" s="33"/>
      <c r="S18" s="33"/>
      <c r="T18" s="33"/>
      <c r="U18" s="33"/>
      <c r="V18" s="33"/>
      <c r="W18" s="33"/>
      <c r="X18" s="33"/>
      <c r="Y18" s="33"/>
      <c r="Z18" s="33"/>
      <c r="AA18" s="33"/>
      <c r="AB18" s="33"/>
      <c r="AC18" s="33"/>
      <c r="AD18" s="33"/>
      <c r="AE18" s="33"/>
      <c r="AF18" s="33"/>
      <c r="AG18" s="33"/>
    </row>
    <row r="19" s="64" customFormat="1" ht="31.5" customHeight="1">
      <c r="A19" s="326"/>
      <c r="B19" s="314"/>
      <c r="C19" s="314"/>
      <c r="D19" s="314"/>
      <c r="E19" s="314"/>
      <c r="F19" s="314"/>
      <c r="G19" s="314"/>
      <c r="H19" s="314"/>
      <c r="I19" s="314"/>
      <c r="J19" s="314"/>
      <c r="K19" s="314"/>
      <c r="L19" s="314"/>
      <c r="M19" s="314"/>
      <c r="N19" s="314"/>
      <c r="O19" s="314"/>
      <c r="P19" s="33"/>
      <c r="Q19" s="33"/>
      <c r="R19" s="33"/>
      <c r="S19" s="33"/>
      <c r="T19" s="33"/>
      <c r="U19" s="33"/>
      <c r="V19" s="33"/>
      <c r="W19" s="33"/>
      <c r="X19" s="33"/>
      <c r="Y19" s="33"/>
      <c r="Z19" s="33"/>
      <c r="AA19" s="33"/>
      <c r="AB19" s="33"/>
      <c r="AC19" s="33"/>
      <c r="AD19" s="33"/>
      <c r="AE19" s="33"/>
      <c r="AF19" s="33"/>
      <c r="AG19" s="33"/>
    </row>
    <row r="21" ht="15">
      <c r="A21" s="207" t="s">
        <v>528</v>
      </c>
    </row>
    <row r="22" ht="15">
      <c r="A22" s="327" t="s">
        <v>177</v>
      </c>
      <c r="B22" s="327" t="str">
        <f>аб!C23</f>
        <v xml:space="preserve">2019 год</v>
      </c>
      <c r="C22" s="327" t="str">
        <f>аб!D23</f>
        <v xml:space="preserve">2018 год</v>
      </c>
      <c r="D22" s="327" t="str">
        <f>аб!E23</f>
        <v xml:space="preserve">2017 год</v>
      </c>
      <c r="E22" s="327" t="str">
        <f>аб!F23</f>
        <v xml:space="preserve">2016 год</v>
      </c>
      <c r="F22" s="327" t="str">
        <f>аб!G23</f>
        <v xml:space="preserve">2015 год</v>
      </c>
      <c r="G22" s="327" t="str">
        <f>аб!H23</f>
        <v xml:space="preserve">2014 год</v>
      </c>
      <c r="H22" s="327" t="str">
        <f>аб!I23</f>
        <v xml:space="preserve">2013 год</v>
      </c>
    </row>
    <row r="23" ht="15">
      <c r="A23" s="328" t="str">
        <f>'[1]2'!A7</f>
        <v xml:space="preserve">   Доходы и расходы по обычным видам деятельности</v>
      </c>
      <c r="B23" s="329"/>
      <c r="C23" s="329"/>
      <c r="D23" s="329"/>
      <c r="E23" s="329"/>
      <c r="F23" s="329"/>
      <c r="G23" s="329"/>
      <c r="H23" s="330"/>
    </row>
    <row r="24" ht="15">
      <c r="A24" s="211" t="str">
        <f>'[1]2'!A8</f>
        <v xml:space="preserve">Выручка </v>
      </c>
      <c r="B24" s="331">
        <f>'2'!C7</f>
        <v>21650314</v>
      </c>
      <c r="C24" s="332">
        <f>'2'!D7</f>
        <v>27154819</v>
      </c>
      <c r="D24" s="331">
        <f>'2'!E7</f>
        <v>24000677</v>
      </c>
      <c r="E24" s="332">
        <f>'2'!F7</f>
        <v>23253619</v>
      </c>
      <c r="F24" s="331">
        <f>'2'!G7</f>
        <v>26654915</v>
      </c>
      <c r="G24" s="332">
        <f>'2'!H7</f>
        <v>16131092</v>
      </c>
      <c r="H24" s="331">
        <f>'2'!I7</f>
        <v>17359621</v>
      </c>
    </row>
    <row r="25" ht="15">
      <c r="A25" s="211" t="str">
        <f>'[1]2'!A9</f>
        <v xml:space="preserve">Себестоимость продаж</v>
      </c>
      <c r="B25" s="331">
        <f>'2'!C8</f>
        <v>-13418367</v>
      </c>
      <c r="C25" s="331">
        <f>'2'!D8</f>
        <v>-14616025</v>
      </c>
      <c r="D25" s="332">
        <f>'2'!E8</f>
        <v>-12781114</v>
      </c>
      <c r="E25" s="331">
        <f>'2'!F8</f>
        <v>-12937806</v>
      </c>
      <c r="F25" s="332">
        <f>'2'!G8</f>
        <v>-11257301</v>
      </c>
      <c r="G25" s="331">
        <f>'2'!H8</f>
        <v>-8937073</v>
      </c>
      <c r="H25" s="331">
        <f>'2'!I8</f>
        <v>-9560909</v>
      </c>
      <c r="K25" s="208" t="s">
        <v>529</v>
      </c>
    </row>
    <row r="26" s="207" customFormat="1" ht="15">
      <c r="A26" s="333" t="str">
        <f>'[1]2'!A10</f>
        <v xml:space="preserve">Валовая прибыль</v>
      </c>
      <c r="B26" s="334">
        <f>'2'!C9</f>
        <v>8231947</v>
      </c>
      <c r="C26" s="335">
        <f>'2'!D9</f>
        <v>12538794</v>
      </c>
      <c r="D26" s="334">
        <f>'2'!E9</f>
        <v>11219563</v>
      </c>
      <c r="E26" s="335">
        <f>'2'!F9</f>
        <v>10315813</v>
      </c>
      <c r="F26" s="334">
        <f>'2'!G9</f>
        <v>15397614</v>
      </c>
      <c r="G26" s="335">
        <f>'2'!H9</f>
        <v>7194019</v>
      </c>
      <c r="H26" s="334">
        <f>'2'!I9</f>
        <v>7798712</v>
      </c>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row>
    <row r="27" ht="15">
      <c r="A27" s="211" t="str">
        <f>'[1]2'!A11</f>
        <v xml:space="preserve">Коммерческие расходы</v>
      </c>
      <c r="B27" s="331">
        <f>'2'!C10</f>
        <v>-2751252</v>
      </c>
      <c r="C27" s="331">
        <f>'2'!D10</f>
        <v>-3080637</v>
      </c>
      <c r="D27" s="332">
        <f>'2'!E10</f>
        <v>-2719112</v>
      </c>
      <c r="E27" s="331">
        <f>'2'!F10</f>
        <v>-2388888</v>
      </c>
      <c r="F27" s="332">
        <f>'2'!G10</f>
        <v>-2064941</v>
      </c>
      <c r="G27" s="331">
        <f>'2'!H10</f>
        <v>-1715664</v>
      </c>
      <c r="H27" s="331">
        <f>'2'!I10</f>
        <v>-2082936</v>
      </c>
      <c r="J27" s="308"/>
      <c r="K27" s="314"/>
      <c r="L27" s="314"/>
      <c r="M27" s="314"/>
      <c r="N27" s="314"/>
      <c r="O27" s="314"/>
      <c r="P27" s="314"/>
      <c r="Q27" s="314"/>
      <c r="R27" s="314"/>
      <c r="S27" s="314"/>
      <c r="T27" s="314"/>
      <c r="U27" s="314"/>
    </row>
    <row r="28" ht="15">
      <c r="A28" s="211" t="str">
        <f>'[1]2'!A12</f>
        <v xml:space="preserve">Управленческие расходы</v>
      </c>
      <c r="B28" s="331">
        <f>'2'!C11</f>
        <v>-2173083</v>
      </c>
      <c r="C28" s="332">
        <f>'2'!D11</f>
        <v>-2047745</v>
      </c>
      <c r="D28" s="331">
        <f>'2'!E11</f>
        <v>-1814290</v>
      </c>
      <c r="E28" s="332">
        <f>'2'!F11</f>
        <v>-2227779</v>
      </c>
      <c r="F28" s="331">
        <f>'2'!G11</f>
        <v>-1712792</v>
      </c>
      <c r="G28" s="332">
        <f>'2'!H11</f>
        <v>-1391250</v>
      </c>
      <c r="H28" s="331">
        <f>'2'!I11</f>
        <v>-1250271</v>
      </c>
      <c r="J28" s="314"/>
      <c r="K28" s="314"/>
      <c r="L28" s="314"/>
      <c r="M28" s="314"/>
      <c r="N28" s="314"/>
      <c r="O28" s="314"/>
      <c r="P28" s="314"/>
      <c r="Q28" s="314"/>
      <c r="R28" s="314"/>
      <c r="S28" s="314"/>
      <c r="T28" s="314"/>
      <c r="U28" s="314"/>
    </row>
    <row r="29" s="207" customFormat="1" ht="30">
      <c r="A29" s="333" t="str">
        <f>'[1]2'!A13</f>
        <v xml:space="preserve">Прибыль (убыток) от продаж</v>
      </c>
      <c r="B29" s="334">
        <f>'2'!C12</f>
        <v>3307612</v>
      </c>
      <c r="C29" s="334">
        <f>'2'!D12</f>
        <v>7410412</v>
      </c>
      <c r="D29" s="335">
        <f>'2'!E12</f>
        <v>6686161</v>
      </c>
      <c r="E29" s="334">
        <f>'2'!F12</f>
        <v>5699146</v>
      </c>
      <c r="F29" s="335">
        <f>'2'!G12</f>
        <v>11619881</v>
      </c>
      <c r="G29" s="334">
        <f>'2'!H12</f>
        <v>4087105</v>
      </c>
      <c r="H29" s="334">
        <f>'2'!I12</f>
        <v>4465505</v>
      </c>
      <c r="I29" s="336"/>
      <c r="J29" s="314"/>
      <c r="K29" s="314"/>
      <c r="L29" s="314"/>
      <c r="M29" s="314"/>
      <c r="N29" s="314"/>
      <c r="O29" s="314"/>
      <c r="P29" s="314"/>
      <c r="Q29" s="314"/>
      <c r="R29" s="314"/>
      <c r="S29" s="314"/>
      <c r="T29" s="314"/>
      <c r="U29" s="314"/>
      <c r="V29" s="336"/>
      <c r="W29" s="336"/>
      <c r="X29" s="336"/>
      <c r="Y29" s="336"/>
      <c r="Z29" s="336"/>
      <c r="AA29" s="336"/>
      <c r="AB29" s="336"/>
      <c r="AC29" s="336"/>
      <c r="AD29" s="336"/>
      <c r="AE29" s="336"/>
      <c r="AF29" s="336"/>
      <c r="AG29" s="336"/>
    </row>
    <row r="30" ht="15">
      <c r="A30" s="328" t="str">
        <f>'[1]2'!A14</f>
        <v xml:space="preserve">    Прочие доходы и расходы</v>
      </c>
      <c r="B30" s="329"/>
      <c r="C30" s="329"/>
      <c r="D30" s="329"/>
      <c r="E30" s="329"/>
      <c r="F30" s="329"/>
      <c r="G30" s="329"/>
      <c r="H30" s="330"/>
      <c r="I30" s="326" t="s">
        <v>472</v>
      </c>
      <c r="J30" s="314"/>
      <c r="K30" s="314"/>
      <c r="L30" s="314"/>
      <c r="M30" s="314"/>
      <c r="N30" s="314"/>
      <c r="O30" s="314"/>
      <c r="P30" s="314"/>
      <c r="Q30" s="314"/>
      <c r="R30" s="314"/>
      <c r="S30" s="314"/>
      <c r="T30" s="314"/>
      <c r="U30" s="314"/>
    </row>
    <row r="31" ht="15">
      <c r="A31" s="211" t="str">
        <f>'[1]2'!A16</f>
        <v xml:space="preserve">Проценты к получению</v>
      </c>
      <c r="B31" s="331">
        <f>'2'!C15</f>
        <v>1578176</v>
      </c>
      <c r="C31" s="332">
        <f>'2'!D15</f>
        <v>2026212</v>
      </c>
      <c r="D31" s="331">
        <f>'2'!E15</f>
        <v>3097686</v>
      </c>
      <c r="E31" s="332">
        <f>'2'!F15</f>
        <v>3730206</v>
      </c>
      <c r="F31" s="331">
        <f>'2'!G15</f>
        <v>3530157</v>
      </c>
      <c r="G31" s="332">
        <f>'2'!H15</f>
        <v>2116170</v>
      </c>
      <c r="H31" s="331">
        <f>'2'!I15</f>
        <v>1721971</v>
      </c>
      <c r="I31" s="326"/>
      <c r="J31" s="314"/>
      <c r="K31" s="314"/>
      <c r="L31" s="314"/>
      <c r="M31" s="314"/>
      <c r="N31" s="314"/>
      <c r="O31" s="314"/>
      <c r="P31" s="314"/>
      <c r="Q31" s="314"/>
      <c r="R31" s="314"/>
      <c r="S31" s="314"/>
      <c r="T31" s="314"/>
      <c r="U31" s="314"/>
    </row>
    <row r="32" ht="15">
      <c r="A32" s="211" t="str">
        <f>'[1]2'!A17</f>
        <v xml:space="preserve">Проценты к уплате</v>
      </c>
      <c r="B32" s="331">
        <f>'2'!C16</f>
        <v>0</v>
      </c>
      <c r="C32" s="331">
        <f>'2'!D16</f>
        <v>-45991</v>
      </c>
      <c r="D32" s="332">
        <f>'2'!E16</f>
        <v>-329136</v>
      </c>
      <c r="E32" s="331">
        <f>'2'!F16</f>
        <v>-774458</v>
      </c>
      <c r="F32" s="332">
        <f>'2'!G16</f>
        <v>-877327</v>
      </c>
      <c r="G32" s="331">
        <f>'2'!H16</f>
        <v>-430471</v>
      </c>
      <c r="H32" s="331">
        <f>'2'!I16</f>
        <v>-419765</v>
      </c>
      <c r="I32" s="326"/>
      <c r="J32" s="314"/>
      <c r="K32" s="314"/>
      <c r="L32" s="314"/>
      <c r="M32" s="314"/>
      <c r="N32" s="314"/>
      <c r="O32" s="314"/>
      <c r="P32" s="314"/>
      <c r="Q32" s="314"/>
      <c r="R32" s="314"/>
      <c r="S32" s="314"/>
      <c r="T32" s="314"/>
      <c r="U32" s="314"/>
    </row>
    <row r="33" ht="30">
      <c r="A33" s="211" t="str">
        <f>'[1]2'!A15</f>
        <v xml:space="preserve">Доходы от участия в других организациях</v>
      </c>
      <c r="B33" s="331">
        <f>'2'!C14</f>
        <v>813755</v>
      </c>
      <c r="C33" s="332">
        <f>'2'!D14</f>
        <v>476987</v>
      </c>
      <c r="D33" s="331">
        <f>'2'!E14</f>
        <v>289688</v>
      </c>
      <c r="E33" s="332">
        <f>'2'!F14</f>
        <v>160729</v>
      </c>
      <c r="F33" s="331">
        <f>'2'!G14</f>
        <v>51224</v>
      </c>
      <c r="G33" s="332">
        <f>'2'!H14</f>
        <v>0</v>
      </c>
      <c r="H33" s="331">
        <f>'2'!I14</f>
        <v>1088</v>
      </c>
      <c r="J33" s="314"/>
      <c r="K33" s="314"/>
      <c r="L33" s="314"/>
      <c r="M33" s="314"/>
      <c r="N33" s="314"/>
      <c r="O33" s="314"/>
      <c r="P33" s="314"/>
      <c r="Q33" s="314"/>
      <c r="R33" s="314"/>
      <c r="S33" s="314"/>
      <c r="T33" s="314"/>
      <c r="U33" s="314"/>
    </row>
    <row r="34" ht="15">
      <c r="A34" s="211" t="str">
        <f>'[1]2'!A18</f>
        <v xml:space="preserve">Прочие доходы</v>
      </c>
      <c r="B34" s="331">
        <f>'2'!C17</f>
        <v>898216</v>
      </c>
      <c r="C34" s="331">
        <f>'2'!D17</f>
        <v>14716570</v>
      </c>
      <c r="D34" s="332">
        <f>'2'!E17</f>
        <v>1089682</v>
      </c>
      <c r="E34" s="331">
        <f>'2'!F17</f>
        <v>1951065</v>
      </c>
      <c r="F34" s="332">
        <f>'2'!G17</f>
        <v>982583</v>
      </c>
      <c r="G34" s="331">
        <f>'2'!H17</f>
        <v>986800</v>
      </c>
      <c r="H34" s="331">
        <f>'2'!I17</f>
        <v>2657807</v>
      </c>
      <c r="J34" s="314"/>
      <c r="K34" s="314"/>
      <c r="L34" s="314"/>
      <c r="M34" s="314"/>
      <c r="N34" s="314"/>
      <c r="O34" s="314"/>
      <c r="P34" s="314"/>
      <c r="Q34" s="314"/>
      <c r="R34" s="314"/>
      <c r="S34" s="314"/>
      <c r="T34" s="314"/>
      <c r="U34" s="314"/>
    </row>
    <row r="35" ht="15">
      <c r="A35" s="211" t="str">
        <f>'[1]2'!A19</f>
        <v xml:space="preserve">Прочие  расходы</v>
      </c>
      <c r="B35" s="331">
        <f>'2'!C18</f>
        <v>-2130237</v>
      </c>
      <c r="C35" s="332">
        <f>'2'!D18</f>
        <v>-17398570</v>
      </c>
      <c r="D35" s="331">
        <f>'2'!E18</f>
        <v>-792416</v>
      </c>
      <c r="E35" s="332">
        <f>'2'!F18</f>
        <v>-1377711</v>
      </c>
      <c r="F35" s="331">
        <f>'2'!G18</f>
        <v>-3912599</v>
      </c>
      <c r="G35" s="332">
        <f>'2'!H18</f>
        <v>-6194082</v>
      </c>
      <c r="H35" s="331">
        <f>'2'!I18</f>
        <v>-3331305</v>
      </c>
      <c r="J35" s="314"/>
      <c r="K35" s="314"/>
      <c r="L35" s="314"/>
      <c r="M35" s="314"/>
      <c r="N35" s="314"/>
      <c r="O35" s="314"/>
      <c r="P35" s="314"/>
      <c r="Q35" s="314"/>
      <c r="R35" s="314"/>
      <c r="S35" s="314"/>
      <c r="T35" s="314"/>
      <c r="U35" s="314"/>
    </row>
    <row r="36" s="207" customFormat="1" ht="30.75" customHeight="1">
      <c r="A36" s="333" t="str">
        <f>'[1]2'!A20</f>
        <v xml:space="preserve">     Прибыль (убыток) до налогообложения</v>
      </c>
      <c r="B36" s="334">
        <f>'2'!C19</f>
        <v>4467522</v>
      </c>
      <c r="C36" s="334">
        <f>'2'!D19</f>
        <v>7185620</v>
      </c>
      <c r="D36" s="335">
        <f>'2'!E19</f>
        <v>10041665</v>
      </c>
      <c r="E36" s="334">
        <f>'2'!F19</f>
        <v>9388977</v>
      </c>
      <c r="F36" s="335">
        <f>'2'!G19</f>
        <v>11393919</v>
      </c>
      <c r="G36" s="334">
        <f>'2'!H19</f>
        <v>565522</v>
      </c>
      <c r="H36" s="334">
        <f>'2'!I19</f>
        <v>5095301</v>
      </c>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row>
    <row r="37" ht="15">
      <c r="A37" s="211" t="str">
        <f>'[1]2'!A21</f>
        <v xml:space="preserve">Текущий налог на прибыль</v>
      </c>
      <c r="B37" s="331">
        <f>'2'!C20</f>
        <v>-655018</v>
      </c>
      <c r="C37" s="332">
        <f>'2'!D20</f>
        <v>-2302336</v>
      </c>
      <c r="D37" s="331">
        <f>'2'!E20</f>
        <v>-1823795</v>
      </c>
      <c r="E37" s="332">
        <f>'2'!F20</f>
        <v>-1959181</v>
      </c>
      <c r="F37" s="331">
        <f>'2'!G20</f>
        <v>-2218641</v>
      </c>
      <c r="G37" s="332">
        <f>'2'!H20</f>
        <v>-190864</v>
      </c>
      <c r="H37" s="331">
        <f>'2'!I20</f>
        <v>-1066641</v>
      </c>
    </row>
    <row r="38" ht="27.75" customHeight="1">
      <c r="A38" s="211" t="str">
        <f>'[1]2'!A22</f>
        <v xml:space="preserve">   в т.ч. постоянные налоговые обязательства (активы)</v>
      </c>
      <c r="B38" s="331">
        <f>'2'!C21</f>
        <v>-110315</v>
      </c>
      <c r="C38" s="331">
        <f>'2'!D21</f>
        <v>1005937</v>
      </c>
      <c r="D38" s="332">
        <f>'2'!E21</f>
        <v>-18381</v>
      </c>
      <c r="E38" s="331">
        <f>'2'!F21</f>
        <v>57475</v>
      </c>
      <c r="F38" s="332">
        <f>'2'!G21</f>
        <v>42824</v>
      </c>
      <c r="G38" s="331">
        <f>'2'!H21</f>
        <v>39720</v>
      </c>
      <c r="H38" s="331">
        <f>'2'!I21</f>
        <v>45380</v>
      </c>
    </row>
    <row r="39" ht="30">
      <c r="A39" s="211" t="str">
        <f>'[1]2'!A23</f>
        <v xml:space="preserve">Изменение отложенных налоговых обязательств</v>
      </c>
      <c r="B39" s="331">
        <f>'2'!C22</f>
        <v>-130663</v>
      </c>
      <c r="C39" s="332">
        <f>'2'!D22</f>
        <v>-132207</v>
      </c>
      <c r="D39" s="331">
        <f>'2'!E22</f>
        <v>-158331</v>
      </c>
      <c r="E39" s="332">
        <f>'2'!F22</f>
        <v>13955</v>
      </c>
      <c r="F39" s="331">
        <f>'2'!G22</f>
        <v>-113768</v>
      </c>
      <c r="G39" s="332">
        <f>'2'!H22</f>
        <v>-37221</v>
      </c>
      <c r="H39" s="331">
        <f>'2'!I22</f>
        <v>-11228</v>
      </c>
    </row>
    <row r="40" ht="30">
      <c r="A40" s="211" t="str">
        <f>'[1]2'!A24</f>
        <v xml:space="preserve">Изменение отложенных налоговых активов</v>
      </c>
      <c r="B40" s="331">
        <f>'2'!C23</f>
        <v>2492</v>
      </c>
      <c r="C40" s="331">
        <f>'2'!D23</f>
        <v>-8518</v>
      </c>
      <c r="D40" s="332">
        <f>'2'!E23</f>
        <v>-7826</v>
      </c>
      <c r="E40" s="331">
        <f>'2'!F23</f>
        <v>9955</v>
      </c>
      <c r="F40" s="332">
        <f>'2'!G23</f>
        <v>10801</v>
      </c>
      <c r="G40" s="331">
        <f>'2'!H23</f>
        <v>75260</v>
      </c>
      <c r="H40" s="331">
        <f>'2'!I23</f>
        <v>11107</v>
      </c>
    </row>
    <row r="41" ht="15">
      <c r="A41" s="211" t="str">
        <f>'[1]2'!A25</f>
        <v>Прочее</v>
      </c>
      <c r="B41" s="331">
        <f>'2'!C24</f>
        <v>3650</v>
      </c>
      <c r="C41" s="332">
        <f>'2'!D24</f>
        <v>3421</v>
      </c>
      <c r="D41" s="331">
        <f>'2'!E24</f>
        <v>4594</v>
      </c>
      <c r="E41" s="332">
        <f>'2'!F24</f>
        <v>5292</v>
      </c>
      <c r="F41" s="331">
        <f>'2'!G24</f>
        <v>2083</v>
      </c>
      <c r="G41" s="332">
        <f>'2'!H24</f>
        <v>-209</v>
      </c>
      <c r="H41" s="331">
        <f>'2'!I24</f>
        <v>-99</v>
      </c>
    </row>
    <row r="42" s="207" customFormat="1" ht="15">
      <c r="A42" s="333" t="str">
        <f>'[1]2'!A26</f>
        <v xml:space="preserve">    Чистая прибыль (убыток)</v>
      </c>
      <c r="B42" s="334">
        <f>'2'!C25</f>
        <v>3687983</v>
      </c>
      <c r="C42" s="334">
        <f>'2'!D25</f>
        <v>4745980</v>
      </c>
      <c r="D42" s="334">
        <f>'2'!E25</f>
        <v>8056307</v>
      </c>
      <c r="E42" s="334">
        <f>'2'!F25</f>
        <v>7458998</v>
      </c>
      <c r="F42" s="334">
        <f>'2'!G25</f>
        <v>9074394</v>
      </c>
      <c r="G42" s="334">
        <f>'2'!H25</f>
        <v>412488</v>
      </c>
      <c r="H42" s="334">
        <f>'2'!I25</f>
        <v>4028440</v>
      </c>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row>
    <row r="45" ht="15">
      <c r="A45" s="66" t="s">
        <v>530</v>
      </c>
      <c r="B45" s="33"/>
      <c r="C45" s="33"/>
      <c r="D45" s="33"/>
      <c r="E45" s="33"/>
      <c r="F45" s="33"/>
    </row>
    <row r="46" ht="15.75" customHeight="1">
      <c r="A46" s="327" t="s">
        <v>177</v>
      </c>
      <c r="B46" s="327" t="str">
        <f t="shared" ref="B46:H46" si="283">B4</f>
        <v xml:space="preserve">2019 год</v>
      </c>
      <c r="C46" s="327" t="str">
        <f t="shared" si="283"/>
        <v xml:space="preserve">2018 год</v>
      </c>
      <c r="D46" s="327" t="str">
        <f t="shared" si="283"/>
        <v xml:space="preserve">2017 год</v>
      </c>
      <c r="E46" s="327" t="str">
        <f t="shared" si="283"/>
        <v xml:space="preserve">2016 год</v>
      </c>
      <c r="F46" s="327" t="str">
        <f t="shared" si="283"/>
        <v xml:space="preserve">2015 год</v>
      </c>
      <c r="G46" s="327" t="str">
        <f t="shared" si="283"/>
        <v xml:space="preserve">2014 год</v>
      </c>
      <c r="H46" s="327" t="str">
        <f t="shared" si="283"/>
        <v xml:space="preserve">2013 год</v>
      </c>
      <c r="I46" s="303" t="s">
        <v>472</v>
      </c>
      <c r="J46" s="308"/>
      <c r="K46" s="308"/>
      <c r="L46" s="308"/>
      <c r="M46" s="308"/>
      <c r="N46" s="308"/>
      <c r="O46" s="308"/>
      <c r="P46" s="308"/>
      <c r="Q46" s="308"/>
      <c r="R46" s="308"/>
    </row>
    <row r="47" s="208" customFormat="1" ht="30">
      <c r="A47" s="337" t="s">
        <v>531</v>
      </c>
      <c r="B47" s="338">
        <f>(B26/B24)*100</f>
        <v>38.022298429482362</v>
      </c>
      <c r="C47" s="339">
        <f>(C26/C24)*100</f>
        <v>46.175207428191662</v>
      </c>
      <c r="D47" s="338">
        <f>(D26/D24)*100</f>
        <v>46.746860515642958</v>
      </c>
      <c r="E47" s="339">
        <f>(E26/E24)*100</f>
        <v>44.362182935912045</v>
      </c>
      <c r="F47" s="338">
        <f>(F26/F24)*100</f>
        <v>57.766509478645865</v>
      </c>
      <c r="G47" s="339">
        <f>(G26/G24)*100</f>
        <v>44.597222556290674</v>
      </c>
      <c r="H47" s="338">
        <f>(H26/H24)*100</f>
        <v>44.924437002397688</v>
      </c>
      <c r="I47" s="303"/>
      <c r="J47" s="308"/>
      <c r="K47" s="308"/>
      <c r="L47" s="308"/>
      <c r="M47" s="308"/>
      <c r="N47" s="308"/>
      <c r="O47" s="308"/>
      <c r="P47" s="308"/>
      <c r="Q47" s="308"/>
      <c r="R47" s="308"/>
    </row>
    <row r="48" s="208" customFormat="1" ht="30">
      <c r="A48" s="337" t="s">
        <v>532</v>
      </c>
      <c r="B48" s="338">
        <f>(B29/B24)*100</f>
        <v>15.277432003988487</v>
      </c>
      <c r="C48" s="338">
        <f>(C29/C24)*100</f>
        <v>27.289491415869872</v>
      </c>
      <c r="D48" s="339">
        <f>(D29/D24)*100</f>
        <v>27.858218332757861</v>
      </c>
      <c r="E48" s="338">
        <f>(E29/E24)*100</f>
        <v>24.508640999063413</v>
      </c>
      <c r="F48" s="339">
        <f>(F29/F24)*100</f>
        <v>43.593764977303437</v>
      </c>
      <c r="G48" s="338">
        <f>(G29/G24)*100</f>
        <v>25.336815387327778</v>
      </c>
      <c r="H48" s="338">
        <f>(H29/H24)*100</f>
        <v>25.723516659724311</v>
      </c>
      <c r="J48" s="308"/>
      <c r="K48" s="308"/>
      <c r="L48" s="308"/>
      <c r="M48" s="308"/>
      <c r="N48" s="308"/>
      <c r="O48" s="308"/>
      <c r="P48" s="308"/>
      <c r="Q48" s="308"/>
      <c r="R48" s="308"/>
    </row>
    <row r="49" s="208" customFormat="1" ht="31.5" customHeight="1">
      <c r="A49" s="337" t="s">
        <v>533</v>
      </c>
      <c r="B49" s="338">
        <f>(B42/B24)*100</f>
        <v>17.034316453793696</v>
      </c>
      <c r="C49" s="339">
        <f>(C42/C24)*100</f>
        <v>17.477487145099367</v>
      </c>
      <c r="D49" s="338">
        <f>(D42/D24)*100</f>
        <v>33.566998964237548</v>
      </c>
      <c r="E49" s="339">
        <f>(E42/E24)*100</f>
        <v>32.076718896959648</v>
      </c>
      <c r="F49" s="338">
        <f>(F42/F24)*100</f>
        <v>34.043980256549304</v>
      </c>
      <c r="G49" s="339">
        <f>(G42/G24)*100</f>
        <v>2.5570990482231459</v>
      </c>
      <c r="H49" s="338">
        <f>(H42/H24)*100</f>
        <v>23.205806163625347</v>
      </c>
      <c r="J49" s="308"/>
      <c r="K49" s="308"/>
      <c r="L49" s="308"/>
      <c r="M49" s="308"/>
      <c r="N49" s="308"/>
      <c r="O49" s="308"/>
      <c r="P49" s="308"/>
      <c r="Q49" s="308"/>
      <c r="R49" s="308"/>
    </row>
    <row r="50" s="208" customFormat="1" ht="60">
      <c r="A50" s="337" t="s">
        <v>534</v>
      </c>
      <c r="B50" s="338">
        <f>(B8/B11)*100</f>
        <v>25.96316257647976</v>
      </c>
      <c r="C50" s="338">
        <f>(C8/C11)*100</f>
        <v>-3.1283591395036199</v>
      </c>
      <c r="D50" s="339">
        <f>(D8/D11)*100</f>
        <v>33.4158130150727</v>
      </c>
      <c r="E50" s="338">
        <f>(E8/E11)*100</f>
        <v>39.29960633623876</v>
      </c>
      <c r="F50" s="339">
        <f>(F8/F11)*100</f>
        <v>-1.9831806773420102</v>
      </c>
      <c r="G50" s="338">
        <f>(G8/G11)*100</f>
        <v>-622.71370521394397</v>
      </c>
      <c r="H50" s="338">
        <f>(H8/H11)*100</f>
        <v>12.360329644902235</v>
      </c>
      <c r="J50" s="340"/>
      <c r="K50" s="340"/>
      <c r="L50" s="340"/>
      <c r="M50" s="340"/>
      <c r="N50" s="340"/>
      <c r="O50" s="340"/>
      <c r="P50" s="340"/>
      <c r="Q50" s="340"/>
      <c r="R50" s="340"/>
    </row>
    <row r="51" ht="15">
      <c r="A51" s="341" t="s">
        <v>535</v>
      </c>
      <c r="B51" s="331">
        <f>Q5</f>
        <v>-20.270821911941304</v>
      </c>
      <c r="C51" s="331">
        <f>T5</f>
        <v>13.141887622586646</v>
      </c>
      <c r="D51" s="342">
        <f>W5</f>
        <v>3.2126526197922138</v>
      </c>
      <c r="E51" s="342">
        <f>Z5</f>
        <v>-12.760483385521956</v>
      </c>
      <c r="F51" s="342">
        <f>AC5</f>
        <v>65.239371271331166</v>
      </c>
      <c r="G51" s="342">
        <f>AF5</f>
        <v>-7.0769344561151417</v>
      </c>
      <c r="H51" s="342"/>
    </row>
  </sheetData>
  <mergeCells count="18">
    <mergeCell ref="A2:A4"/>
    <mergeCell ref="B2:H3"/>
    <mergeCell ref="I2:O3"/>
    <mergeCell ref="P2:AG2"/>
    <mergeCell ref="P3:R3"/>
    <mergeCell ref="S3:U3"/>
    <mergeCell ref="V3:X3"/>
    <mergeCell ref="Y3:AA3"/>
    <mergeCell ref="AB3:AD3"/>
    <mergeCell ref="AE3:AG3"/>
    <mergeCell ref="A17:A19"/>
    <mergeCell ref="B17:O19"/>
    <mergeCell ref="A23:H23"/>
    <mergeCell ref="J27:U35"/>
    <mergeCell ref="A30:H30"/>
    <mergeCell ref="I30:I32"/>
    <mergeCell ref="I46:I47"/>
    <mergeCell ref="J46:R4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77" zoomScale="75" workbookViewId="0">
      <selection activeCell="A96" activeCellId="0" sqref="A96"/>
    </sheetView>
  </sheetViews>
  <sheetFormatPr defaultColWidth="15.5546875" defaultRowHeight="12.75"/>
  <cols>
    <col customWidth="1" min="1" max="1" style="64" width="49.6640625"/>
    <col customWidth="1" min="2" max="8" style="64" width="22.5546875"/>
    <col customWidth="1" min="9" max="9" style="64" width="20.88671875"/>
    <col customWidth="1" min="10" max="10" style="64" width="19.6640625"/>
    <col customWidth="1" min="11" max="11" style="64" width="17.88671875"/>
    <col min="12" max="16384" style="64" width="15.5546875"/>
  </cols>
  <sheetData>
    <row r="1">
      <c r="A1" s="66" t="s">
        <v>536</v>
      </c>
    </row>
    <row r="2">
      <c r="A2" s="343"/>
      <c r="B2" s="343"/>
      <c r="C2" s="343"/>
      <c r="D2" s="216"/>
    </row>
    <row r="3" s="66" customFormat="1">
      <c r="A3" s="344" t="s">
        <v>537</v>
      </c>
      <c r="B3" s="344"/>
      <c r="C3" s="344"/>
      <c r="D3" s="207"/>
    </row>
    <row r="4">
      <c r="A4" s="66" t="s">
        <v>538</v>
      </c>
    </row>
    <row r="5">
      <c r="A5" s="327" t="s">
        <v>177</v>
      </c>
      <c r="B5" s="345" t="str">
        <f>аб!C4</f>
        <v>31.12.2019</v>
      </c>
      <c r="C5" s="345" t="str">
        <f>аб!D4</f>
        <v>31.12.2018</v>
      </c>
      <c r="D5" s="345" t="str">
        <f>аб!E4</f>
        <v>31.12.2017</v>
      </c>
      <c r="E5" s="345" t="str">
        <f>аб!F4</f>
        <v>31.12.2016</v>
      </c>
      <c r="F5" s="345" t="str">
        <f>аб!G4</f>
        <v>31.12.2015</v>
      </c>
      <c r="G5" s="345" t="str">
        <f>аб!H4</f>
        <v>31.12.2014</v>
      </c>
      <c r="H5" s="345" t="str">
        <f>аб!I4</f>
        <v>31.12.2013</v>
      </c>
      <c r="I5" s="345" t="str">
        <f>аб!J4</f>
        <v>31.12.2012</v>
      </c>
    </row>
    <row r="6">
      <c r="A6" s="346" t="s">
        <v>539</v>
      </c>
      <c r="B6" s="347">
        <f>'1'!C37+'1'!C43-'1'!C15</f>
        <v>21440754</v>
      </c>
      <c r="C6" s="347">
        <f>'1'!D37+'1'!D43-'1'!D15</f>
        <v>31824926</v>
      </c>
      <c r="D6" s="347">
        <f>'1'!E37+'1'!E43-'1'!E15</f>
        <v>28234052</v>
      </c>
      <c r="E6" s="347">
        <f>'1'!F37+'1'!F43-'1'!F15</f>
        <v>35444543</v>
      </c>
      <c r="F6" s="347">
        <f>'1'!G37+'1'!G43-'1'!G15</f>
        <v>35585678</v>
      </c>
      <c r="G6" s="347">
        <f>'1'!H37+'1'!H43-'1'!H15</f>
        <v>23558971</v>
      </c>
      <c r="H6" s="347">
        <f>'1'!I37+'1'!I43-'1'!I15</f>
        <v>14819135</v>
      </c>
      <c r="I6" s="347">
        <f>'1'!J37+'1'!J43-'1'!J15</f>
        <v>8830326</v>
      </c>
    </row>
    <row r="7" ht="31.199999999999999">
      <c r="A7" s="346" t="s">
        <v>540</v>
      </c>
      <c r="B7" s="347">
        <f>0.1*'1'!C25</f>
        <v>2852850.7000000002</v>
      </c>
      <c r="C7" s="347">
        <f>0.1*'1'!D25</f>
        <v>3410548.1000000001</v>
      </c>
      <c r="D7" s="347">
        <f>0.1*'1'!E25</f>
        <v>3189282.5</v>
      </c>
      <c r="E7" s="347">
        <f>0.1*'1'!F25</f>
        <v>4940096.6000000006</v>
      </c>
      <c r="F7" s="347">
        <f>0.1*'1'!G25</f>
        <v>3971498.1000000001</v>
      </c>
      <c r="G7" s="347">
        <f>0.1*'1'!H25</f>
        <v>3523729.6000000001</v>
      </c>
      <c r="H7" s="347">
        <f>0.1*'1'!I25</f>
        <v>1724500.1000000001</v>
      </c>
      <c r="I7" s="347">
        <f>0.1*'1'!J25</f>
        <v>1097197.1000000001</v>
      </c>
    </row>
    <row r="8">
      <c r="A8" s="348" t="s">
        <v>541</v>
      </c>
      <c r="B8" s="349">
        <f>B6-B7</f>
        <v>18587903.300000001</v>
      </c>
      <c r="C8" s="349">
        <f>C6-C7</f>
        <v>28414377.899999999</v>
      </c>
      <c r="D8" s="349">
        <f>D6-D7</f>
        <v>25044769.5</v>
      </c>
      <c r="E8" s="349">
        <f>E6-E7</f>
        <v>30504446.399999999</v>
      </c>
      <c r="F8" s="349">
        <f>F6-F7</f>
        <v>31614179.899999999</v>
      </c>
      <c r="G8" s="349">
        <f>G6-G7</f>
        <v>20035241.399999999</v>
      </c>
      <c r="H8" s="349">
        <f>H6-H7</f>
        <v>13094634.9</v>
      </c>
      <c r="I8" s="349">
        <f>I6-I7</f>
        <v>7733128.9000000004</v>
      </c>
    </row>
    <row r="9">
      <c r="A9" s="350" t="s">
        <v>542</v>
      </c>
      <c r="B9" s="351">
        <f>'1'!C37-'1'!C15</f>
        <v>20765593</v>
      </c>
      <c r="C9" s="351">
        <f>'1'!D37-'1'!D15</f>
        <v>31272985</v>
      </c>
      <c r="D9" s="351">
        <f>'1'!E37-'1'!E15</f>
        <v>27814318</v>
      </c>
      <c r="E9" s="351">
        <f>'1'!F37-'1'!F15</f>
        <v>32183140</v>
      </c>
      <c r="F9" s="351">
        <f>'1'!G37-'1'!G15</f>
        <v>24377915</v>
      </c>
      <c r="G9" s="351">
        <f>'1'!H37-'1'!H15</f>
        <v>14928684</v>
      </c>
      <c r="H9" s="351">
        <f>'1'!I37-'1'!I15</f>
        <v>9785386</v>
      </c>
      <c r="I9" s="351">
        <f>'1'!J37-'1'!J15</f>
        <v>3262248</v>
      </c>
    </row>
    <row r="10">
      <c r="A10" s="346" t="s">
        <v>543</v>
      </c>
      <c r="B10" s="347">
        <f>'1'!C17+'1'!C18</f>
        <v>3392526</v>
      </c>
      <c r="C10" s="347">
        <f>'1'!D17+'1'!D18</f>
        <v>2470424</v>
      </c>
      <c r="D10" s="347">
        <f>'1'!E17+'1'!E18</f>
        <v>3143913</v>
      </c>
      <c r="E10" s="347">
        <f>'1'!F17+'1'!F18</f>
        <v>2369731</v>
      </c>
      <c r="F10" s="347">
        <f>'1'!G17+'1'!G18</f>
        <v>2404485</v>
      </c>
      <c r="G10" s="347">
        <f>'1'!H17+'1'!H18</f>
        <v>1880186</v>
      </c>
      <c r="H10" s="347">
        <f>'1'!I17+'1'!I18</f>
        <v>1702409</v>
      </c>
      <c r="I10" s="347">
        <f>'1'!J17+'1'!J18</f>
        <v>1854584</v>
      </c>
    </row>
    <row r="11" ht="31.199999999999999">
      <c r="A11" s="346" t="s">
        <v>544</v>
      </c>
      <c r="B11" s="347">
        <f>B9-B10</f>
        <v>17373067</v>
      </c>
      <c r="C11" s="347">
        <f>C9-C10</f>
        <v>28802561</v>
      </c>
      <c r="D11" s="347">
        <f>D9-D10</f>
        <v>24670405</v>
      </c>
      <c r="E11" s="347">
        <f>E9-E10</f>
        <v>29813409</v>
      </c>
      <c r="F11" s="347">
        <f>F9-F10</f>
        <v>21973430</v>
      </c>
      <c r="G11" s="347">
        <f>G9-G10</f>
        <v>13048498</v>
      </c>
      <c r="H11" s="347">
        <f>H9-H10</f>
        <v>8082977</v>
      </c>
      <c r="I11" s="347">
        <f>I9-I10</f>
        <v>1407664</v>
      </c>
    </row>
    <row r="12" ht="31.199999999999999">
      <c r="A12" s="348" t="s">
        <v>545</v>
      </c>
      <c r="B12" s="352">
        <f>(B9/B10)*100</f>
        <v>612.09827131759641</v>
      </c>
      <c r="C12" s="352">
        <f>(C9/C10)*100</f>
        <v>1265.8954495260734</v>
      </c>
      <c r="D12" s="352">
        <f>(D9/D10)*100</f>
        <v>884.70380700738224</v>
      </c>
      <c r="E12" s="352">
        <f>(E9/E10)*100</f>
        <v>1358.0925429932763</v>
      </c>
      <c r="F12" s="352">
        <f>(F9/F10)*100</f>
        <v>1013.8518227395887</v>
      </c>
      <c r="G12" s="352">
        <f>(G9/G10)*100</f>
        <v>794.00038081338766</v>
      </c>
      <c r="H12" s="352">
        <f>(H9/H10)*100</f>
        <v>574.79642083659098</v>
      </c>
      <c r="I12" s="352">
        <f>(I9/I10)*100</f>
        <v>175.90187341204282</v>
      </c>
    </row>
    <row r="13" ht="31.199999999999999">
      <c r="A13" s="350" t="s">
        <v>546</v>
      </c>
      <c r="B13" s="351">
        <f>B9+'1'!C43</f>
        <v>21440754</v>
      </c>
      <c r="C13" s="351">
        <f>C9+'1'!D43</f>
        <v>31824926</v>
      </c>
      <c r="D13" s="351">
        <f>D9+'1'!E43</f>
        <v>28234052</v>
      </c>
      <c r="E13" s="351">
        <f>E9+'1'!F43</f>
        <v>35444543</v>
      </c>
      <c r="F13" s="351">
        <f>F9+'1'!G43</f>
        <v>35585678</v>
      </c>
      <c r="G13" s="351">
        <f>G9+'1'!H43</f>
        <v>23558971</v>
      </c>
      <c r="H13" s="351">
        <f>H9+'1'!I43</f>
        <v>14819135</v>
      </c>
      <c r="I13" s="351">
        <f>I9+'1'!J43</f>
        <v>8830326</v>
      </c>
    </row>
    <row r="14">
      <c r="A14" s="346" t="s">
        <v>26</v>
      </c>
      <c r="B14" s="347">
        <f>'1'!C17</f>
        <v>3359236</v>
      </c>
      <c r="C14" s="347">
        <f>'1'!D17</f>
        <v>2454097</v>
      </c>
      <c r="D14" s="347">
        <f>'1'!E17</f>
        <v>2594147</v>
      </c>
      <c r="E14" s="347">
        <f>'1'!F17</f>
        <v>2183513</v>
      </c>
      <c r="F14" s="347">
        <f>'1'!G17</f>
        <v>1971564</v>
      </c>
      <c r="G14" s="347">
        <f>'1'!H17</f>
        <v>1667298</v>
      </c>
      <c r="H14" s="347">
        <f>'1'!I17</f>
        <v>1505696</v>
      </c>
      <c r="I14" s="347">
        <f>'1'!J17</f>
        <v>1811263</v>
      </c>
    </row>
    <row r="15" ht="31.199999999999999">
      <c r="A15" s="346" t="s">
        <v>544</v>
      </c>
      <c r="B15" s="347">
        <f>B13-B10</f>
        <v>18048228</v>
      </c>
      <c r="C15" s="347">
        <f>C13-C10</f>
        <v>29354502</v>
      </c>
      <c r="D15" s="347">
        <f>D13-D10</f>
        <v>25090139</v>
      </c>
      <c r="E15" s="347">
        <f>E13-E10</f>
        <v>33074812</v>
      </c>
      <c r="F15" s="347">
        <f>F13-F10</f>
        <v>33181193</v>
      </c>
      <c r="G15" s="347">
        <f>G13-G10</f>
        <v>21678785</v>
      </c>
      <c r="H15" s="347">
        <f>H13-H10</f>
        <v>13116726</v>
      </c>
      <c r="I15" s="347">
        <f>I13-I10</f>
        <v>6975742</v>
      </c>
    </row>
    <row r="16" ht="33.75" customHeight="1">
      <c r="A16" s="348" t="s">
        <v>547</v>
      </c>
      <c r="B16" s="353">
        <f>(B13/B14)*100</f>
        <v>638.26280737643913</v>
      </c>
      <c r="C16" s="353">
        <f>(C13/C14)*100</f>
        <v>1296.807990882186</v>
      </c>
      <c r="D16" s="353">
        <f>(D13/D14)*100</f>
        <v>1088.3751768885879</v>
      </c>
      <c r="E16" s="353">
        <f>(E13/E14)*100</f>
        <v>1623.2806033213451</v>
      </c>
      <c r="F16" s="353">
        <f>(F13/F14)*100</f>
        <v>1804.946631202436</v>
      </c>
      <c r="G16" s="353">
        <f>(G13/G14)*100</f>
        <v>1413.0030144581233</v>
      </c>
      <c r="H16" s="353">
        <f>(H13/H14)*100</f>
        <v>984.20497895989638</v>
      </c>
      <c r="I16" s="353">
        <f>(I13/I14)*100</f>
        <v>487.52312612801126</v>
      </c>
    </row>
    <row r="17" ht="33" customHeight="1">
      <c r="A17" s="350" t="s">
        <v>548</v>
      </c>
      <c r="B17" s="351">
        <f>'1'!C37+'1'!C43+'1'!C46</f>
        <v>47911206</v>
      </c>
      <c r="C17" s="351">
        <f>'1'!D37+'1'!D43+'1'!D46</f>
        <v>48323294</v>
      </c>
      <c r="D17" s="351">
        <f>'1'!E37+'1'!E43+'1'!E46</f>
        <v>50013616</v>
      </c>
      <c r="E17" s="351">
        <f>'1'!F37+'1'!F43+'1'!F46</f>
        <v>47528037</v>
      </c>
      <c r="F17" s="351">
        <f>'1'!G37+'1'!G43+'1'!G46</f>
        <v>50070293</v>
      </c>
      <c r="G17" s="351">
        <f>'1'!H37+'1'!H43+'1'!H46</f>
        <v>36767220</v>
      </c>
      <c r="H17" s="351">
        <f>'1'!I37+'1'!I43+'1'!I46</f>
        <v>32612383</v>
      </c>
      <c r="I17" s="351">
        <f>'1'!J37+'1'!J43+'1'!J46</f>
        <v>29067499</v>
      </c>
    </row>
    <row r="18">
      <c r="A18" s="346" t="s">
        <v>26</v>
      </c>
      <c r="B18" s="347">
        <f>B14</f>
        <v>3359236</v>
      </c>
      <c r="C18" s="347">
        <f>C14</f>
        <v>2454097</v>
      </c>
      <c r="D18" s="347">
        <f>D14</f>
        <v>2594147</v>
      </c>
      <c r="E18" s="347">
        <f>E14</f>
        <v>2183513</v>
      </c>
      <c r="F18" s="347">
        <f>F14</f>
        <v>1971564</v>
      </c>
      <c r="G18" s="347">
        <f>G14</f>
        <v>1667298</v>
      </c>
      <c r="H18" s="347">
        <f>H14</f>
        <v>1505696</v>
      </c>
      <c r="I18" s="347">
        <f>I14</f>
        <v>1811263</v>
      </c>
    </row>
    <row r="19" ht="31.199999999999999">
      <c r="A19" s="346" t="s">
        <v>544</v>
      </c>
      <c r="B19" s="347">
        <f>B17-B18</f>
        <v>44551970</v>
      </c>
      <c r="C19" s="347">
        <f>C17-C18</f>
        <v>45869197</v>
      </c>
      <c r="D19" s="347">
        <f>D17-D18</f>
        <v>47419469</v>
      </c>
      <c r="E19" s="347">
        <f>E17-E18</f>
        <v>45344524</v>
      </c>
      <c r="F19" s="347">
        <f>F17-F18</f>
        <v>48098729</v>
      </c>
      <c r="G19" s="347">
        <f>G17-G18</f>
        <v>35099922</v>
      </c>
      <c r="H19" s="347">
        <f>H17-H18</f>
        <v>31106687</v>
      </c>
      <c r="I19" s="347">
        <f>I17-I18</f>
        <v>27256236</v>
      </c>
    </row>
    <row r="20" ht="51" customHeight="1">
      <c r="A20" s="348" t="s">
        <v>549</v>
      </c>
      <c r="B20" s="349">
        <f>(B17/B18)*100</f>
        <v>1426.2530527774768</v>
      </c>
      <c r="C20" s="349">
        <f>(C17/C18)*100</f>
        <v>1969.0865519985557</v>
      </c>
      <c r="D20" s="349">
        <f>(D17/D18)*100</f>
        <v>1927.9407065212574</v>
      </c>
      <c r="E20" s="349">
        <f>(E17/E18)*100</f>
        <v>2176.677537527828</v>
      </c>
      <c r="F20" s="349">
        <f>(F17/F18)*100</f>
        <v>2539.6230099555482</v>
      </c>
      <c r="G20" s="349">
        <f>(G17/G18)*100</f>
        <v>2205.1978710464473</v>
      </c>
      <c r="H20" s="349">
        <f>(H17/H18)*100</f>
        <v>2165.9340929377508</v>
      </c>
      <c r="I20" s="349">
        <f>(I17/I18)*100</f>
        <v>1604.8193442918009</v>
      </c>
    </row>
    <row r="22">
      <c r="A22" s="66" t="s">
        <v>550</v>
      </c>
    </row>
    <row r="23">
      <c r="A23" s="66" t="s">
        <v>551</v>
      </c>
      <c r="G23" s="66"/>
    </row>
    <row r="24" s="33" customFormat="1">
      <c r="A24" s="294" t="s">
        <v>6</v>
      </c>
      <c r="B24" s="294" t="s">
        <v>552</v>
      </c>
      <c r="C24" s="354" t="str">
        <f>B5</f>
        <v>31.12.2019</v>
      </c>
      <c r="D24" s="354" t="str">
        <f t="shared" ref="D24:I24" si="284">C5</f>
        <v>31.12.2018</v>
      </c>
      <c r="E24" s="354" t="str">
        <f t="shared" si="284"/>
        <v>31.12.2017</v>
      </c>
      <c r="F24" s="354" t="str">
        <f t="shared" si="284"/>
        <v>31.12.2016</v>
      </c>
      <c r="G24" s="354" t="str">
        <f t="shared" si="284"/>
        <v>31.12.2015</v>
      </c>
      <c r="H24" s="354" t="str">
        <f t="shared" si="284"/>
        <v>31.12.2014</v>
      </c>
      <c r="I24" s="354" t="str">
        <f t="shared" si="284"/>
        <v>31.12.2013</v>
      </c>
      <c r="J24" s="354" t="str">
        <f>I5</f>
        <v>31.12.2012</v>
      </c>
    </row>
    <row r="25">
      <c r="A25" s="182" t="s">
        <v>553</v>
      </c>
      <c r="B25" s="318" t="s">
        <v>436</v>
      </c>
      <c r="C25" s="184">
        <f>'1'!C15</f>
        <v>19653099</v>
      </c>
      <c r="D25" s="184">
        <f>'1'!D15</f>
        <v>14471049</v>
      </c>
      <c r="E25" s="184">
        <f>'1'!E15</f>
        <v>19214316</v>
      </c>
      <c r="F25" s="184">
        <f>'1'!F15</f>
        <v>9072614</v>
      </c>
      <c r="G25" s="184">
        <f>'1'!G15</f>
        <v>10532937</v>
      </c>
      <c r="H25" s="184">
        <f>'1'!H15</f>
        <v>11206796</v>
      </c>
      <c r="I25" s="184">
        <f>'1'!I15</f>
        <v>16120696</v>
      </c>
      <c r="J25" s="184">
        <f>'1'!J15</f>
        <v>18800083</v>
      </c>
    </row>
    <row r="26" ht="31.199999999999999">
      <c r="A26" s="182" t="s">
        <v>554</v>
      </c>
      <c r="B26" s="318" t="s">
        <v>438</v>
      </c>
      <c r="C26" s="184">
        <f>'1'!C17+'1'!C18+'1'!C24</f>
        <v>4118884</v>
      </c>
      <c r="D26" s="184">
        <f>'1'!D17+'1'!D18+'1'!D24</f>
        <v>2687141</v>
      </c>
      <c r="E26" s="184">
        <f>'1'!E17+'1'!E18+'1'!E24</f>
        <v>3296273</v>
      </c>
      <c r="F26" s="184">
        <f>'1'!F17+'1'!F18+'1'!F24</f>
        <v>2555886</v>
      </c>
      <c r="G26" s="184">
        <f>'1'!G17+'1'!G18+'1'!G24</f>
        <v>2750212</v>
      </c>
      <c r="H26" s="184">
        <f>'1'!H17+'1'!H18+'1'!H24</f>
        <v>2004347</v>
      </c>
      <c r="I26" s="184">
        <f>'1'!I17+'1'!I18+'1'!I24</f>
        <v>1799232</v>
      </c>
      <c r="J26" s="184">
        <f>'1'!J17+'1'!J18+'1'!J24</f>
        <v>1939593</v>
      </c>
    </row>
    <row r="27" ht="31.199999999999999">
      <c r="A27" s="182" t="s">
        <v>555</v>
      </c>
      <c r="B27" s="318" t="s">
        <v>556</v>
      </c>
      <c r="C27" s="184">
        <f>'1'!C19+'1'!C23+'1'!C22</f>
        <v>24409623</v>
      </c>
      <c r="D27" s="184">
        <f>'1'!D19+'1'!D23+'1'!D22</f>
        <v>31418340</v>
      </c>
      <c r="E27" s="184">
        <f>'1'!E19+'1'!E23+'1'!E22</f>
        <v>28596552</v>
      </c>
      <c r="F27" s="184">
        <f>'1'!F19+'1'!F23+'1'!F22</f>
        <v>46845080</v>
      </c>
      <c r="G27" s="184">
        <f>'1'!G19+'1'!G23+'1'!G22</f>
        <v>36964769</v>
      </c>
      <c r="H27" s="184">
        <f>'1'!H19+'1'!H23+'1'!H22</f>
        <v>33232949</v>
      </c>
      <c r="I27" s="184">
        <f>'1'!I19+'1'!I23+'1'!I22</f>
        <v>15445769</v>
      </c>
      <c r="J27" s="184">
        <f>'1'!J19+'1'!J23+'1'!J22</f>
        <v>9032378</v>
      </c>
    </row>
    <row r="28">
      <c r="A28" s="355" t="s">
        <v>443</v>
      </c>
      <c r="B28" s="184"/>
      <c r="C28" s="184">
        <f>SUM(C25:C27)</f>
        <v>48181606</v>
      </c>
      <c r="D28" s="184">
        <f>SUM(D25:D27)</f>
        <v>48576530</v>
      </c>
      <c r="E28" s="184">
        <f>SUM(E25:E27)</f>
        <v>51107141</v>
      </c>
      <c r="F28" s="184">
        <f>SUM(F25:F27)</f>
        <v>58473580</v>
      </c>
      <c r="G28" s="184">
        <f>SUM(G25:G27)</f>
        <v>50247918</v>
      </c>
      <c r="H28" s="184">
        <f>SUM(H25:H27)</f>
        <v>46444092</v>
      </c>
      <c r="I28" s="184">
        <f>SUM(I25:I27)</f>
        <v>33365697</v>
      </c>
      <c r="J28" s="184">
        <f>SUM(J25:J27)</f>
        <v>29772054</v>
      </c>
    </row>
    <row r="29">
      <c r="A29" s="77"/>
    </row>
    <row r="30">
      <c r="A30" s="77"/>
    </row>
    <row r="31" s="33" customFormat="1">
      <c r="A31" s="179" t="s">
        <v>36</v>
      </c>
      <c r="B31" s="294" t="s">
        <v>552</v>
      </c>
      <c r="C31" s="354" t="str">
        <f>C24</f>
        <v>31.12.2019</v>
      </c>
      <c r="D31" s="354" t="str">
        <f t="shared" ref="D31:I31" si="285">D24</f>
        <v>31.12.2018</v>
      </c>
      <c r="E31" s="354" t="str">
        <f t="shared" si="285"/>
        <v>31.12.2017</v>
      </c>
      <c r="F31" s="354" t="str">
        <f t="shared" si="285"/>
        <v>31.12.2016</v>
      </c>
      <c r="G31" s="354" t="str">
        <f t="shared" si="285"/>
        <v>31.12.2015</v>
      </c>
      <c r="H31" s="354" t="str">
        <f t="shared" si="285"/>
        <v>31.12.2014</v>
      </c>
      <c r="I31" s="354" t="str">
        <f t="shared" si="285"/>
        <v>31.12.2013</v>
      </c>
      <c r="J31" s="354" t="str">
        <f>J24</f>
        <v>31.12.2012</v>
      </c>
    </row>
    <row r="32" ht="31.199999999999999">
      <c r="A32" s="182" t="s">
        <v>557</v>
      </c>
      <c r="B32" s="318" t="s">
        <v>558</v>
      </c>
      <c r="C32" s="184">
        <f>'1'!C37+'1'!C43+'1'!C47</f>
        <v>41101514</v>
      </c>
      <c r="D32" s="184">
        <f>'1'!D37+'1'!D43+'1'!D47</f>
        <v>46296901</v>
      </c>
      <c r="E32" s="184">
        <f>'1'!E37+'1'!E43+'1'!E47</f>
        <v>47449453</v>
      </c>
      <c r="F32" s="184">
        <f>'1'!F37+'1'!F43+'1'!F47</f>
        <v>44518401</v>
      </c>
      <c r="G32" s="184">
        <f>'1'!G37+'1'!G43+'1'!G47</f>
        <v>46120018</v>
      </c>
      <c r="H32" s="184">
        <f>'1'!H37+'1'!H43+'1'!H47</f>
        <v>34767329</v>
      </c>
      <c r="I32" s="184">
        <f>'1'!I37+'1'!I43+'1'!I47</f>
        <v>30941553</v>
      </c>
      <c r="J32" s="184">
        <f>'1'!J37+'1'!J43+'1'!J47</f>
        <v>27632577</v>
      </c>
    </row>
    <row r="33">
      <c r="A33" s="182" t="s">
        <v>559</v>
      </c>
      <c r="B33" s="318" t="s">
        <v>449</v>
      </c>
      <c r="C33" s="184">
        <f>'1'!C45+'1'!C48+'1'!C49</f>
        <v>262739</v>
      </c>
      <c r="D33" s="184">
        <f>'1'!D45+'1'!D48+'1'!D49</f>
        <v>252310</v>
      </c>
      <c r="E33" s="184">
        <f>'1'!E45+'1'!E48+'1'!E49</f>
        <v>1092440</v>
      </c>
      <c r="F33" s="184">
        <f>'1'!F45+'1'!F48+'1'!F49</f>
        <v>10944299</v>
      </c>
      <c r="G33" s="184">
        <f>'1'!G45+'1'!G48+'1'!G49</f>
        <v>176222</v>
      </c>
      <c r="H33" s="184">
        <f>'1'!H45+'1'!H48+'1'!H49</f>
        <v>9675310</v>
      </c>
      <c r="I33" s="184">
        <f>'1'!I45+'1'!I48+'1'!I49</f>
        <v>751592</v>
      </c>
      <c r="J33" s="184">
        <f>'1'!J45+'1'!J48+'1'!J49</f>
        <v>702387</v>
      </c>
    </row>
    <row r="34" ht="31.199999999999999">
      <c r="A34" s="182" t="s">
        <v>560</v>
      </c>
      <c r="B34" s="318" t="s">
        <v>451</v>
      </c>
      <c r="C34" s="184">
        <f>'1'!C46</f>
        <v>6817353</v>
      </c>
      <c r="D34" s="184">
        <f>'1'!D46</f>
        <v>2027319</v>
      </c>
      <c r="E34" s="184">
        <f>'1'!E46</f>
        <v>2565248</v>
      </c>
      <c r="F34" s="184">
        <f>'1'!F46</f>
        <v>3010880</v>
      </c>
      <c r="G34" s="184">
        <f>'1'!G46</f>
        <v>3951678</v>
      </c>
      <c r="H34" s="184">
        <f>'1'!H46</f>
        <v>2001453</v>
      </c>
      <c r="I34" s="184">
        <f>'1'!I46</f>
        <v>1672552</v>
      </c>
      <c r="J34" s="184">
        <f>'1'!J46</f>
        <v>1437090</v>
      </c>
    </row>
    <row r="35">
      <c r="A35" s="355" t="s">
        <v>443</v>
      </c>
      <c r="B35" s="184"/>
      <c r="C35" s="184">
        <f>SUM(C32:C34)</f>
        <v>48181606</v>
      </c>
      <c r="D35" s="184">
        <f>SUM(D32:D34)</f>
        <v>48576530</v>
      </c>
      <c r="E35" s="184">
        <f>SUM(E32:E34)</f>
        <v>51107141</v>
      </c>
      <c r="F35" s="184">
        <f>SUM(F32:F34)</f>
        <v>58473580</v>
      </c>
      <c r="G35" s="184">
        <f>SUM(G32:G34)</f>
        <v>50247918</v>
      </c>
      <c r="H35" s="184">
        <f>SUM(H32:H34)</f>
        <v>46444092</v>
      </c>
      <c r="I35" s="184">
        <f>SUM(I32:I34)</f>
        <v>33365697</v>
      </c>
      <c r="J35" s="184">
        <f>SUM(J32:J34)</f>
        <v>29772054</v>
      </c>
    </row>
    <row r="36">
      <c r="A36" s="78"/>
    </row>
    <row r="37">
      <c r="A37" s="66" t="s">
        <v>561</v>
      </c>
      <c r="I37" s="66"/>
      <c r="J37" s="66"/>
    </row>
    <row r="38" ht="16.199999999999999">
      <c r="A38" s="356" t="s">
        <v>562</v>
      </c>
      <c r="B38" s="294" t="str">
        <f>B31</f>
        <v>Обозначения</v>
      </c>
      <c r="C38" s="294" t="str">
        <f t="shared" ref="C38:I38" si="286">C31</f>
        <v>31.12.2019</v>
      </c>
      <c r="D38" s="294" t="str">
        <f t="shared" si="286"/>
        <v>31.12.2018</v>
      </c>
      <c r="E38" s="294" t="str">
        <f t="shared" si="286"/>
        <v>31.12.2017</v>
      </c>
      <c r="F38" s="294" t="str">
        <f t="shared" si="286"/>
        <v>31.12.2016</v>
      </c>
      <c r="G38" s="294" t="str">
        <f t="shared" si="286"/>
        <v>31.12.2015</v>
      </c>
      <c r="H38" s="294" t="str">
        <f t="shared" si="286"/>
        <v>31.12.2014</v>
      </c>
      <c r="I38" s="294" t="str">
        <f t="shared" si="286"/>
        <v>31.12.2013</v>
      </c>
      <c r="J38" s="294" t="str">
        <f>J31</f>
        <v>31.12.2012</v>
      </c>
    </row>
    <row r="39" ht="31.199999999999999">
      <c r="A39" s="182" t="s">
        <v>563</v>
      </c>
      <c r="B39" s="357" t="s">
        <v>564</v>
      </c>
      <c r="C39" s="184">
        <f>C32-C25</f>
        <v>21448415</v>
      </c>
      <c r="D39" s="184">
        <f>D32-D25</f>
        <v>31825852</v>
      </c>
      <c r="E39" s="184">
        <f>E32-E25</f>
        <v>28235137</v>
      </c>
      <c r="F39" s="184">
        <f>F32-F25</f>
        <v>35445787</v>
      </c>
      <c r="G39" s="184">
        <f>G32-G25</f>
        <v>35587081</v>
      </c>
      <c r="H39" s="184">
        <f>H32-H25</f>
        <v>23560533</v>
      </c>
      <c r="I39" s="184">
        <f>I32-I25</f>
        <v>14820857</v>
      </c>
      <c r="J39" s="184">
        <f>J32-J25</f>
        <v>8832494</v>
      </c>
    </row>
    <row r="40" ht="62.399999999999999">
      <c r="A40" s="182" t="s">
        <v>565</v>
      </c>
      <c r="B40" s="357" t="s">
        <v>566</v>
      </c>
      <c r="C40" s="184">
        <f>C26-C34</f>
        <v>-2698469</v>
      </c>
      <c r="D40" s="184">
        <f>D26-D34</f>
        <v>659822</v>
      </c>
      <c r="E40" s="184">
        <f>E26-E34</f>
        <v>731025</v>
      </c>
      <c r="F40" s="184">
        <f>F26-F34</f>
        <v>-454994</v>
      </c>
      <c r="G40" s="184">
        <f>G26-G34</f>
        <v>-1201466</v>
      </c>
      <c r="H40" s="184">
        <f>H26-H34</f>
        <v>2894</v>
      </c>
      <c r="I40" s="184">
        <f>I26-I34</f>
        <v>126680</v>
      </c>
      <c r="J40" s="184">
        <f>J26-J34</f>
        <v>502503</v>
      </c>
    </row>
    <row r="41" ht="46.799999999999997">
      <c r="A41" s="182" t="s">
        <v>567</v>
      </c>
      <c r="B41" s="357" t="s">
        <v>568</v>
      </c>
      <c r="C41" s="184">
        <f>C27-C33</f>
        <v>24146884</v>
      </c>
      <c r="D41" s="184">
        <f>D27-D33</f>
        <v>31166030</v>
      </c>
      <c r="E41" s="184">
        <f>E27-E33</f>
        <v>27504112</v>
      </c>
      <c r="F41" s="184">
        <f>F27-F33</f>
        <v>35900781</v>
      </c>
      <c r="G41" s="184">
        <f>G27-G33</f>
        <v>36788547</v>
      </c>
      <c r="H41" s="184">
        <f>H27-H33</f>
        <v>23557639</v>
      </c>
      <c r="I41" s="184">
        <f>I27-I33</f>
        <v>14694177</v>
      </c>
      <c r="J41" s="184">
        <f>J27-J33</f>
        <v>8329991</v>
      </c>
    </row>
    <row r="43">
      <c r="A43" s="66" t="s">
        <v>569</v>
      </c>
    </row>
    <row r="44" ht="16.199999999999999">
      <c r="A44" s="358"/>
    </row>
    <row r="45">
      <c r="A45" s="66" t="s">
        <v>551</v>
      </c>
      <c r="G45" s="66"/>
    </row>
    <row r="46" s="33" customFormat="1">
      <c r="A46" s="294" t="s">
        <v>6</v>
      </c>
      <c r="B46" s="294" t="str">
        <f>B38</f>
        <v>Обозначения</v>
      </c>
      <c r="C46" s="294" t="str">
        <f t="shared" ref="C46:I70" si="287">C38</f>
        <v>31.12.2019</v>
      </c>
      <c r="D46" s="294" t="str">
        <f t="shared" si="287"/>
        <v>31.12.2018</v>
      </c>
      <c r="E46" s="294" t="str">
        <f t="shared" si="287"/>
        <v>31.12.2017</v>
      </c>
      <c r="F46" s="294" t="str">
        <f t="shared" si="287"/>
        <v>31.12.2016</v>
      </c>
      <c r="G46" s="294" t="str">
        <f t="shared" si="287"/>
        <v>31.12.2015</v>
      </c>
      <c r="H46" s="294" t="str">
        <f t="shared" si="287"/>
        <v>31.12.2014</v>
      </c>
      <c r="I46" s="294" t="str">
        <f t="shared" si="287"/>
        <v>31.12.2013</v>
      </c>
      <c r="J46" s="294" t="str">
        <f>J38</f>
        <v>31.12.2012</v>
      </c>
    </row>
    <row r="47">
      <c r="A47" s="182" t="s">
        <v>553</v>
      </c>
      <c r="B47" s="318" t="s">
        <v>436</v>
      </c>
      <c r="C47" s="184">
        <f>'1'!C15</f>
        <v>19653099</v>
      </c>
      <c r="D47" s="184">
        <f>'1'!D15</f>
        <v>14471049</v>
      </c>
      <c r="E47" s="184">
        <f>'1'!E15</f>
        <v>19214316</v>
      </c>
      <c r="F47" s="184">
        <f>'1'!F15</f>
        <v>9072614</v>
      </c>
      <c r="G47" s="184">
        <f>'1'!G15</f>
        <v>10532937</v>
      </c>
      <c r="H47" s="184">
        <f>'1'!H15</f>
        <v>11206796</v>
      </c>
      <c r="I47" s="184">
        <f>'1'!I15</f>
        <v>16120696</v>
      </c>
      <c r="J47" s="184">
        <f>'1'!J15</f>
        <v>18800083</v>
      </c>
    </row>
    <row r="48" ht="31.199999999999999">
      <c r="A48" s="182" t="s">
        <v>554</v>
      </c>
      <c r="B48" s="318" t="s">
        <v>438</v>
      </c>
      <c r="C48" s="184">
        <f>'1'!C17+'1'!C18+'1'!C20+'1'!C22+'1'!C24</f>
        <v>22427144</v>
      </c>
      <c r="D48" s="184">
        <f>'1'!D17+'1'!D18+'1'!D20+'1'!D22+'1'!D24</f>
        <v>30000493</v>
      </c>
      <c r="E48" s="184">
        <f>'1'!E17+'1'!E18+'1'!E20+'1'!E22+'1'!E24</f>
        <v>25631779</v>
      </c>
      <c r="F48" s="184">
        <f>'1'!F17+'1'!F18+'1'!F20+'1'!F22+'1'!F24</f>
        <v>41147030</v>
      </c>
      <c r="G48" s="184">
        <f>'1'!G17+'1'!G18+'1'!G20+'1'!G22+'1'!G24</f>
        <v>27886115</v>
      </c>
      <c r="H48" s="184">
        <f>'1'!H17+'1'!H18+'1'!H20+'1'!H22+'1'!H24</f>
        <v>26256330</v>
      </c>
      <c r="I48" s="184">
        <f>'1'!I17+'1'!I18+'1'!I20+'1'!I22+'1'!I24</f>
        <v>14117010</v>
      </c>
      <c r="J48" s="184">
        <f>'1'!J17+'1'!J18+'1'!J20+'1'!J22+'1'!J24</f>
        <v>8262603</v>
      </c>
    </row>
    <row r="49">
      <c r="A49" s="182" t="s">
        <v>570</v>
      </c>
      <c r="B49" s="318" t="s">
        <v>440</v>
      </c>
      <c r="C49" s="184">
        <f>'1'!C21</f>
        <v>2703825</v>
      </c>
      <c r="D49" s="184">
        <f>'1'!D21</f>
        <v>3097566</v>
      </c>
      <c r="E49" s="184">
        <f>'1'!E21</f>
        <v>3139713</v>
      </c>
      <c r="F49" s="184">
        <f>'1'!F21</f>
        <v>3705802</v>
      </c>
      <c r="G49" s="184">
        <f>'1'!G21</f>
        <v>5173686</v>
      </c>
      <c r="H49" s="184">
        <f>'1'!H21</f>
        <v>5252945</v>
      </c>
      <c r="I49" s="184">
        <f>'1'!I21</f>
        <v>2618044</v>
      </c>
      <c r="J49" s="184">
        <f>'1'!J21</f>
        <v>1878256</v>
      </c>
    </row>
    <row r="50" ht="31.199999999999999">
      <c r="A50" s="182" t="s">
        <v>571</v>
      </c>
      <c r="B50" s="318" t="s">
        <v>442</v>
      </c>
      <c r="C50" s="184">
        <f>'1'!C23</f>
        <v>3397538</v>
      </c>
      <c r="D50" s="184">
        <f>'1'!D23</f>
        <v>1007422</v>
      </c>
      <c r="E50" s="184">
        <f>'1'!E23</f>
        <v>3121333</v>
      </c>
      <c r="F50" s="184">
        <f>'1'!F23</f>
        <v>4548134</v>
      </c>
      <c r="G50" s="184">
        <f>'1'!G23</f>
        <v>6655180</v>
      </c>
      <c r="H50" s="184">
        <f>'1'!H23</f>
        <v>3728021</v>
      </c>
      <c r="I50" s="184">
        <f>'1'!I23</f>
        <v>509947</v>
      </c>
      <c r="J50" s="184">
        <f>'1'!J23</f>
        <v>831112</v>
      </c>
    </row>
    <row r="51">
      <c r="A51" s="355" t="s">
        <v>443</v>
      </c>
      <c r="B51" s="318"/>
      <c r="C51" s="184">
        <f>SUM(C47:C50)</f>
        <v>48181606</v>
      </c>
      <c r="D51" s="184">
        <f>SUM(D47:D50)</f>
        <v>48576530</v>
      </c>
      <c r="E51" s="184">
        <f>SUM(E47:E50)</f>
        <v>51107141</v>
      </c>
      <c r="F51" s="184">
        <f>SUM(F47:F50)</f>
        <v>58473580</v>
      </c>
      <c r="G51" s="184">
        <f>SUM(G47:G50)</f>
        <v>50247918</v>
      </c>
      <c r="H51" s="184">
        <f>SUM(H47:H50)</f>
        <v>46444092</v>
      </c>
      <c r="I51" s="184">
        <f>SUM(I47:I50)</f>
        <v>33365697</v>
      </c>
      <c r="J51" s="184">
        <f>SUM(J47:J50)</f>
        <v>29772054</v>
      </c>
    </row>
    <row r="52">
      <c r="A52" s="77"/>
    </row>
    <row r="53">
      <c r="A53" s="77"/>
    </row>
    <row r="54" s="33" customFormat="1">
      <c r="A54" s="179" t="s">
        <v>36</v>
      </c>
      <c r="B54" s="294" t="str">
        <f>B46</f>
        <v>Обозначения</v>
      </c>
      <c r="C54" s="294" t="str">
        <f t="shared" si="287"/>
        <v>31.12.2019</v>
      </c>
      <c r="D54" s="294" t="str">
        <f t="shared" si="287"/>
        <v>31.12.2018</v>
      </c>
      <c r="E54" s="294" t="str">
        <f t="shared" si="287"/>
        <v>31.12.2017</v>
      </c>
      <c r="F54" s="294" t="str">
        <f t="shared" si="287"/>
        <v>31.12.2016</v>
      </c>
      <c r="G54" s="294" t="str">
        <f t="shared" si="287"/>
        <v>31.12.2015</v>
      </c>
      <c r="H54" s="294" t="str">
        <f t="shared" si="287"/>
        <v>31.12.2014</v>
      </c>
      <c r="I54" s="294" t="str">
        <f t="shared" si="287"/>
        <v>31.12.2013</v>
      </c>
      <c r="J54" s="294" t="str">
        <f>J46</f>
        <v>31.12.2012</v>
      </c>
    </row>
    <row r="55">
      <c r="A55" s="182" t="s">
        <v>572</v>
      </c>
      <c r="B55" s="318" t="s">
        <v>445</v>
      </c>
      <c r="C55" s="184">
        <f>'1'!C37+'1'!C47</f>
        <v>40426353</v>
      </c>
      <c r="D55" s="184">
        <f>'1'!D37+'1'!D47</f>
        <v>45744960</v>
      </c>
      <c r="E55" s="184">
        <f>'1'!E37+'1'!E47</f>
        <v>47029719</v>
      </c>
      <c r="F55" s="184">
        <f>'1'!F37+'1'!F47</f>
        <v>41256998</v>
      </c>
      <c r="G55" s="184">
        <f>'1'!G37+'1'!G47</f>
        <v>34912255</v>
      </c>
      <c r="H55" s="184">
        <f>'1'!H37+'1'!H47</f>
        <v>26137042</v>
      </c>
      <c r="I55" s="184">
        <f>'1'!I37+'1'!I47</f>
        <v>25907804</v>
      </c>
      <c r="J55" s="184">
        <f>'1'!J37+'1'!J47</f>
        <v>22064499</v>
      </c>
    </row>
    <row r="56">
      <c r="A56" s="182" t="s">
        <v>573</v>
      </c>
      <c r="B56" s="318" t="s">
        <v>447</v>
      </c>
      <c r="C56" s="184">
        <f>'1'!C43</f>
        <v>675161</v>
      </c>
      <c r="D56" s="184">
        <f>'1'!D43</f>
        <v>551941</v>
      </c>
      <c r="E56" s="184">
        <f>'1'!E43</f>
        <v>419734</v>
      </c>
      <c r="F56" s="184">
        <f>'1'!F43</f>
        <v>3261403</v>
      </c>
      <c r="G56" s="184">
        <f>'1'!G43</f>
        <v>11207763</v>
      </c>
      <c r="H56" s="184">
        <f>'1'!H43</f>
        <v>8630287</v>
      </c>
      <c r="I56" s="184">
        <f>'1'!I43</f>
        <v>5033749</v>
      </c>
      <c r="J56" s="184">
        <f>'1'!J43</f>
        <v>5568078</v>
      </c>
    </row>
    <row r="57">
      <c r="A57" s="182" t="s">
        <v>559</v>
      </c>
      <c r="B57" s="318" t="s">
        <v>449</v>
      </c>
      <c r="C57" s="184">
        <f>'1'!C45+'1'!C48+'1'!C49</f>
        <v>262739</v>
      </c>
      <c r="D57" s="184">
        <f>'1'!D45+'1'!D48+'1'!D49</f>
        <v>252310</v>
      </c>
      <c r="E57" s="184">
        <f>'1'!E45+'1'!E48+'1'!E49</f>
        <v>1092440</v>
      </c>
      <c r="F57" s="184">
        <f>'1'!F45+'1'!F48+'1'!F49</f>
        <v>10944299</v>
      </c>
      <c r="G57" s="184">
        <f>'1'!G45+'1'!G48+'1'!G49</f>
        <v>176222</v>
      </c>
      <c r="H57" s="184">
        <f>'1'!H45+'1'!H48+'1'!H49</f>
        <v>9675310</v>
      </c>
      <c r="I57" s="184">
        <f>'1'!I45+'1'!I48+'1'!I49</f>
        <v>751592</v>
      </c>
      <c r="J57" s="184">
        <f>'1'!J45+'1'!J48+'1'!J49</f>
        <v>702387</v>
      </c>
    </row>
    <row r="58" ht="31.199999999999999">
      <c r="A58" s="182" t="s">
        <v>560</v>
      </c>
      <c r="B58" s="318" t="s">
        <v>451</v>
      </c>
      <c r="C58" s="184">
        <f>'1'!C46</f>
        <v>6817353</v>
      </c>
      <c r="D58" s="184">
        <f>'1'!D46</f>
        <v>2027319</v>
      </c>
      <c r="E58" s="184">
        <f>'1'!E46</f>
        <v>2565248</v>
      </c>
      <c r="F58" s="184">
        <f>'1'!F46</f>
        <v>3010880</v>
      </c>
      <c r="G58" s="184">
        <f>'1'!G46</f>
        <v>3951678</v>
      </c>
      <c r="H58" s="184">
        <f>'1'!H46</f>
        <v>2001453</v>
      </c>
      <c r="I58" s="184">
        <f>'1'!I46</f>
        <v>1672552</v>
      </c>
      <c r="J58" s="184">
        <f>'1'!J46</f>
        <v>1437090</v>
      </c>
    </row>
    <row r="59">
      <c r="A59" s="355" t="s">
        <v>443</v>
      </c>
      <c r="B59" s="318"/>
      <c r="C59" s="184">
        <f>SUM(C55:C58)</f>
        <v>48181606</v>
      </c>
      <c r="D59" s="184">
        <f>SUM(D55:D58)</f>
        <v>48576530</v>
      </c>
      <c r="E59" s="184">
        <f>SUM(E55:E58)</f>
        <v>51107141</v>
      </c>
      <c r="F59" s="184">
        <f>SUM(F55:F58)</f>
        <v>58473580</v>
      </c>
      <c r="G59" s="184">
        <f>SUM(G55:G58)</f>
        <v>50247918</v>
      </c>
      <c r="H59" s="184">
        <f>SUM(H55:H58)</f>
        <v>46444092</v>
      </c>
      <c r="I59" s="184">
        <f>SUM(I55:I58)</f>
        <v>33365697</v>
      </c>
      <c r="J59" s="184">
        <f>SUM(J55:J58)</f>
        <v>29772054</v>
      </c>
    </row>
    <row r="60">
      <c r="I60" s="66"/>
    </row>
    <row r="61">
      <c r="A61" s="66" t="s">
        <v>574</v>
      </c>
      <c r="I61" s="66"/>
    </row>
    <row r="62" s="33" customFormat="1" ht="16.199999999999999">
      <c r="A62" s="356" t="s">
        <v>562</v>
      </c>
      <c r="B62" s="294" t="str">
        <f>B54</f>
        <v>Обозначения</v>
      </c>
      <c r="C62" s="294" t="str">
        <f t="shared" si="287"/>
        <v>31.12.2019</v>
      </c>
      <c r="D62" s="294" t="str">
        <f t="shared" si="287"/>
        <v>31.12.2018</v>
      </c>
      <c r="E62" s="294" t="str">
        <f t="shared" si="287"/>
        <v>31.12.2017</v>
      </c>
      <c r="F62" s="294" t="str">
        <f t="shared" si="287"/>
        <v>31.12.2016</v>
      </c>
      <c r="G62" s="294" t="str">
        <f t="shared" si="287"/>
        <v>31.12.2015</v>
      </c>
      <c r="H62" s="294" t="str">
        <f t="shared" si="287"/>
        <v>31.12.2014</v>
      </c>
      <c r="I62" s="294" t="str">
        <f t="shared" si="287"/>
        <v>31.12.2013</v>
      </c>
      <c r="J62" s="294" t="str">
        <f>J54</f>
        <v>31.12.2012</v>
      </c>
    </row>
    <row r="63">
      <c r="A63" s="182" t="s">
        <v>575</v>
      </c>
      <c r="B63" s="318" t="s">
        <v>576</v>
      </c>
      <c r="C63" s="184">
        <f>C55-C47</f>
        <v>20773254</v>
      </c>
      <c r="D63" s="184">
        <f>D55-D47</f>
        <v>31273911</v>
      </c>
      <c r="E63" s="184">
        <f>E55-E47</f>
        <v>27815403</v>
      </c>
      <c r="F63" s="184">
        <f>F55-F47</f>
        <v>32184384</v>
      </c>
      <c r="G63" s="184">
        <f>G55-G47</f>
        <v>24379318</v>
      </c>
      <c r="H63" s="184">
        <f>H55-H47</f>
        <v>14930246</v>
      </c>
      <c r="I63" s="184">
        <f>I55-I47</f>
        <v>9787108</v>
      </c>
      <c r="J63" s="184">
        <f>J55-J47</f>
        <v>3264416</v>
      </c>
    </row>
    <row r="64" ht="46.799999999999997">
      <c r="A64" s="182" t="s">
        <v>577</v>
      </c>
      <c r="B64" s="318" t="s">
        <v>578</v>
      </c>
      <c r="C64" s="184">
        <f t="shared" ref="C64:C66" si="288">C48-C56</f>
        <v>21751983</v>
      </c>
      <c r="D64" s="184">
        <f t="shared" ref="D64:D66" si="289">D48-D56</f>
        <v>29448552</v>
      </c>
      <c r="E64" s="184">
        <f t="shared" ref="E64:E66" si="290">E48-E56</f>
        <v>25212045</v>
      </c>
      <c r="F64" s="184">
        <f t="shared" ref="F64:F66" si="291">F48-F56</f>
        <v>37885627</v>
      </c>
      <c r="G64" s="184">
        <f t="shared" ref="G64:G66" si="292">G48-G56</f>
        <v>16678352</v>
      </c>
      <c r="H64" s="184">
        <f t="shared" ref="H64:H66" si="293">H48-H56</f>
        <v>17626043</v>
      </c>
      <c r="I64" s="184">
        <f t="shared" ref="I64:I66" si="294">I48-I56</f>
        <v>9083261</v>
      </c>
      <c r="J64" s="184">
        <f t="shared" ref="J64:J66" si="295">J48-J56</f>
        <v>2694525</v>
      </c>
    </row>
    <row r="65" ht="30">
      <c r="A65" s="182" t="s">
        <v>579</v>
      </c>
      <c r="B65" s="318" t="s">
        <v>580</v>
      </c>
      <c r="C65" s="184">
        <f t="shared" si="288"/>
        <v>2441086</v>
      </c>
      <c r="D65" s="184">
        <f t="shared" si="289"/>
        <v>2845256</v>
      </c>
      <c r="E65" s="184">
        <f t="shared" si="290"/>
        <v>2047273</v>
      </c>
      <c r="F65" s="184">
        <f t="shared" si="291"/>
        <v>-7238497</v>
      </c>
      <c r="G65" s="184">
        <f t="shared" si="292"/>
        <v>4997464</v>
      </c>
      <c r="H65" s="184">
        <f t="shared" si="293"/>
        <v>-4422365</v>
      </c>
      <c r="I65" s="184">
        <f t="shared" si="294"/>
        <v>1866452</v>
      </c>
      <c r="J65" s="184">
        <f t="shared" si="295"/>
        <v>1175869</v>
      </c>
    </row>
    <row r="66" ht="48" customHeight="1">
      <c r="A66" s="182" t="s">
        <v>581</v>
      </c>
      <c r="B66" s="318" t="s">
        <v>582</v>
      </c>
      <c r="C66" s="184">
        <f t="shared" si="288"/>
        <v>-3419815</v>
      </c>
      <c r="D66" s="184">
        <f t="shared" si="289"/>
        <v>-1019897</v>
      </c>
      <c r="E66" s="184">
        <f t="shared" si="290"/>
        <v>556085</v>
      </c>
      <c r="F66" s="184">
        <f t="shared" si="291"/>
        <v>1537254</v>
      </c>
      <c r="G66" s="184">
        <f t="shared" si="292"/>
        <v>2703502</v>
      </c>
      <c r="H66" s="184">
        <f t="shared" si="293"/>
        <v>1726568</v>
      </c>
      <c r="I66" s="184">
        <f t="shared" si="294"/>
        <v>-1162605</v>
      </c>
      <c r="J66" s="184">
        <f t="shared" si="295"/>
        <v>-605978</v>
      </c>
    </row>
    <row r="68" ht="15">
      <c r="A68" s="344" t="s">
        <v>583</v>
      </c>
    </row>
    <row r="69" s="198" customFormat="1" ht="15">
      <c r="A69" s="207" t="s">
        <v>584</v>
      </c>
      <c r="D69" s="219"/>
    </row>
    <row r="70" s="336" customFormat="1" ht="15">
      <c r="A70" s="359" t="s">
        <v>177</v>
      </c>
      <c r="B70" s="209" t="s">
        <v>585</v>
      </c>
      <c r="C70" s="360" t="str">
        <f t="shared" si="287"/>
        <v>31.12.2019</v>
      </c>
      <c r="D70" s="360" t="str">
        <f t="shared" ref="D70:I70" si="296">D62</f>
        <v>31.12.2018</v>
      </c>
      <c r="E70" s="360" t="str">
        <f t="shared" si="296"/>
        <v>31.12.2017</v>
      </c>
      <c r="F70" s="360" t="str">
        <f t="shared" si="296"/>
        <v>31.12.2016</v>
      </c>
      <c r="G70" s="360" t="str">
        <f t="shared" si="296"/>
        <v>31.12.2015</v>
      </c>
      <c r="H70" s="360" t="str">
        <f t="shared" si="296"/>
        <v>31.12.2014</v>
      </c>
      <c r="I70" s="360" t="str">
        <f t="shared" si="296"/>
        <v>31.12.2013</v>
      </c>
      <c r="J70" s="360" t="str">
        <f>J62</f>
        <v>31.12.2012</v>
      </c>
    </row>
    <row r="71" s="198" customFormat="1" ht="15">
      <c r="A71" s="211" t="s">
        <v>586</v>
      </c>
      <c r="B71" s="361">
        <v>1</v>
      </c>
      <c r="C71" s="362">
        <f>(C50+0.5*C49+0.3*C48)/(C56+0.5*C57+0.3*C58)</f>
        <v>4.0247737133067414</v>
      </c>
      <c r="D71" s="363">
        <f>(D50+0.5*D49+0.3*D48)/(D56+0.5*D57+0.3*D58)</f>
        <v>8.9842396557483823</v>
      </c>
      <c r="E71" s="362">
        <f>(E50+0.5*E49+0.3*E48)/(E56+0.5*E57+0.3*E58)</f>
        <v>7.1336909266365218</v>
      </c>
      <c r="F71" s="363">
        <f>(F50+0.5*F49+0.3*F48)/(F56+0.5*F57+0.3*F58)</f>
        <v>1.9451593791372908</v>
      </c>
      <c r="G71" s="362">
        <f>(G50+0.5*G49+0.3*G48)/(G56+0.5*G57+0.3*G58)</f>
        <v>1.4107303173125747</v>
      </c>
      <c r="H71" s="363">
        <f>(H50+0.5*H49+0.3*H48)/(H56+0.5*H57+0.3*H58)</f>
        <v>1.0115873060248117</v>
      </c>
      <c r="I71" s="362">
        <f>(I50+0.5*I49+0.3*I48)/(I56+0.5*I57+0.3*I58)</f>
        <v>1.0241505496260002</v>
      </c>
      <c r="J71" s="363">
        <f>(J50+0.5*J49+0.3*J48)/(J56+0.5*J57+0.3*J58)</f>
        <v>0.66909515993366409</v>
      </c>
    </row>
    <row r="72" s="198" customFormat="1" ht="15">
      <c r="A72" s="341" t="s">
        <v>587</v>
      </c>
      <c r="B72" s="361">
        <v>0.050000000000000003</v>
      </c>
      <c r="C72" s="363">
        <f>C50/C58</f>
        <v>0.49836615472310147</v>
      </c>
      <c r="D72" s="362">
        <f>D50/D58</f>
        <v>0.49692327650458562</v>
      </c>
      <c r="E72" s="363">
        <f>E50/E58</f>
        <v>1.2167763116860437</v>
      </c>
      <c r="F72" s="362">
        <f>F50/F58</f>
        <v>1.5105663460516527</v>
      </c>
      <c r="G72" s="363">
        <f>G50/G58</f>
        <v>1.684140256367042</v>
      </c>
      <c r="H72" s="362">
        <f>H50/H58</f>
        <v>1.8626572794864531</v>
      </c>
      <c r="I72" s="363">
        <f>I50/I58</f>
        <v>0.30489156689896635</v>
      </c>
      <c r="J72" s="363">
        <f>J50/J58</f>
        <v>0.57832981928758809</v>
      </c>
    </row>
    <row r="73" s="198" customFormat="1" ht="15">
      <c r="A73" s="341" t="s">
        <v>588</v>
      </c>
      <c r="B73" s="361">
        <v>0.69999999999999996</v>
      </c>
      <c r="C73" s="362">
        <f>(C50+C49)/C58</f>
        <v>0.89497536653888976</v>
      </c>
      <c r="D73" s="363">
        <f>(D50+D49)/D58</f>
        <v>2.0248357559910404</v>
      </c>
      <c r="E73" s="362">
        <f>(E50+E49)/E58</f>
        <v>2.4407176226236218</v>
      </c>
      <c r="F73" s="363">
        <f>(F50+F49)/F58</f>
        <v>2.7413699649271974</v>
      </c>
      <c r="G73" s="362">
        <f>(G50+G49)/G58</f>
        <v>2.9933780029648163</v>
      </c>
      <c r="H73" s="363">
        <f>(H50+H49)/H58</f>
        <v>4.4872230324669129</v>
      </c>
      <c r="I73" s="362">
        <f>(I50+I49)/I58</f>
        <v>1.8701905830132635</v>
      </c>
      <c r="J73" s="363">
        <f>(J50+J49)/J58</f>
        <v>1.885315463888831</v>
      </c>
    </row>
    <row r="74" s="198" customFormat="1" ht="15">
      <c r="A74" s="341" t="s">
        <v>589</v>
      </c>
      <c r="B74" s="361">
        <v>1.5</v>
      </c>
      <c r="C74" s="363">
        <f>'1'!C25/'1'!C50</f>
        <v>4.0250424923103276</v>
      </c>
      <c r="D74" s="363">
        <f>'1'!D25/'1'!D50</f>
        <v>14.954903959781721</v>
      </c>
      <c r="E74" s="363">
        <f>'1'!E25/'1'!E50</f>
        <v>8.7168088864764233</v>
      </c>
      <c r="F74" s="363">
        <f>'1'!F25/'1'!F50</f>
        <v>3.5396581201357971</v>
      </c>
      <c r="G74" s="363">
        <f>'1'!G25/'1'!G50</f>
        <v>9.617841316076829</v>
      </c>
      <c r="H74" s="363">
        <f>'1'!H25/'1'!H50</f>
        <v>3.0173244878867473</v>
      </c>
      <c r="I74" s="363">
        <f>'1'!I25/'1'!I50</f>
        <v>7.1088019701005747</v>
      </c>
      <c r="J74" s="363">
        <f>'1'!J25/'1'!J50</f>
        <v>5.1231511291553922</v>
      </c>
    </row>
    <row r="75" s="198" customFormat="1">
      <c r="B75" s="364"/>
      <c r="C75" s="365"/>
      <c r="D75" s="365"/>
    </row>
    <row r="76" s="198" customFormat="1" ht="15">
      <c r="A76" s="207" t="s">
        <v>590</v>
      </c>
      <c r="B76" s="364"/>
      <c r="C76" s="365"/>
      <c r="D76" s="365"/>
    </row>
    <row r="77" s="207" customFormat="1" ht="15">
      <c r="A77" s="359" t="s">
        <v>177</v>
      </c>
      <c r="B77" s="366" t="str">
        <f>B70</f>
        <v>норматив</v>
      </c>
      <c r="C77" s="366" t="str">
        <f t="shared" ref="C77:I77" si="297">C70</f>
        <v>31.12.2019</v>
      </c>
      <c r="D77" s="366" t="str">
        <f t="shared" si="297"/>
        <v>31.12.2018</v>
      </c>
      <c r="E77" s="366" t="str">
        <f t="shared" si="297"/>
        <v>31.12.2017</v>
      </c>
      <c r="F77" s="366" t="str">
        <f t="shared" si="297"/>
        <v>31.12.2016</v>
      </c>
      <c r="G77" s="366" t="str">
        <f t="shared" si="297"/>
        <v>31.12.2015</v>
      </c>
      <c r="H77" s="366" t="str">
        <f t="shared" si="297"/>
        <v>31.12.2014</v>
      </c>
      <c r="I77" s="366" t="str">
        <f t="shared" si="297"/>
        <v>31.12.2013</v>
      </c>
      <c r="J77" s="366" t="str">
        <f>J70</f>
        <v>31.12.2012</v>
      </c>
    </row>
    <row r="78" s="198" customFormat="1" ht="15">
      <c r="A78" s="367" t="s">
        <v>513</v>
      </c>
      <c r="B78" s="368">
        <v>0.5</v>
      </c>
      <c r="C78" s="369">
        <f>'1'!C37/'1'!C26</f>
        <v>0.8388822074548532</v>
      </c>
      <c r="D78" s="369">
        <f>'1'!D37/'1'!D26</f>
        <v>0.94169003014418695</v>
      </c>
      <c r="E78" s="369">
        <f>'1'!E37/'1'!E26</f>
        <v>0.92019692512245987</v>
      </c>
      <c r="F78" s="369">
        <f>'1'!F37/'1'!F26</f>
        <v>0.70554520520207586</v>
      </c>
      <c r="G78" s="369">
        <f>'1'!G37/'1'!G26</f>
        <v>0.69477210976184123</v>
      </c>
      <c r="H78" s="369">
        <f>'1'!H37/'1'!H26</f>
        <v>0.56272991621840729</v>
      </c>
      <c r="I78" s="369">
        <f>'1'!I37/'1'!I26</f>
        <v>0.77642861769079785</v>
      </c>
      <c r="J78" s="369">
        <f>'1'!J37/'1'!J26</f>
        <v>0.74104161573803407</v>
      </c>
    </row>
    <row r="79" s="198" customFormat="1" ht="15">
      <c r="A79" s="367" t="s">
        <v>591</v>
      </c>
      <c r="B79" s="368">
        <v>0.69999999999999996</v>
      </c>
      <c r="C79" s="369">
        <f>('1'!C37+'1'!C43)/'1'!C26</f>
        <v>0.85289504463591359</v>
      </c>
      <c r="D79" s="369">
        <f>('1'!D37+'1'!D43)/'1'!D26</f>
        <v>0.95305232794520311</v>
      </c>
      <c r="E79" s="369">
        <f>('1'!E37+'1'!E43)/'1'!E26</f>
        <v>0.92840975001908244</v>
      </c>
      <c r="F79" s="369">
        <f>('1'!F37+'1'!F43)/'1'!F26</f>
        <v>0.76132087346114263</v>
      </c>
      <c r="G79" s="369">
        <f>('1'!G37+'1'!G43)/'1'!G26</f>
        <v>0.91782141102841319</v>
      </c>
      <c r="H79" s="369">
        <f>('1'!H37+'1'!H43)/'1'!H26</f>
        <v>0.74855090287910031</v>
      </c>
      <c r="I79" s="369">
        <f>('1'!I37+'1'!I43)/'1'!I26</f>
        <v>0.92729461038982641</v>
      </c>
      <c r="J79" s="369">
        <f>('1'!J37+'1'!J43)/'1'!J26</f>
        <v>0.92806525878261537</v>
      </c>
    </row>
    <row r="80" s="198" customFormat="1" ht="30">
      <c r="A80" s="367" t="s">
        <v>592</v>
      </c>
      <c r="B80" s="368">
        <f>2/3</f>
        <v>0.66666666666666663</v>
      </c>
      <c r="C80" s="369">
        <f>('1'!C39+'1'!C45)/'1'!C37</f>
        <v>0</v>
      </c>
      <c r="D80" s="369">
        <f>('1'!D39+'1'!D45)/'1'!D37</f>
        <v>0</v>
      </c>
      <c r="E80" s="369">
        <f>('1'!E39+'1'!E45)/'1'!E37</f>
        <v>0.018425816918263033</v>
      </c>
      <c r="F80" s="369">
        <f>('1'!F39+'1'!F45)/'1'!F37</f>
        <v>0.33271984315206066</v>
      </c>
      <c r="G80" s="369">
        <f>('1'!G39+'1'!G45)/'1'!G37</f>
        <v>0.31359160183200341</v>
      </c>
      <c r="H80" s="369">
        <f>('1'!H39+'1'!H45)/'1'!H37</f>
        <v>0.68943711766533466</v>
      </c>
      <c r="I80" s="369">
        <f>('1'!I39+'1'!I45)/'1'!I37</f>
        <v>0.21489679527764946</v>
      </c>
      <c r="J80" s="369">
        <f>('1'!J39+'1'!J45)/'1'!J37</f>
        <v>0.27431339870660087</v>
      </c>
    </row>
    <row r="81" s="198" customFormat="1" ht="30">
      <c r="A81" s="367" t="s">
        <v>593</v>
      </c>
      <c r="B81" s="368">
        <v>0.10000000000000001</v>
      </c>
      <c r="C81" s="369">
        <f>('1'!C37-'1'!C15)/'1'!C25</f>
        <v>0.72788923023556751</v>
      </c>
      <c r="D81" s="369">
        <f>('1'!D37-'1'!D15)/'1'!D25</f>
        <v>0.91694895022885037</v>
      </c>
      <c r="E81" s="369">
        <f>('1'!E37-'1'!E15)/'1'!E25</f>
        <v>0.87211835263887727</v>
      </c>
      <c r="F81" s="369">
        <f>('1'!F37-'1'!F15)/'1'!F25</f>
        <v>0.65146782757244059</v>
      </c>
      <c r="G81" s="369">
        <f>('1'!G37-'1'!G15)/'1'!G25</f>
        <v>0.61382164579154652</v>
      </c>
      <c r="H81" s="369">
        <f>('1'!H37-'1'!H15)/'1'!H25</f>
        <v>0.42366145234299474</v>
      </c>
      <c r="I81" s="369">
        <f>('1'!I37-'1'!I15)/'1'!I25</f>
        <v>0.56743319411810988</v>
      </c>
      <c r="J81" s="369">
        <f>('1'!J37-'1'!J15)/'1'!J25</f>
        <v>0.29732561269073715</v>
      </c>
    </row>
    <row r="82" s="198" customFormat="1" ht="30">
      <c r="A82" s="367" t="s">
        <v>594</v>
      </c>
      <c r="B82" s="368">
        <v>1</v>
      </c>
      <c r="C82" s="369">
        <f>('1'!C37+'1'!C43-'1'!C15)/'1'!C17</f>
        <v>6.3826280737643915</v>
      </c>
      <c r="D82" s="369">
        <f>('1'!D37+'1'!D43-'1'!D15)/'1'!D17</f>
        <v>12.96807990882186</v>
      </c>
      <c r="E82" s="369">
        <f>('1'!E37+'1'!E43-'1'!E15)/'1'!E17</f>
        <v>10.88375176888588</v>
      </c>
      <c r="F82" s="369">
        <f>('1'!F37+'1'!F43-'1'!F15)/'1'!F17</f>
        <v>16.23280603321345</v>
      </c>
      <c r="G82" s="369">
        <f>('1'!G37+'1'!G43-'1'!G15)/'1'!G17</f>
        <v>18.049466312024361</v>
      </c>
      <c r="H82" s="369">
        <f>('1'!H37+'1'!H43-'1'!H15)/'1'!H17</f>
        <v>14.130030144581232</v>
      </c>
      <c r="I82" s="369">
        <f>('1'!I37+'1'!I43-'1'!I15)/'1'!I17</f>
        <v>9.8420497895989634</v>
      </c>
      <c r="J82" s="369">
        <f>('1'!J37+'1'!J43-'1'!J15)/'1'!J17</f>
        <v>4.8752312612801125</v>
      </c>
    </row>
    <row r="83" s="198" customFormat="1" ht="45">
      <c r="A83" s="367" t="s">
        <v>595</v>
      </c>
      <c r="B83" s="368">
        <v>0.10000000000000001</v>
      </c>
      <c r="C83" s="369">
        <f>('1'!C37-'1'!C15)/'1'!C37</f>
        <v>0.51376212273271982</v>
      </c>
      <c r="D83" s="369">
        <f>('1'!D37-'1'!D15)/'1'!D37</f>
        <v>0.68365166482693673</v>
      </c>
      <c r="E83" s="369">
        <f>('1'!E37-'1'!E15)/'1'!E37</f>
        <v>0.59143367846916417</v>
      </c>
      <c r="F83" s="369">
        <f>('1'!F37-'1'!F15)/'1'!F37</f>
        <v>0.78008851807677537</v>
      </c>
      <c r="G83" s="369">
        <f>('1'!G37-'1'!G15)/'1'!G37</f>
        <v>0.69829046280509</v>
      </c>
      <c r="H83" s="369">
        <f>('1'!H37-'1'!H15)/'1'!H37</f>
        <v>0.57120374295784893</v>
      </c>
      <c r="I83" s="369">
        <f>('1'!I37-'1'!I15)/'1'!I37</f>
        <v>0.37772543142571696</v>
      </c>
      <c r="J83" s="369">
        <f>('1'!J37-'1'!J15)/'1'!J37</f>
        <v>0.14786506466610441</v>
      </c>
    </row>
    <row r="84" s="198" customFormat="1">
      <c r="A84" s="370"/>
      <c r="B84" s="371"/>
      <c r="C84" s="206"/>
      <c r="D84" s="206"/>
    </row>
    <row r="86" s="198" customFormat="1" ht="15">
      <c r="A86" s="207" t="s">
        <v>596</v>
      </c>
      <c r="B86" s="371"/>
      <c r="C86" s="206"/>
      <c r="D86" s="206"/>
    </row>
    <row r="87" s="207" customFormat="1" ht="15">
      <c r="A87" s="359" t="s">
        <v>177</v>
      </c>
      <c r="B87" s="327" t="str">
        <f>C77</f>
        <v>31.12.2019</v>
      </c>
      <c r="C87" s="327" t="str">
        <f t="shared" ref="C87:H87" si="298">D77</f>
        <v>31.12.2018</v>
      </c>
      <c r="D87" s="327" t="str">
        <f t="shared" si="298"/>
        <v>31.12.2017</v>
      </c>
      <c r="E87" s="327" t="str">
        <f t="shared" si="298"/>
        <v>31.12.2016</v>
      </c>
      <c r="F87" s="327" t="str">
        <f t="shared" si="298"/>
        <v>31.12.2015</v>
      </c>
      <c r="G87" s="327" t="str">
        <f t="shared" si="298"/>
        <v>31.12.2014</v>
      </c>
      <c r="H87" s="327" t="str">
        <f t="shared" si="298"/>
        <v>31.12.2013</v>
      </c>
      <c r="I87" s="327" t="str">
        <f>J77</f>
        <v>31.12.2012</v>
      </c>
    </row>
    <row r="88" s="198" customFormat="1" ht="30">
      <c r="A88" s="367" t="s">
        <v>597</v>
      </c>
      <c r="B88" s="372"/>
      <c r="C88" s="372"/>
      <c r="D88" s="372"/>
      <c r="E88" s="372"/>
      <c r="F88" s="372"/>
      <c r="G88" s="372"/>
      <c r="H88" s="372"/>
      <c r="I88" s="372"/>
    </row>
    <row r="89" s="198" customFormat="1" ht="30">
      <c r="A89" s="367" t="s">
        <v>598</v>
      </c>
      <c r="B89" s="372"/>
      <c r="C89" s="372"/>
      <c r="D89" s="372"/>
      <c r="E89" s="372"/>
      <c r="F89" s="372"/>
      <c r="G89" s="372"/>
      <c r="H89" s="372"/>
      <c r="I89" s="372"/>
    </row>
    <row r="90" s="198" customFormat="1" ht="30">
      <c r="A90" s="367" t="s">
        <v>599</v>
      </c>
      <c r="B90" s="372"/>
      <c r="C90" s="372"/>
      <c r="D90" s="372"/>
      <c r="E90" s="372"/>
      <c r="F90" s="372"/>
      <c r="G90" s="372"/>
      <c r="H90" s="372"/>
      <c r="I90" s="372"/>
    </row>
  </sheetData>
  <printOptions headings="0" gridLines="0"/>
  <pageMargins left="0.75" right="0.75" top="1" bottom="1" header="0.5" footer="0.5"/>
  <pageSetup paperSize="9" scale="10" fitToWidth="1" fitToHeight="1" pageOrder="downThenOver" orientation="portrait" usePrinterDefaults="1" blackAndWhite="0" draft="0" cellComments="none" useFirstPageNumber="0" errors="displayed" horizontalDpi="4294967293" verticalDpi="6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O19" activeCellId="0" sqref="O19"/>
    </sheetView>
  </sheetViews>
  <sheetFormatPr defaultColWidth="9.109375" defaultRowHeight="15.6"/>
  <cols>
    <col customWidth="1" min="1" max="1" style="64" width="30.5546875"/>
    <col customWidth="1" min="2" max="32" style="64" width="16.6640625"/>
    <col customWidth="1" min="33" max="38" style="64" width="17"/>
    <col min="39" max="16384" style="64" width="9.109375"/>
  </cols>
  <sheetData>
    <row r="1">
      <c r="A1" s="66" t="s">
        <v>600</v>
      </c>
    </row>
    <row r="2">
      <c r="A2" s="66"/>
    </row>
    <row r="3">
      <c r="A3" s="66" t="s">
        <v>601</v>
      </c>
    </row>
    <row r="4" s="198" customFormat="1" ht="15.75" customHeight="1">
      <c r="A4" s="179" t="s">
        <v>177</v>
      </c>
      <c r="B4" s="179" t="s">
        <v>421</v>
      </c>
      <c r="C4" s="179"/>
      <c r="D4" s="179"/>
      <c r="E4" s="179"/>
      <c r="F4" s="179"/>
      <c r="G4" s="179"/>
      <c r="H4" s="179"/>
      <c r="I4" s="179"/>
      <c r="J4" s="316" t="s">
        <v>422</v>
      </c>
      <c r="K4" s="316"/>
      <c r="L4" s="316"/>
      <c r="M4" s="316"/>
      <c r="N4" s="316"/>
      <c r="O4" s="316"/>
      <c r="P4" s="316"/>
      <c r="Q4" s="316"/>
      <c r="R4" s="373" t="s">
        <v>516</v>
      </c>
      <c r="S4" s="374"/>
      <c r="T4" s="374"/>
      <c r="U4" s="374"/>
      <c r="V4" s="374"/>
      <c r="W4" s="374"/>
      <c r="X4" s="374"/>
      <c r="Y4" s="374"/>
      <c r="Z4" s="374"/>
      <c r="AA4" s="374"/>
      <c r="AB4" s="374"/>
      <c r="AC4" s="374"/>
      <c r="AD4" s="374"/>
      <c r="AE4" s="374"/>
      <c r="AF4" s="374"/>
      <c r="AG4" s="374"/>
      <c r="AH4" s="374"/>
      <c r="AI4" s="374"/>
      <c r="AJ4" s="374"/>
      <c r="AK4" s="374"/>
      <c r="AL4" s="375"/>
    </row>
    <row r="5" s="216" customFormat="1">
      <c r="A5" s="179"/>
      <c r="B5" s="179"/>
      <c r="C5" s="179"/>
      <c r="D5" s="179"/>
      <c r="E5" s="179"/>
      <c r="F5" s="179"/>
      <c r="G5" s="179"/>
      <c r="H5" s="179"/>
      <c r="I5" s="179"/>
      <c r="J5" s="316"/>
      <c r="K5" s="316"/>
      <c r="L5" s="316"/>
      <c r="M5" s="316"/>
      <c r="N5" s="316"/>
      <c r="O5" s="316"/>
      <c r="P5" s="316"/>
      <c r="Q5" s="316"/>
      <c r="R5" s="210" t="e">
        <f>аб!#REF!</f>
        <v>#REF!</v>
      </c>
      <c r="S5" s="210"/>
      <c r="T5" s="210"/>
      <c r="U5" s="210" t="e">
        <f>аб!#REF!</f>
        <v>#REF!</v>
      </c>
      <c r="V5" s="210"/>
      <c r="W5" s="210"/>
      <c r="X5" s="210" t="e">
        <f>аб!#REF!</f>
        <v>#REF!</v>
      </c>
      <c r="Y5" s="210"/>
      <c r="Z5" s="210"/>
      <c r="AA5" s="210" t="e">
        <f>аб!#REF!</f>
        <v>#REF!</v>
      </c>
      <c r="AB5" s="210"/>
      <c r="AC5" s="210"/>
      <c r="AD5" s="210" t="e">
        <f>аб!#REF!</f>
        <v>#REF!</v>
      </c>
      <c r="AE5" s="210"/>
      <c r="AF5" s="210"/>
      <c r="AG5" s="210" t="e">
        <f>аб!#REF!</f>
        <v>#REF!</v>
      </c>
      <c r="AH5" s="210"/>
      <c r="AI5" s="210"/>
      <c r="AJ5" s="210" t="e">
        <f>аб!#REF!</f>
        <v>#REF!</v>
      </c>
      <c r="AK5" s="210"/>
      <c r="AL5" s="210"/>
    </row>
    <row r="6" s="216" customFormat="1" ht="31.199999999999999">
      <c r="A6" s="179"/>
      <c r="B6" s="316" t="str">
        <f>B29</f>
        <v>31.12.2019</v>
      </c>
      <c r="C6" s="316" t="str">
        <f t="shared" ref="C6:AL6" si="299">C29</f>
        <v>31.12.2018</v>
      </c>
      <c r="D6" s="316" t="str">
        <f t="shared" si="299"/>
        <v>31.12.2017</v>
      </c>
      <c r="E6" s="316" t="str">
        <f t="shared" si="299"/>
        <v>31.12.2016</v>
      </c>
      <c r="F6" s="316" t="str">
        <f t="shared" si="299"/>
        <v>31.12.2015</v>
      </c>
      <c r="G6" s="316" t="str">
        <f t="shared" si="299"/>
        <v>31.12.2014</v>
      </c>
      <c r="H6" s="316" t="str">
        <f t="shared" si="299"/>
        <v>31.12.2013</v>
      </c>
      <c r="I6" s="316" t="str">
        <f t="shared" si="299"/>
        <v>31.12.2012</v>
      </c>
      <c r="J6" s="316" t="str">
        <f t="shared" si="299"/>
        <v>31.12.2019</v>
      </c>
      <c r="K6" s="316" t="str">
        <f t="shared" si="299"/>
        <v>31.12.2018</v>
      </c>
      <c r="L6" s="316" t="str">
        <f t="shared" si="299"/>
        <v>31.12.2017</v>
      </c>
      <c r="M6" s="316" t="str">
        <f t="shared" si="299"/>
        <v>31.12.2016</v>
      </c>
      <c r="N6" s="316" t="str">
        <f t="shared" si="299"/>
        <v>31.12.2015</v>
      </c>
      <c r="O6" s="316" t="str">
        <f t="shared" si="299"/>
        <v>31.12.2014</v>
      </c>
      <c r="P6" s="316" t="str">
        <f t="shared" si="299"/>
        <v>31.12.2013</v>
      </c>
      <c r="Q6" s="316" t="str">
        <f t="shared" si="299"/>
        <v>31.12.2012</v>
      </c>
      <c r="R6" s="316" t="str">
        <f t="shared" si="299"/>
        <v xml:space="preserve">в тыс. руб.</v>
      </c>
      <c r="S6" s="316" t="str">
        <f t="shared" si="299"/>
        <v xml:space="preserve">темп прироста, %</v>
      </c>
      <c r="T6" s="316" t="str">
        <f t="shared" si="299"/>
        <v xml:space="preserve">в структуре, %</v>
      </c>
      <c r="U6" s="316" t="str">
        <f t="shared" si="299"/>
        <v xml:space="preserve">в тыс. руб.</v>
      </c>
      <c r="V6" s="316" t="str">
        <f t="shared" si="299"/>
        <v xml:space="preserve">темп прироста, %</v>
      </c>
      <c r="W6" s="316" t="str">
        <f t="shared" si="299"/>
        <v xml:space="preserve">в структуре, %</v>
      </c>
      <c r="X6" s="316" t="str">
        <f t="shared" si="299"/>
        <v xml:space="preserve">в тыс. руб.</v>
      </c>
      <c r="Y6" s="316" t="str">
        <f t="shared" si="299"/>
        <v xml:space="preserve">темп прироста, %</v>
      </c>
      <c r="Z6" s="316" t="str">
        <f t="shared" si="299"/>
        <v xml:space="preserve">в структуре, %</v>
      </c>
      <c r="AA6" s="316" t="str">
        <f t="shared" si="299"/>
        <v xml:space="preserve">в тыс. руб.</v>
      </c>
      <c r="AB6" s="316" t="str">
        <f t="shared" si="299"/>
        <v xml:space="preserve">темп прироста, %</v>
      </c>
      <c r="AC6" s="316" t="str">
        <f t="shared" si="299"/>
        <v xml:space="preserve">в структуре, %</v>
      </c>
      <c r="AD6" s="316" t="str">
        <f t="shared" si="299"/>
        <v xml:space="preserve">в тыс. руб.</v>
      </c>
      <c r="AE6" s="316" t="str">
        <f t="shared" si="299"/>
        <v xml:space="preserve">темп прироста, %</v>
      </c>
      <c r="AF6" s="316" t="str">
        <f t="shared" si="299"/>
        <v xml:space="preserve">в структуре, %</v>
      </c>
      <c r="AG6" s="316" t="str">
        <f t="shared" si="299"/>
        <v xml:space="preserve">в тыс. руб.</v>
      </c>
      <c r="AH6" s="316" t="str">
        <f t="shared" si="299"/>
        <v xml:space="preserve">темп прироста, %</v>
      </c>
      <c r="AI6" s="316" t="str">
        <f t="shared" si="299"/>
        <v xml:space="preserve">в структуре, %</v>
      </c>
      <c r="AJ6" s="316" t="str">
        <f t="shared" si="299"/>
        <v xml:space="preserve">в тыс. руб.</v>
      </c>
      <c r="AK6" s="316" t="str">
        <f t="shared" si="299"/>
        <v xml:space="preserve">темп прироста, %</v>
      </c>
      <c r="AL6" s="316" t="str">
        <f t="shared" si="299"/>
        <v xml:space="preserve">в структуре, %</v>
      </c>
    </row>
    <row r="7" ht="31.199999999999999">
      <c r="A7" s="376" t="s">
        <v>244</v>
      </c>
      <c r="B7" s="184"/>
      <c r="C7" s="184"/>
      <c r="D7" s="377"/>
      <c r="E7" s="377"/>
      <c r="F7" s="347"/>
      <c r="G7" s="378"/>
      <c r="H7" s="378"/>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row>
    <row r="8" ht="33" customHeight="1">
      <c r="A8" s="376" t="s">
        <v>245</v>
      </c>
      <c r="B8" s="184"/>
      <c r="C8" s="184"/>
      <c r="D8" s="377"/>
      <c r="E8" s="377"/>
      <c r="F8" s="347"/>
      <c r="G8" s="378"/>
      <c r="H8" s="378"/>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row>
    <row r="9">
      <c r="A9" s="376" t="s">
        <v>246</v>
      </c>
      <c r="B9" s="184"/>
      <c r="C9" s="184"/>
      <c r="D9" s="377"/>
      <c r="E9" s="377"/>
      <c r="F9" s="347"/>
      <c r="G9" s="378"/>
      <c r="H9" s="378"/>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row>
    <row r="10">
      <c r="A10" s="376" t="s">
        <v>247</v>
      </c>
      <c r="B10" s="184"/>
      <c r="C10" s="184"/>
      <c r="D10" s="377"/>
      <c r="E10" s="377"/>
      <c r="F10" s="347"/>
      <c r="G10" s="378"/>
      <c r="H10" s="378"/>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row>
    <row r="11">
      <c r="A11" s="376" t="s">
        <v>248</v>
      </c>
      <c r="B11" s="184"/>
      <c r="C11" s="184"/>
      <c r="D11" s="377"/>
      <c r="E11" s="377"/>
      <c r="F11" s="347"/>
      <c r="G11" s="378"/>
      <c r="H11" s="378"/>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row>
    <row r="12">
      <c r="A12" s="376" t="s">
        <v>249</v>
      </c>
      <c r="B12" s="184"/>
      <c r="C12" s="184"/>
      <c r="D12" s="377"/>
      <c r="E12" s="377"/>
      <c r="F12" s="347"/>
      <c r="G12" s="378"/>
      <c r="H12" s="378"/>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row>
    <row r="13">
      <c r="A13" s="182" t="s">
        <v>602</v>
      </c>
      <c r="B13" s="184"/>
      <c r="C13" s="184"/>
      <c r="D13" s="377"/>
      <c r="E13" s="377"/>
      <c r="F13" s="347"/>
      <c r="G13" s="378"/>
      <c r="H13" s="378"/>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row>
    <row r="14">
      <c r="A14" s="77" t="s">
        <v>452</v>
      </c>
    </row>
    <row r="17">
      <c r="A17" s="66" t="s">
        <v>603</v>
      </c>
    </row>
    <row r="18" s="379" customFormat="1" ht="31.199999999999999">
      <c r="A18" s="380" t="s">
        <v>177</v>
      </c>
      <c r="B18" s="380" t="s">
        <v>424</v>
      </c>
      <c r="C18" s="380" t="s">
        <v>425</v>
      </c>
      <c r="D18" s="380" t="s">
        <v>433</v>
      </c>
      <c r="E18" s="380" t="s">
        <v>426</v>
      </c>
      <c r="F18" s="380" t="s">
        <v>433</v>
      </c>
      <c r="G18" s="380" t="s">
        <v>427</v>
      </c>
      <c r="H18" s="380" t="s">
        <v>433</v>
      </c>
      <c r="I18" s="380" t="s">
        <v>428</v>
      </c>
      <c r="J18" s="380" t="s">
        <v>433</v>
      </c>
      <c r="K18" s="380" t="s">
        <v>429</v>
      </c>
      <c r="L18" s="380" t="s">
        <v>433</v>
      </c>
      <c r="M18" s="380" t="s">
        <v>430</v>
      </c>
      <c r="N18" s="380" t="s">
        <v>433</v>
      </c>
      <c r="O18" s="380" t="s">
        <v>431</v>
      </c>
      <c r="P18" s="380" t="s">
        <v>433</v>
      </c>
    </row>
    <row r="19">
      <c r="A19" s="182" t="s">
        <v>604</v>
      </c>
      <c r="B19" s="184"/>
      <c r="C19" s="184"/>
      <c r="D19" s="184"/>
      <c r="E19" s="377"/>
      <c r="F19" s="377"/>
      <c r="G19" s="377"/>
      <c r="H19" s="377"/>
      <c r="I19" s="377"/>
      <c r="J19" s="377"/>
      <c r="K19" s="377"/>
      <c r="L19" s="377"/>
      <c r="M19" s="377"/>
      <c r="N19" s="377"/>
      <c r="O19" s="377"/>
      <c r="P19" s="377"/>
    </row>
    <row r="20" ht="31.199999999999999">
      <c r="A20" s="182" t="s">
        <v>605</v>
      </c>
      <c r="B20" s="184"/>
      <c r="C20" s="184"/>
      <c r="D20" s="184"/>
      <c r="E20" s="377"/>
      <c r="F20" s="377"/>
      <c r="G20" s="377"/>
      <c r="H20" s="377"/>
      <c r="I20" s="377"/>
      <c r="J20" s="377"/>
      <c r="K20" s="377"/>
      <c r="L20" s="377"/>
      <c r="M20" s="377"/>
      <c r="N20" s="377"/>
      <c r="O20" s="377"/>
      <c r="P20" s="377"/>
    </row>
    <row r="21" ht="62.399999999999999">
      <c r="A21" s="182" t="s">
        <v>606</v>
      </c>
      <c r="B21" s="184"/>
      <c r="C21" s="184"/>
      <c r="D21" s="184"/>
      <c r="E21" s="377"/>
      <c r="F21" s="377"/>
      <c r="G21" s="377"/>
      <c r="H21" s="377"/>
      <c r="I21" s="377"/>
      <c r="J21" s="377"/>
      <c r="K21" s="377"/>
      <c r="L21" s="377"/>
      <c r="M21" s="377"/>
      <c r="N21" s="377"/>
      <c r="O21" s="377"/>
      <c r="P21" s="377"/>
    </row>
    <row r="22">
      <c r="A22" s="182" t="s">
        <v>607</v>
      </c>
      <c r="B22" s="184"/>
      <c r="C22" s="184"/>
      <c r="D22" s="184"/>
      <c r="E22" s="377"/>
      <c r="F22" s="377"/>
      <c r="G22" s="377"/>
      <c r="H22" s="377"/>
      <c r="I22" s="377"/>
      <c r="J22" s="377"/>
      <c r="K22" s="377"/>
      <c r="L22" s="377"/>
      <c r="M22" s="377"/>
      <c r="N22" s="377"/>
      <c r="O22" s="377"/>
      <c r="P22" s="377"/>
    </row>
    <row r="23" ht="46.799999999999997">
      <c r="A23" s="182" t="s">
        <v>608</v>
      </c>
      <c r="B23" s="184"/>
      <c r="C23" s="184"/>
      <c r="D23" s="184"/>
      <c r="E23" s="377"/>
      <c r="F23" s="377"/>
      <c r="G23" s="377"/>
      <c r="H23" s="377"/>
      <c r="I23" s="377"/>
      <c r="J23" s="377"/>
      <c r="K23" s="377"/>
      <c r="L23" s="377"/>
      <c r="M23" s="377"/>
      <c r="N23" s="377"/>
      <c r="O23" s="377"/>
      <c r="P23" s="377"/>
    </row>
    <row r="24" ht="78">
      <c r="A24" s="182" t="s">
        <v>609</v>
      </c>
      <c r="B24" s="377"/>
      <c r="C24" s="377"/>
      <c r="D24" s="184"/>
      <c r="E24" s="377"/>
      <c r="F24" s="377"/>
      <c r="G24" s="377"/>
      <c r="H24" s="377"/>
      <c r="I24" s="377"/>
      <c r="J24" s="377"/>
      <c r="K24" s="377"/>
      <c r="L24" s="377"/>
      <c r="M24" s="377"/>
      <c r="N24" s="377"/>
      <c r="O24" s="377"/>
      <c r="P24" s="377"/>
    </row>
    <row r="25">
      <c r="A25" s="66"/>
    </row>
    <row r="26">
      <c r="A26" s="66" t="s">
        <v>610</v>
      </c>
    </row>
    <row r="27" s="198" customFormat="1" ht="15.75" customHeight="1">
      <c r="A27" s="179" t="s">
        <v>177</v>
      </c>
      <c r="B27" s="179" t="s">
        <v>421</v>
      </c>
      <c r="C27" s="179"/>
      <c r="D27" s="179"/>
      <c r="E27" s="179"/>
      <c r="F27" s="179"/>
      <c r="G27" s="179"/>
      <c r="H27" s="179"/>
      <c r="I27" s="179"/>
      <c r="J27" s="316" t="s">
        <v>422</v>
      </c>
      <c r="K27" s="316"/>
      <c r="L27" s="316"/>
      <c r="M27" s="316"/>
      <c r="N27" s="316"/>
      <c r="O27" s="316"/>
      <c r="P27" s="316"/>
      <c r="Q27" s="316"/>
      <c r="R27" s="373" t="s">
        <v>516</v>
      </c>
      <c r="S27" s="374"/>
      <c r="T27" s="374"/>
      <c r="U27" s="374"/>
      <c r="V27" s="374"/>
      <c r="W27" s="374"/>
      <c r="X27" s="374"/>
      <c r="Y27" s="374"/>
      <c r="Z27" s="374"/>
      <c r="AA27" s="374"/>
      <c r="AB27" s="374"/>
      <c r="AC27" s="374"/>
      <c r="AD27" s="374"/>
      <c r="AE27" s="374"/>
      <c r="AF27" s="374"/>
      <c r="AG27" s="374"/>
      <c r="AH27" s="374"/>
      <c r="AI27" s="374"/>
      <c r="AJ27" s="374"/>
      <c r="AK27" s="374"/>
      <c r="AL27" s="375"/>
    </row>
    <row r="28" s="216" customFormat="1">
      <c r="A28" s="179"/>
      <c r="B28" s="179"/>
      <c r="C28" s="179"/>
      <c r="D28" s="179"/>
      <c r="E28" s="179"/>
      <c r="F28" s="179"/>
      <c r="G28" s="179"/>
      <c r="H28" s="179"/>
      <c r="I28" s="179"/>
      <c r="J28" s="316"/>
      <c r="K28" s="316"/>
      <c r="L28" s="316"/>
      <c r="M28" s="316"/>
      <c r="N28" s="316"/>
      <c r="O28" s="316"/>
      <c r="P28" s="316"/>
      <c r="Q28" s="316"/>
      <c r="R28" s="210" t="str">
        <f>аб!S3</f>
        <v xml:space="preserve">2019 год</v>
      </c>
      <c r="S28" s="210"/>
      <c r="T28" s="210"/>
      <c r="U28" s="210" t="str">
        <f>аб!V3</f>
        <v xml:space="preserve">2018 год</v>
      </c>
      <c r="V28" s="210"/>
      <c r="W28" s="210"/>
      <c r="X28" s="210" t="str">
        <f>аб!Y3</f>
        <v xml:space="preserve">2017 год</v>
      </c>
      <c r="Y28" s="210"/>
      <c r="Z28" s="210"/>
      <c r="AA28" s="210" t="str">
        <f>аб!AB3</f>
        <v xml:space="preserve">2016 год</v>
      </c>
      <c r="AB28" s="210"/>
      <c r="AC28" s="210"/>
      <c r="AD28" s="210" t="str">
        <f>аб!AE3</f>
        <v xml:space="preserve">2015 год</v>
      </c>
      <c r="AE28" s="210"/>
      <c r="AF28" s="210"/>
      <c r="AG28" s="210" t="str">
        <f>аб!AH3</f>
        <v xml:space="preserve">2014 год</v>
      </c>
      <c r="AH28" s="210"/>
      <c r="AI28" s="210"/>
      <c r="AJ28" s="210" t="str">
        <f>аб!AK3</f>
        <v xml:space="preserve">2013 год</v>
      </c>
      <c r="AK28" s="210"/>
      <c r="AL28" s="210"/>
    </row>
    <row r="29" s="216" customFormat="1" ht="31.199999999999999">
      <c r="A29" s="179"/>
      <c r="B29" s="316" t="str">
        <f>аб!C4</f>
        <v>31.12.2019</v>
      </c>
      <c r="C29" s="316" t="str">
        <f>аб!D4</f>
        <v>31.12.2018</v>
      </c>
      <c r="D29" s="316" t="str">
        <f>аб!E4</f>
        <v>31.12.2017</v>
      </c>
      <c r="E29" s="316" t="str">
        <f>аб!F4</f>
        <v>31.12.2016</v>
      </c>
      <c r="F29" s="316" t="str">
        <f>аб!G4</f>
        <v>31.12.2015</v>
      </c>
      <c r="G29" s="316" t="str">
        <f>аб!H4</f>
        <v>31.12.2014</v>
      </c>
      <c r="H29" s="316" t="str">
        <f>аб!I4</f>
        <v>31.12.2013</v>
      </c>
      <c r="I29" s="316" t="str">
        <f>аб!J4</f>
        <v>31.12.2012</v>
      </c>
      <c r="J29" s="316" t="str">
        <f>аб!K4</f>
        <v>31.12.2019</v>
      </c>
      <c r="K29" s="316" t="str">
        <f>аб!L4</f>
        <v>31.12.2018</v>
      </c>
      <c r="L29" s="316" t="str">
        <f>аб!M4</f>
        <v>31.12.2017</v>
      </c>
      <c r="M29" s="316" t="str">
        <f>аб!N4</f>
        <v>31.12.2016</v>
      </c>
      <c r="N29" s="316" t="str">
        <f>аб!O4</f>
        <v>31.12.2015</v>
      </c>
      <c r="O29" s="316" t="str">
        <f>аб!P4</f>
        <v>31.12.2014</v>
      </c>
      <c r="P29" s="316" t="str">
        <f>аб!Q4</f>
        <v>31.12.2013</v>
      </c>
      <c r="Q29" s="316" t="str">
        <f>аб!R4</f>
        <v>31.12.2012</v>
      </c>
      <c r="R29" s="316" t="str">
        <f>аб!S4</f>
        <v xml:space="preserve">в тыс. руб.</v>
      </c>
      <c r="S29" s="316" t="str">
        <f>аб!T4</f>
        <v xml:space="preserve">темп прироста, %</v>
      </c>
      <c r="T29" s="316" t="str">
        <f>аб!U4</f>
        <v xml:space="preserve">в структуре, %</v>
      </c>
      <c r="U29" s="316" t="str">
        <f>аб!V4</f>
        <v xml:space="preserve">в тыс. руб.</v>
      </c>
      <c r="V29" s="316" t="str">
        <f>аб!W4</f>
        <v xml:space="preserve">темп прироста, %</v>
      </c>
      <c r="W29" s="316" t="str">
        <f>аб!X4</f>
        <v xml:space="preserve">в структуре, %</v>
      </c>
      <c r="X29" s="316" t="str">
        <f>аб!Y4</f>
        <v xml:space="preserve">в тыс. руб.</v>
      </c>
      <c r="Y29" s="316" t="str">
        <f>аб!Z4</f>
        <v xml:space="preserve">темп прироста, %</v>
      </c>
      <c r="Z29" s="316" t="str">
        <f>аб!AA4</f>
        <v xml:space="preserve">в структуре, %</v>
      </c>
      <c r="AA29" s="316" t="str">
        <f>аб!AB4</f>
        <v xml:space="preserve">в тыс. руб.</v>
      </c>
      <c r="AB29" s="316" t="str">
        <f>аб!AC4</f>
        <v xml:space="preserve">темп прироста, %</v>
      </c>
      <c r="AC29" s="316" t="str">
        <f>аб!AD4</f>
        <v xml:space="preserve">в структуре, %</v>
      </c>
      <c r="AD29" s="316" t="str">
        <f>аб!AE4</f>
        <v xml:space="preserve">в тыс. руб.</v>
      </c>
      <c r="AE29" s="316" t="str">
        <f>аб!AF4</f>
        <v xml:space="preserve">темп прироста, %</v>
      </c>
      <c r="AF29" s="316" t="str">
        <f>аб!AG4</f>
        <v xml:space="preserve">в структуре, %</v>
      </c>
      <c r="AG29" s="316" t="str">
        <f>аб!AH4</f>
        <v xml:space="preserve">в тыс. руб.</v>
      </c>
      <c r="AH29" s="316" t="str">
        <f>аб!AI4</f>
        <v xml:space="preserve">темп прироста, %</v>
      </c>
      <c r="AI29" s="316" t="str">
        <f>аб!AJ4</f>
        <v xml:space="preserve">в структуре, %</v>
      </c>
      <c r="AJ29" s="316" t="str">
        <f>аб!AK4</f>
        <v xml:space="preserve">в тыс. руб.</v>
      </c>
      <c r="AK29" s="316" t="str">
        <f>аб!AL4</f>
        <v xml:space="preserve">темп прироста, %</v>
      </c>
      <c r="AL29" s="316" t="str">
        <f>аб!AM4</f>
        <v xml:space="preserve">в структуре, %</v>
      </c>
    </row>
    <row r="30" ht="31.199999999999999">
      <c r="A30" s="182" t="s">
        <v>611</v>
      </c>
      <c r="B30" s="347"/>
      <c r="C30" s="347"/>
      <c r="D30" s="381"/>
      <c r="E30" s="381"/>
      <c r="F30" s="347"/>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row>
    <row r="31" ht="31.199999999999999">
      <c r="A31" s="182" t="s">
        <v>612</v>
      </c>
      <c r="B31" s="347"/>
      <c r="C31" s="347"/>
      <c r="D31" s="381"/>
      <c r="E31" s="381"/>
      <c r="F31" s="347"/>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381"/>
    </row>
    <row r="32" ht="31.199999999999999">
      <c r="A32" s="182" t="s">
        <v>613</v>
      </c>
      <c r="B32" s="347"/>
      <c r="C32" s="347"/>
      <c r="D32" s="381"/>
      <c r="E32" s="381"/>
      <c r="F32" s="347"/>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c r="AJ32" s="381"/>
      <c r="AK32" s="381"/>
      <c r="AL32" s="381"/>
    </row>
    <row r="33">
      <c r="A33" s="295"/>
      <c r="B33" s="295"/>
      <c r="C33" s="295"/>
      <c r="D33" s="306"/>
      <c r="E33" s="306"/>
      <c r="F33" s="295"/>
      <c r="G33" s="306"/>
      <c r="H33" s="306"/>
      <c r="I33" s="306"/>
      <c r="J33" s="306"/>
    </row>
    <row r="34">
      <c r="A34" s="66" t="s">
        <v>610</v>
      </c>
    </row>
    <row r="35" s="198" customFormat="1" ht="15.75" customHeight="1">
      <c r="A35" s="179" t="s">
        <v>177</v>
      </c>
      <c r="B35" s="179" t="s">
        <v>421</v>
      </c>
      <c r="C35" s="179"/>
      <c r="D35" s="179"/>
      <c r="E35" s="179"/>
      <c r="F35" s="179"/>
      <c r="G35" s="179"/>
      <c r="H35" s="179"/>
      <c r="I35" s="179"/>
      <c r="J35" s="316" t="s">
        <v>422</v>
      </c>
      <c r="K35" s="316"/>
      <c r="L35" s="316"/>
      <c r="M35" s="316"/>
      <c r="N35" s="316"/>
      <c r="O35" s="316"/>
      <c r="P35" s="316"/>
      <c r="Q35" s="316"/>
      <c r="R35" s="316" t="s">
        <v>516</v>
      </c>
      <c r="S35" s="316"/>
      <c r="T35" s="316"/>
      <c r="U35" s="316"/>
      <c r="V35" s="316"/>
      <c r="W35" s="316"/>
      <c r="X35" s="316"/>
      <c r="Y35" s="316"/>
      <c r="Z35" s="316"/>
      <c r="AA35" s="316"/>
      <c r="AB35" s="316"/>
      <c r="AC35" s="316"/>
      <c r="AD35" s="316"/>
      <c r="AE35" s="316"/>
      <c r="AF35" s="316"/>
      <c r="AG35" s="316"/>
      <c r="AH35" s="316"/>
      <c r="AI35" s="316"/>
      <c r="AJ35" s="316"/>
      <c r="AK35" s="316"/>
      <c r="AL35" s="316"/>
    </row>
    <row r="36" s="216" customFormat="1">
      <c r="A36" s="179"/>
      <c r="B36" s="179"/>
      <c r="C36" s="179"/>
      <c r="D36" s="179"/>
      <c r="E36" s="179"/>
      <c r="F36" s="179"/>
      <c r="G36" s="179"/>
      <c r="H36" s="179"/>
      <c r="I36" s="179"/>
      <c r="J36" s="316"/>
      <c r="K36" s="316"/>
      <c r="L36" s="316"/>
      <c r="M36" s="316"/>
      <c r="N36" s="316"/>
      <c r="O36" s="316"/>
      <c r="P36" s="316"/>
      <c r="Q36" s="316"/>
      <c r="R36" s="210" t="str">
        <f>R28</f>
        <v xml:space="preserve">2019 год</v>
      </c>
      <c r="S36" s="210"/>
      <c r="T36" s="210"/>
      <c r="U36" s="210" t="str">
        <f>U28</f>
        <v xml:space="preserve">2018 год</v>
      </c>
      <c r="V36" s="210"/>
      <c r="W36" s="210"/>
      <c r="X36" s="210" t="str">
        <f>X28</f>
        <v xml:space="preserve">2017 год</v>
      </c>
      <c r="Y36" s="210"/>
      <c r="Z36" s="210"/>
      <c r="AA36" s="210" t="str">
        <f>AA28</f>
        <v xml:space="preserve">2016 год</v>
      </c>
      <c r="AB36" s="210"/>
      <c r="AC36" s="210"/>
      <c r="AD36" s="210" t="str">
        <f>AD28</f>
        <v xml:space="preserve">2015 год</v>
      </c>
      <c r="AE36" s="210"/>
      <c r="AF36" s="210"/>
      <c r="AG36" s="210" t="str">
        <f>AG28</f>
        <v xml:space="preserve">2014 год</v>
      </c>
      <c r="AH36" s="210"/>
      <c r="AI36" s="210"/>
      <c r="AJ36" s="210" t="str">
        <f t="shared" ref="AJ36:AL37" si="300">AJ28</f>
        <v xml:space="preserve">2013 год</v>
      </c>
      <c r="AK36" s="210"/>
      <c r="AL36" s="210"/>
    </row>
    <row r="37" s="216" customFormat="1" ht="31.199999999999999">
      <c r="A37" s="179"/>
      <c r="B37" s="316" t="str">
        <f>B29</f>
        <v>31.12.2019</v>
      </c>
      <c r="C37" s="316" t="str">
        <f t="shared" ref="C37:AI37" si="301">C29</f>
        <v>31.12.2018</v>
      </c>
      <c r="D37" s="316" t="str">
        <f t="shared" si="301"/>
        <v>31.12.2017</v>
      </c>
      <c r="E37" s="316" t="str">
        <f t="shared" si="301"/>
        <v>31.12.2016</v>
      </c>
      <c r="F37" s="316" t="str">
        <f t="shared" si="301"/>
        <v>31.12.2015</v>
      </c>
      <c r="G37" s="316" t="str">
        <f t="shared" si="301"/>
        <v>31.12.2014</v>
      </c>
      <c r="H37" s="316" t="str">
        <f t="shared" si="301"/>
        <v>31.12.2013</v>
      </c>
      <c r="I37" s="316" t="str">
        <f t="shared" si="301"/>
        <v>31.12.2012</v>
      </c>
      <c r="J37" s="316" t="str">
        <f t="shared" si="301"/>
        <v>31.12.2019</v>
      </c>
      <c r="K37" s="316" t="str">
        <f t="shared" si="301"/>
        <v>31.12.2018</v>
      </c>
      <c r="L37" s="316" t="str">
        <f t="shared" si="301"/>
        <v>31.12.2017</v>
      </c>
      <c r="M37" s="316" t="str">
        <f t="shared" si="301"/>
        <v>31.12.2016</v>
      </c>
      <c r="N37" s="316" t="str">
        <f t="shared" si="301"/>
        <v>31.12.2015</v>
      </c>
      <c r="O37" s="316" t="str">
        <f t="shared" si="301"/>
        <v>31.12.2014</v>
      </c>
      <c r="P37" s="316" t="str">
        <f t="shared" si="301"/>
        <v>31.12.2013</v>
      </c>
      <c r="Q37" s="316" t="str">
        <f t="shared" si="301"/>
        <v>31.12.2012</v>
      </c>
      <c r="R37" s="316" t="str">
        <f t="shared" si="301"/>
        <v xml:space="preserve">в тыс. руб.</v>
      </c>
      <c r="S37" s="316" t="str">
        <f t="shared" si="301"/>
        <v xml:space="preserve">темп прироста, %</v>
      </c>
      <c r="T37" s="316" t="str">
        <f t="shared" si="301"/>
        <v xml:space="preserve">в структуре, %</v>
      </c>
      <c r="U37" s="316" t="str">
        <f t="shared" si="301"/>
        <v xml:space="preserve">в тыс. руб.</v>
      </c>
      <c r="V37" s="316" t="str">
        <f t="shared" si="301"/>
        <v xml:space="preserve">темп прироста, %</v>
      </c>
      <c r="W37" s="316" t="str">
        <f t="shared" si="301"/>
        <v xml:space="preserve">в структуре, %</v>
      </c>
      <c r="X37" s="316" t="str">
        <f t="shared" si="301"/>
        <v xml:space="preserve">в тыс. руб.</v>
      </c>
      <c r="Y37" s="316" t="str">
        <f t="shared" si="301"/>
        <v xml:space="preserve">темп прироста, %</v>
      </c>
      <c r="Z37" s="316" t="str">
        <f t="shared" si="301"/>
        <v xml:space="preserve">в структуре, %</v>
      </c>
      <c r="AA37" s="316" t="str">
        <f t="shared" si="301"/>
        <v xml:space="preserve">в тыс. руб.</v>
      </c>
      <c r="AB37" s="316" t="str">
        <f t="shared" si="301"/>
        <v xml:space="preserve">темп прироста, %</v>
      </c>
      <c r="AC37" s="316" t="str">
        <f t="shared" si="301"/>
        <v xml:space="preserve">в структуре, %</v>
      </c>
      <c r="AD37" s="316" t="str">
        <f t="shared" si="301"/>
        <v xml:space="preserve">в тыс. руб.</v>
      </c>
      <c r="AE37" s="316" t="str">
        <f t="shared" si="301"/>
        <v xml:space="preserve">темп прироста, %</v>
      </c>
      <c r="AF37" s="316" t="str">
        <f t="shared" si="301"/>
        <v xml:space="preserve">в структуре, %</v>
      </c>
      <c r="AG37" s="316" t="str">
        <f t="shared" si="301"/>
        <v xml:space="preserve">в тыс. руб.</v>
      </c>
      <c r="AH37" s="316" t="str">
        <f t="shared" si="301"/>
        <v xml:space="preserve">темп прироста, %</v>
      </c>
      <c r="AI37" s="316" t="str">
        <f t="shared" si="301"/>
        <v xml:space="preserve">в структуре, %</v>
      </c>
      <c r="AJ37" s="316" t="str">
        <f t="shared" si="300"/>
        <v xml:space="preserve">в тыс. руб.</v>
      </c>
      <c r="AK37" s="316" t="str">
        <f t="shared" si="300"/>
        <v xml:space="preserve">темп прироста, %</v>
      </c>
      <c r="AL37" s="316" t="str">
        <f t="shared" si="300"/>
        <v xml:space="preserve">в структуре, %</v>
      </c>
    </row>
    <row r="38">
      <c r="A38" s="182" t="s">
        <v>614</v>
      </c>
      <c r="B38" s="347"/>
      <c r="C38" s="347"/>
      <c r="D38" s="382"/>
      <c r="E38" s="382"/>
      <c r="F38" s="347"/>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2"/>
    </row>
    <row r="39">
      <c r="A39" s="182" t="s">
        <v>607</v>
      </c>
      <c r="B39" s="347"/>
      <c r="C39" s="347"/>
      <c r="D39" s="382"/>
      <c r="E39" s="382"/>
      <c r="F39" s="347"/>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row>
    <row r="40">
      <c r="A40" s="182" t="s">
        <v>615</v>
      </c>
      <c r="B40" s="347"/>
      <c r="C40" s="347"/>
      <c r="D40" s="382"/>
      <c r="E40" s="382"/>
      <c r="F40" s="347"/>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row>
    <row r="41" ht="31.199999999999999">
      <c r="A41" s="182" t="s">
        <v>613</v>
      </c>
      <c r="B41" s="347"/>
      <c r="C41" s="347"/>
      <c r="D41" s="382"/>
      <c r="E41" s="382"/>
      <c r="F41" s="347"/>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row>
    <row r="42">
      <c r="A42" s="77" t="s">
        <v>452</v>
      </c>
      <c r="B42" s="190"/>
      <c r="C42" s="190"/>
      <c r="D42" s="190"/>
      <c r="E42" s="383"/>
      <c r="F42" s="190"/>
      <c r="G42" s="306"/>
      <c r="H42" s="306"/>
      <c r="I42" s="383"/>
      <c r="J42" s="383"/>
    </row>
    <row r="43">
      <c r="B43" s="190"/>
      <c r="C43" s="190"/>
      <c r="D43" s="190"/>
      <c r="E43" s="383"/>
      <c r="F43" s="190"/>
      <c r="G43" s="306"/>
      <c r="H43" s="306"/>
      <c r="I43" s="383"/>
      <c r="J43" s="383"/>
    </row>
    <row r="45">
      <c r="A45" s="66" t="s">
        <v>616</v>
      </c>
    </row>
    <row r="46" s="198" customFormat="1" ht="15.75" customHeight="1">
      <c r="A46" s="179" t="s">
        <v>177</v>
      </c>
      <c r="B46" s="179" t="s">
        <v>421</v>
      </c>
      <c r="C46" s="179"/>
      <c r="D46" s="179"/>
      <c r="E46" s="179"/>
      <c r="F46" s="179"/>
      <c r="G46" s="179"/>
      <c r="H46" s="179"/>
      <c r="I46" s="179"/>
      <c r="J46" s="316" t="s">
        <v>422</v>
      </c>
      <c r="K46" s="316"/>
      <c r="L46" s="316"/>
      <c r="M46" s="316"/>
      <c r="N46" s="316"/>
      <c r="O46" s="316"/>
      <c r="P46" s="316"/>
      <c r="Q46" s="316"/>
      <c r="R46" s="316" t="s">
        <v>516</v>
      </c>
      <c r="S46" s="316"/>
      <c r="T46" s="316"/>
      <c r="U46" s="316"/>
      <c r="V46" s="316"/>
      <c r="W46" s="316"/>
      <c r="X46" s="316"/>
      <c r="Y46" s="316"/>
      <c r="Z46" s="316"/>
      <c r="AA46" s="316"/>
      <c r="AB46" s="316"/>
      <c r="AC46" s="316"/>
      <c r="AD46" s="316"/>
      <c r="AE46" s="316"/>
      <c r="AF46" s="316"/>
      <c r="AG46" s="316"/>
      <c r="AH46" s="316"/>
      <c r="AI46" s="316"/>
      <c r="AJ46" s="316"/>
      <c r="AK46" s="316"/>
      <c r="AL46" s="316"/>
    </row>
    <row r="47" s="216" customFormat="1">
      <c r="A47" s="179"/>
      <c r="B47" s="179"/>
      <c r="C47" s="179"/>
      <c r="D47" s="179"/>
      <c r="E47" s="179"/>
      <c r="F47" s="179"/>
      <c r="G47" s="179"/>
      <c r="H47" s="179"/>
      <c r="I47" s="179"/>
      <c r="J47" s="316"/>
      <c r="K47" s="316"/>
      <c r="L47" s="316"/>
      <c r="M47" s="316"/>
      <c r="N47" s="316"/>
      <c r="O47" s="316"/>
      <c r="P47" s="316"/>
      <c r="Q47" s="316"/>
      <c r="R47" s="210" t="str">
        <f>R36</f>
        <v xml:space="preserve">2019 год</v>
      </c>
      <c r="S47" s="210"/>
      <c r="T47" s="210"/>
      <c r="U47" s="210" t="str">
        <f>U36</f>
        <v xml:space="preserve">2018 год</v>
      </c>
      <c r="V47" s="210"/>
      <c r="W47" s="210"/>
      <c r="X47" s="210" t="str">
        <f>X36</f>
        <v xml:space="preserve">2017 год</v>
      </c>
      <c r="Y47" s="210"/>
      <c r="Z47" s="210"/>
      <c r="AA47" s="210" t="str">
        <f>AA36</f>
        <v xml:space="preserve">2016 год</v>
      </c>
      <c r="AB47" s="210"/>
      <c r="AC47" s="210"/>
      <c r="AD47" s="210" t="str">
        <f>AD36</f>
        <v xml:space="preserve">2015 год</v>
      </c>
      <c r="AE47" s="210"/>
      <c r="AF47" s="210"/>
      <c r="AG47" s="210" t="str">
        <f>AG36</f>
        <v xml:space="preserve">2014 год</v>
      </c>
      <c r="AH47" s="210"/>
      <c r="AI47" s="210"/>
      <c r="AJ47" s="210" t="str">
        <f t="shared" ref="AJ47:AL48" si="302">AJ36</f>
        <v xml:space="preserve">2013 год</v>
      </c>
      <c r="AK47" s="210"/>
      <c r="AL47" s="210"/>
    </row>
    <row r="48" s="216" customFormat="1" ht="31.199999999999999">
      <c r="A48" s="179"/>
      <c r="B48" s="316" t="str">
        <f>B37</f>
        <v>31.12.2019</v>
      </c>
      <c r="C48" s="316" t="str">
        <f t="shared" ref="C48:AI48" si="303">C37</f>
        <v>31.12.2018</v>
      </c>
      <c r="D48" s="316" t="str">
        <f t="shared" si="303"/>
        <v>31.12.2017</v>
      </c>
      <c r="E48" s="316" t="str">
        <f t="shared" si="303"/>
        <v>31.12.2016</v>
      </c>
      <c r="F48" s="316" t="str">
        <f t="shared" si="303"/>
        <v>31.12.2015</v>
      </c>
      <c r="G48" s="316" t="str">
        <f t="shared" si="303"/>
        <v>31.12.2014</v>
      </c>
      <c r="H48" s="316" t="str">
        <f t="shared" si="303"/>
        <v>31.12.2013</v>
      </c>
      <c r="I48" s="316" t="str">
        <f t="shared" si="303"/>
        <v>31.12.2012</v>
      </c>
      <c r="J48" s="316" t="str">
        <f t="shared" si="303"/>
        <v>31.12.2019</v>
      </c>
      <c r="K48" s="316" t="str">
        <f t="shared" si="303"/>
        <v>31.12.2018</v>
      </c>
      <c r="L48" s="316" t="str">
        <f t="shared" si="303"/>
        <v>31.12.2017</v>
      </c>
      <c r="M48" s="316" t="str">
        <f t="shared" si="303"/>
        <v>31.12.2016</v>
      </c>
      <c r="N48" s="316" t="str">
        <f t="shared" si="303"/>
        <v>31.12.2015</v>
      </c>
      <c r="O48" s="316" t="str">
        <f t="shared" si="303"/>
        <v>31.12.2014</v>
      </c>
      <c r="P48" s="316" t="str">
        <f t="shared" si="303"/>
        <v>31.12.2013</v>
      </c>
      <c r="Q48" s="316" t="str">
        <f t="shared" si="303"/>
        <v>31.12.2012</v>
      </c>
      <c r="R48" s="316" t="str">
        <f t="shared" si="303"/>
        <v xml:space="preserve">в тыс. руб.</v>
      </c>
      <c r="S48" s="316" t="str">
        <f t="shared" si="303"/>
        <v xml:space="preserve">темп прироста, %</v>
      </c>
      <c r="T48" s="316" t="str">
        <f t="shared" si="303"/>
        <v xml:space="preserve">в структуре, %</v>
      </c>
      <c r="U48" s="316" t="str">
        <f t="shared" si="303"/>
        <v xml:space="preserve">в тыс. руб.</v>
      </c>
      <c r="V48" s="316" t="str">
        <f t="shared" si="303"/>
        <v xml:space="preserve">темп прироста, %</v>
      </c>
      <c r="W48" s="316" t="str">
        <f t="shared" si="303"/>
        <v xml:space="preserve">в структуре, %</v>
      </c>
      <c r="X48" s="316" t="str">
        <f t="shared" si="303"/>
        <v xml:space="preserve">в тыс. руб.</v>
      </c>
      <c r="Y48" s="316" t="str">
        <f t="shared" si="303"/>
        <v xml:space="preserve">темп прироста, %</v>
      </c>
      <c r="Z48" s="316" t="str">
        <f t="shared" si="303"/>
        <v xml:space="preserve">в структуре, %</v>
      </c>
      <c r="AA48" s="316" t="str">
        <f t="shared" si="303"/>
        <v xml:space="preserve">в тыс. руб.</v>
      </c>
      <c r="AB48" s="316" t="str">
        <f t="shared" si="303"/>
        <v xml:space="preserve">темп прироста, %</v>
      </c>
      <c r="AC48" s="316" t="str">
        <f t="shared" si="303"/>
        <v xml:space="preserve">в структуре, %</v>
      </c>
      <c r="AD48" s="316" t="str">
        <f t="shared" si="303"/>
        <v xml:space="preserve">в тыс. руб.</v>
      </c>
      <c r="AE48" s="316" t="str">
        <f t="shared" si="303"/>
        <v xml:space="preserve">темп прироста, %</v>
      </c>
      <c r="AF48" s="316" t="str">
        <f t="shared" si="303"/>
        <v xml:space="preserve">в структуре, %</v>
      </c>
      <c r="AG48" s="316" t="str">
        <f t="shared" si="303"/>
        <v xml:space="preserve">в тыс. руб.</v>
      </c>
      <c r="AH48" s="316" t="str">
        <f t="shared" si="303"/>
        <v xml:space="preserve">темп прироста, %</v>
      </c>
      <c r="AI48" s="316" t="str">
        <f t="shared" si="303"/>
        <v xml:space="preserve">в структуре, %</v>
      </c>
      <c r="AJ48" s="316" t="str">
        <f t="shared" si="302"/>
        <v xml:space="preserve">в тыс. руб.</v>
      </c>
      <c r="AK48" s="316" t="str">
        <f t="shared" si="302"/>
        <v xml:space="preserve">темп прироста, %</v>
      </c>
      <c r="AL48" s="316" t="str">
        <f t="shared" si="302"/>
        <v xml:space="preserve">в структуре, %</v>
      </c>
    </row>
    <row r="49">
      <c r="A49" s="376" t="s">
        <v>276</v>
      </c>
      <c r="B49" s="347"/>
      <c r="C49" s="347"/>
      <c r="D49" s="382"/>
      <c r="E49" s="382"/>
      <c r="F49" s="347"/>
      <c r="G49" s="382"/>
      <c r="H49" s="382"/>
      <c r="I49" s="382"/>
      <c r="J49" s="382"/>
      <c r="K49" s="382"/>
      <c r="L49" s="382"/>
      <c r="M49" s="382"/>
      <c r="N49" s="382"/>
      <c r="O49" s="382"/>
      <c r="P49" s="382"/>
      <c r="Q49" s="382"/>
      <c r="R49" s="382"/>
      <c r="S49" s="382"/>
      <c r="T49" s="382"/>
      <c r="U49" s="382"/>
      <c r="V49" s="382"/>
      <c r="W49" s="382"/>
      <c r="X49" s="382"/>
      <c r="Y49" s="382"/>
      <c r="Z49" s="382"/>
      <c r="AA49" s="382"/>
      <c r="AB49" s="382"/>
      <c r="AC49" s="382"/>
      <c r="AD49" s="382"/>
      <c r="AE49" s="382"/>
      <c r="AF49" s="382"/>
      <c r="AG49" s="382"/>
      <c r="AH49" s="382"/>
      <c r="AI49" s="382"/>
      <c r="AJ49" s="382"/>
      <c r="AK49" s="382"/>
      <c r="AL49" s="382"/>
    </row>
    <row r="50">
      <c r="A50" s="376" t="s">
        <v>277</v>
      </c>
      <c r="B50" s="347"/>
      <c r="C50" s="347"/>
      <c r="D50" s="382"/>
      <c r="E50" s="382"/>
      <c r="F50" s="347"/>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row>
    <row r="51" ht="31.199999999999999">
      <c r="A51" s="376" t="s">
        <v>278</v>
      </c>
      <c r="B51" s="347"/>
      <c r="C51" s="347"/>
      <c r="D51" s="382"/>
      <c r="E51" s="382"/>
      <c r="F51" s="347"/>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row>
    <row r="52" ht="46.799999999999997">
      <c r="A52" s="376" t="s">
        <v>279</v>
      </c>
      <c r="B52" s="347"/>
      <c r="C52" s="347"/>
      <c r="D52" s="382"/>
      <c r="E52" s="382"/>
      <c r="F52" s="347"/>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row>
    <row r="53" ht="31.199999999999999">
      <c r="A53" s="376" t="s">
        <v>280</v>
      </c>
      <c r="B53" s="347"/>
      <c r="C53" s="347"/>
      <c r="D53" s="382"/>
      <c r="E53" s="382"/>
      <c r="F53" s="347"/>
      <c r="G53" s="382"/>
      <c r="H53" s="382"/>
      <c r="I53" s="382"/>
      <c r="J53" s="382"/>
      <c r="K53" s="382"/>
      <c r="L53" s="382"/>
      <c r="M53" s="382"/>
      <c r="N53" s="382"/>
      <c r="O53" s="382"/>
      <c r="P53" s="382"/>
      <c r="Q53" s="382"/>
      <c r="R53" s="382"/>
      <c r="S53" s="382"/>
      <c r="T53" s="382"/>
      <c r="U53" s="382"/>
      <c r="V53" s="382"/>
      <c r="W53" s="382"/>
      <c r="X53" s="382"/>
      <c r="Y53" s="382"/>
      <c r="Z53" s="382"/>
      <c r="AA53" s="382"/>
      <c r="AB53" s="382"/>
      <c r="AC53" s="382"/>
      <c r="AD53" s="382"/>
      <c r="AE53" s="382"/>
      <c r="AF53" s="382"/>
      <c r="AG53" s="382"/>
      <c r="AH53" s="382"/>
      <c r="AI53" s="382"/>
      <c r="AJ53" s="382"/>
      <c r="AK53" s="382"/>
      <c r="AL53" s="382"/>
    </row>
    <row r="54">
      <c r="A54" s="376" t="s">
        <v>281</v>
      </c>
      <c r="B54" s="347"/>
      <c r="C54" s="347"/>
      <c r="D54" s="382"/>
      <c r="E54" s="382"/>
      <c r="F54" s="347"/>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row>
    <row r="55" ht="31.199999999999999">
      <c r="A55" s="376" t="s">
        <v>617</v>
      </c>
      <c r="B55" s="347"/>
      <c r="C55" s="347"/>
      <c r="D55" s="382"/>
      <c r="E55" s="382"/>
      <c r="F55" s="347"/>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row>
    <row r="58">
      <c r="A58" s="37" t="s">
        <v>618</v>
      </c>
      <c r="B58" s="31"/>
      <c r="C58" s="31"/>
      <c r="D58" s="31"/>
      <c r="E58" s="31"/>
      <c r="P58" s="72"/>
    </row>
    <row r="59" s="379" customFormat="1" ht="31.199999999999999">
      <c r="A59" s="380" t="s">
        <v>177</v>
      </c>
      <c r="B59" s="380" t="s">
        <v>320</v>
      </c>
      <c r="C59" s="380" t="s">
        <v>321</v>
      </c>
      <c r="D59" s="380" t="s">
        <v>433</v>
      </c>
      <c r="E59" s="380" t="s">
        <v>322</v>
      </c>
      <c r="F59" s="380" t="s">
        <v>433</v>
      </c>
      <c r="G59" s="380" t="s">
        <v>323</v>
      </c>
      <c r="H59" s="380" t="s">
        <v>322</v>
      </c>
      <c r="I59" s="380" t="s">
        <v>433</v>
      </c>
      <c r="J59" s="380" t="s">
        <v>324</v>
      </c>
      <c r="K59" s="380" t="s">
        <v>433</v>
      </c>
      <c r="L59" s="380" t="s">
        <v>325</v>
      </c>
      <c r="M59" s="380" t="s">
        <v>433</v>
      </c>
      <c r="N59" s="380" t="s">
        <v>326</v>
      </c>
      <c r="O59" s="380" t="s">
        <v>433</v>
      </c>
      <c r="P59" s="70"/>
    </row>
    <row r="60" ht="62.399999999999999">
      <c r="A60" s="384" t="s">
        <v>619</v>
      </c>
      <c r="B60" s="45"/>
      <c r="C60" s="45"/>
      <c r="D60" s="385"/>
      <c r="E60" s="385"/>
      <c r="F60" s="45"/>
      <c r="G60" s="45"/>
      <c r="H60" s="45"/>
      <c r="I60" s="385"/>
      <c r="J60" s="385"/>
      <c r="K60" s="45"/>
      <c r="L60" s="45"/>
      <c r="M60" s="385"/>
      <c r="N60" s="385"/>
      <c r="O60" s="45"/>
      <c r="P60" s="72"/>
    </row>
    <row r="61" ht="46.799999999999997">
      <c r="A61" s="384" t="s">
        <v>620</v>
      </c>
      <c r="B61" s="45"/>
      <c r="C61" s="45"/>
      <c r="D61" s="385"/>
      <c r="E61" s="385"/>
      <c r="F61" s="45"/>
      <c r="G61" s="45"/>
      <c r="H61" s="45"/>
      <c r="I61" s="385"/>
      <c r="J61" s="385"/>
      <c r="K61" s="45"/>
      <c r="L61" s="45"/>
      <c r="M61" s="385"/>
      <c r="N61" s="385"/>
      <c r="O61" s="45"/>
      <c r="P61" s="72"/>
    </row>
    <row r="62">
      <c r="A62" s="386" t="s">
        <v>466</v>
      </c>
      <c r="B62" s="46"/>
      <c r="C62" s="46"/>
      <c r="D62" s="387"/>
      <c r="E62" s="387"/>
      <c r="F62" s="46"/>
      <c r="G62" s="46"/>
      <c r="H62" s="46"/>
      <c r="I62" s="387"/>
      <c r="J62" s="387"/>
      <c r="K62" s="46"/>
      <c r="L62" s="46"/>
      <c r="M62" s="387"/>
      <c r="N62" s="387"/>
      <c r="O62" s="46"/>
      <c r="P62" s="388"/>
    </row>
    <row r="63" ht="31.199999999999999">
      <c r="A63" s="389" t="s">
        <v>621</v>
      </c>
      <c r="B63" s="45"/>
      <c r="C63" s="45"/>
      <c r="D63" s="45"/>
      <c r="E63" s="385"/>
      <c r="F63" s="45"/>
      <c r="G63" s="45"/>
      <c r="H63" s="45"/>
      <c r="I63" s="45"/>
      <c r="J63" s="385"/>
      <c r="K63" s="45"/>
      <c r="L63" s="45"/>
      <c r="M63" s="45"/>
      <c r="N63" s="385"/>
      <c r="O63" s="45"/>
      <c r="P63" s="70"/>
    </row>
    <row r="64">
      <c r="A64" s="390" t="s">
        <v>622</v>
      </c>
      <c r="B64" s="45"/>
      <c r="C64" s="45"/>
      <c r="D64" s="45"/>
      <c r="E64" s="385"/>
      <c r="F64" s="45"/>
      <c r="G64" s="45"/>
      <c r="H64" s="45"/>
      <c r="I64" s="45"/>
      <c r="J64" s="385"/>
      <c r="K64" s="45"/>
      <c r="L64" s="45"/>
      <c r="M64" s="45"/>
      <c r="N64" s="385"/>
      <c r="O64" s="45"/>
      <c r="P64" s="72"/>
    </row>
    <row r="65" ht="31.199999999999999">
      <c r="A65" s="391" t="s">
        <v>623</v>
      </c>
      <c r="B65" s="392"/>
      <c r="C65" s="392"/>
      <c r="D65" s="385"/>
      <c r="E65" s="385"/>
      <c r="F65" s="392"/>
      <c r="G65" s="392"/>
      <c r="H65" s="392"/>
      <c r="I65" s="385"/>
      <c r="J65" s="385"/>
      <c r="K65" s="392"/>
      <c r="L65" s="392"/>
      <c r="M65" s="385"/>
      <c r="N65" s="385"/>
      <c r="O65" s="392"/>
      <c r="P65" s="388"/>
    </row>
    <row r="66">
      <c r="A66" s="386" t="s">
        <v>466</v>
      </c>
      <c r="B66" s="46"/>
      <c r="C66" s="46"/>
      <c r="D66" s="387"/>
      <c r="E66" s="387"/>
      <c r="F66" s="46"/>
      <c r="G66" s="46"/>
      <c r="H66" s="46"/>
      <c r="I66" s="387"/>
      <c r="J66" s="387"/>
      <c r="K66" s="46"/>
      <c r="L66" s="46"/>
      <c r="M66" s="387"/>
      <c r="N66" s="387"/>
      <c r="O66" s="46"/>
      <c r="P66" s="70"/>
    </row>
    <row r="67" ht="31.199999999999999">
      <c r="A67" s="393" t="s">
        <v>624</v>
      </c>
      <c r="B67" s="45"/>
      <c r="C67" s="45"/>
      <c r="D67" s="45"/>
      <c r="E67" s="385"/>
      <c r="F67" s="45"/>
      <c r="G67" s="45"/>
      <c r="H67" s="45"/>
      <c r="I67" s="45"/>
      <c r="J67" s="385"/>
      <c r="K67" s="45"/>
      <c r="L67" s="45"/>
      <c r="M67" s="45"/>
      <c r="N67" s="385"/>
      <c r="O67" s="45"/>
      <c r="P67" s="394"/>
    </row>
    <row r="68" ht="62.399999999999999">
      <c r="A68" s="393" t="s">
        <v>625</v>
      </c>
      <c r="B68" s="392"/>
      <c r="C68" s="392"/>
      <c r="D68" s="45"/>
      <c r="E68" s="385"/>
      <c r="F68" s="392"/>
      <c r="G68" s="392"/>
      <c r="H68" s="392"/>
      <c r="I68" s="45"/>
      <c r="J68" s="385"/>
      <c r="K68" s="392"/>
      <c r="L68" s="392"/>
      <c r="M68" s="45"/>
      <c r="N68" s="385"/>
      <c r="O68" s="392"/>
      <c r="P68" s="394"/>
    </row>
    <row r="69">
      <c r="A69" s="386" t="s">
        <v>466</v>
      </c>
      <c r="B69" s="46"/>
      <c r="C69" s="46"/>
      <c r="D69" s="385"/>
      <c r="E69" s="385"/>
      <c r="F69" s="46"/>
      <c r="G69" s="46"/>
      <c r="H69" s="46"/>
      <c r="I69" s="385"/>
      <c r="J69" s="385"/>
      <c r="K69" s="46"/>
      <c r="L69" s="46"/>
      <c r="M69" s="385"/>
      <c r="N69" s="385"/>
      <c r="O69" s="46"/>
      <c r="P69" s="394"/>
    </row>
    <row r="70">
      <c r="A70" s="393" t="s">
        <v>413</v>
      </c>
      <c r="B70" s="74"/>
      <c r="C70" s="385"/>
      <c r="D70" s="385"/>
      <c r="E70" s="385"/>
      <c r="F70" s="74"/>
      <c r="G70" s="385"/>
      <c r="H70" s="385"/>
      <c r="I70" s="385"/>
      <c r="J70" s="385"/>
      <c r="K70" s="74"/>
      <c r="L70" s="385"/>
      <c r="M70" s="385"/>
      <c r="N70" s="385"/>
      <c r="O70" s="74"/>
      <c r="P70" s="72"/>
    </row>
    <row r="71" ht="46.799999999999997">
      <c r="A71" s="393" t="s">
        <v>626</v>
      </c>
      <c r="B71" s="74"/>
      <c r="C71" s="385"/>
      <c r="D71" s="385"/>
      <c r="E71" s="385"/>
      <c r="F71" s="74"/>
      <c r="G71" s="385"/>
      <c r="H71" s="385"/>
      <c r="I71" s="385"/>
      <c r="J71" s="385"/>
      <c r="K71" s="74"/>
      <c r="L71" s="385"/>
      <c r="M71" s="385"/>
      <c r="N71" s="385"/>
      <c r="O71" s="74"/>
      <c r="P71" s="395"/>
    </row>
    <row r="72">
      <c r="A72" s="386" t="s">
        <v>466</v>
      </c>
      <c r="B72" s="74"/>
      <c r="C72" s="46"/>
      <c r="D72" s="387"/>
      <c r="E72" s="387"/>
      <c r="F72" s="74"/>
      <c r="G72" s="46"/>
      <c r="H72" s="46"/>
      <c r="I72" s="387"/>
      <c r="J72" s="387"/>
      <c r="K72" s="74"/>
      <c r="L72" s="46"/>
      <c r="M72" s="387"/>
      <c r="N72" s="387"/>
      <c r="O72" s="74"/>
      <c r="P72" s="70"/>
    </row>
    <row r="73" ht="78">
      <c r="A73" s="390" t="s">
        <v>627</v>
      </c>
      <c r="B73" s="45"/>
      <c r="C73" s="45"/>
      <c r="D73" s="45"/>
      <c r="E73" s="385"/>
      <c r="F73" s="45"/>
      <c r="G73" s="45"/>
      <c r="H73" s="45"/>
      <c r="I73" s="45"/>
      <c r="J73" s="385"/>
      <c r="K73" s="45"/>
      <c r="L73" s="45"/>
      <c r="M73" s="45"/>
      <c r="N73" s="385"/>
      <c r="O73" s="45"/>
      <c r="P73" s="72"/>
    </row>
    <row r="74" ht="93.599999999999994">
      <c r="A74" s="389" t="s">
        <v>628</v>
      </c>
      <c r="B74" s="385"/>
      <c r="C74" s="385"/>
      <c r="D74" s="385"/>
      <c r="E74" s="385"/>
      <c r="F74" s="385"/>
      <c r="G74" s="385"/>
      <c r="H74" s="385"/>
      <c r="I74" s="385"/>
      <c r="J74" s="385"/>
      <c r="K74" s="385"/>
      <c r="L74" s="385"/>
      <c r="M74" s="385"/>
      <c r="N74" s="385"/>
      <c r="O74" s="385"/>
      <c r="P74" s="396"/>
    </row>
    <row r="75">
      <c r="A75" s="397" t="s">
        <v>466</v>
      </c>
      <c r="B75" s="46"/>
      <c r="C75" s="46"/>
      <c r="D75" s="398"/>
      <c r="E75" s="387"/>
      <c r="F75" s="46"/>
      <c r="G75" s="46"/>
      <c r="H75" s="46"/>
      <c r="I75" s="398"/>
      <c r="J75" s="387"/>
      <c r="K75" s="46"/>
      <c r="L75" s="46"/>
      <c r="M75" s="398"/>
      <c r="N75" s="387"/>
      <c r="O75" s="46"/>
      <c r="P75" s="70"/>
    </row>
    <row r="76" ht="31.199999999999999">
      <c r="A76" s="399" t="s">
        <v>629</v>
      </c>
      <c r="B76" s="45"/>
      <c r="C76" s="45"/>
      <c r="D76" s="400"/>
      <c r="E76" s="385"/>
      <c r="F76" s="45"/>
      <c r="G76" s="45"/>
      <c r="H76" s="45"/>
      <c r="I76" s="400"/>
      <c r="J76" s="385"/>
      <c r="K76" s="45"/>
      <c r="L76" s="45"/>
      <c r="M76" s="400"/>
      <c r="N76" s="385"/>
      <c r="O76" s="45"/>
    </row>
    <row r="77" ht="62.399999999999999">
      <c r="A77" s="399" t="s">
        <v>630</v>
      </c>
      <c r="B77" s="342"/>
      <c r="C77" s="342"/>
      <c r="D77" s="401"/>
      <c r="E77" s="385"/>
      <c r="F77" s="342"/>
      <c r="G77" s="342"/>
      <c r="H77" s="342"/>
      <c r="I77" s="401"/>
      <c r="J77" s="385"/>
      <c r="K77" s="342"/>
      <c r="L77" s="342"/>
      <c r="M77" s="401"/>
      <c r="N77" s="385"/>
      <c r="O77" s="342"/>
    </row>
    <row r="78">
      <c r="A78" s="397" t="s">
        <v>466</v>
      </c>
      <c r="B78" s="46"/>
      <c r="C78" s="46"/>
      <c r="D78" s="398"/>
      <c r="E78" s="387"/>
      <c r="F78" s="46"/>
      <c r="G78" s="46"/>
      <c r="H78" s="46"/>
      <c r="I78" s="398"/>
      <c r="J78" s="387"/>
      <c r="K78" s="46"/>
      <c r="L78" s="46"/>
      <c r="M78" s="398"/>
      <c r="N78" s="387"/>
      <c r="O78" s="46"/>
    </row>
  </sheetData>
  <mergeCells count="44">
    <mergeCell ref="AG47:AI47"/>
    <mergeCell ref="R47:T47"/>
    <mergeCell ref="U47:W47"/>
    <mergeCell ref="X47:Z47"/>
    <mergeCell ref="AA47:AC47"/>
    <mergeCell ref="AD47:AF47"/>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5:AL5"/>
    <mergeCell ref="U5:W5"/>
    <mergeCell ref="X5:Z5"/>
    <mergeCell ref="AA5:AC5"/>
    <mergeCell ref="AD5:AF5"/>
    <mergeCell ref="AG5:AI5"/>
  </mergeCells>
  <printOptions headings="0" gridLines="0"/>
  <pageMargins left="0.75" right="0.75" top="1" bottom="1" header="0.5" footer="0.5"/>
  <pageSetup paperSize="9" scale="29" fitToWidth="1" fitToHeight="1" pageOrder="downThenOver" orientation="portrait" usePrinterDefaults="1" blackAndWhite="0" draft="0" cellComments="none" useFirstPageNumber="0" errors="displayed" horizontalDpi="600" verticalDpi="6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70" workbookViewId="0">
      <pane xSplit="1" topLeftCell="B1" activePane="topRight" state="frozen"/>
      <selection activeCell="A1" activeCellId="0" sqref="A1"/>
    </sheetView>
  </sheetViews>
  <sheetFormatPr defaultColWidth="9.109375" defaultRowHeight="15.6"/>
  <cols>
    <col customWidth="1" min="1" max="1" style="64" width="56.6640625"/>
    <col customWidth="1" min="2" max="2" style="64" width="18.5546875"/>
    <col customWidth="1" min="3" max="42" style="64" width="18.33203125"/>
    <col min="43" max="16384" style="64" width="9.109375"/>
  </cols>
  <sheetData>
    <row r="1">
      <c r="A1" s="66" t="s">
        <v>631</v>
      </c>
    </row>
    <row r="2">
      <c r="A2" s="66"/>
    </row>
    <row r="3">
      <c r="A3" s="66" t="s">
        <v>632</v>
      </c>
    </row>
    <row r="4" s="221" customFormat="1" ht="15.75" customHeight="1">
      <c r="A4" s="223" t="s">
        <v>177</v>
      </c>
      <c r="B4" s="225" t="s">
        <v>421</v>
      </c>
      <c r="C4" s="225"/>
      <c r="D4" s="225"/>
      <c r="E4" s="225"/>
      <c r="F4" s="225"/>
      <c r="G4" s="225"/>
      <c r="H4" s="225"/>
      <c r="I4" s="225"/>
      <c r="J4" s="226" t="s">
        <v>422</v>
      </c>
      <c r="K4" s="226"/>
      <c r="L4" s="226"/>
      <c r="M4" s="226"/>
      <c r="N4" s="226"/>
      <c r="O4" s="226"/>
      <c r="P4" s="226"/>
      <c r="Q4" s="226"/>
      <c r="R4" s="227" t="s">
        <v>423</v>
      </c>
      <c r="S4" s="227"/>
      <c r="T4" s="227"/>
      <c r="U4" s="227"/>
      <c r="V4" s="227"/>
      <c r="W4" s="227"/>
      <c r="X4" s="227"/>
      <c r="Y4" s="227"/>
      <c r="Z4" s="227"/>
      <c r="AA4" s="227"/>
      <c r="AB4" s="227"/>
      <c r="AC4" s="227"/>
      <c r="AD4" s="227"/>
      <c r="AE4" s="227"/>
      <c r="AF4" s="227"/>
      <c r="AG4" s="227"/>
      <c r="AH4" s="227"/>
      <c r="AI4" s="227"/>
      <c r="AJ4" s="227"/>
      <c r="AK4" s="227"/>
      <c r="AL4" s="227"/>
    </row>
    <row r="5" s="221" customFormat="1">
      <c r="A5" s="228"/>
      <c r="B5" s="225"/>
      <c r="C5" s="225"/>
      <c r="D5" s="225"/>
      <c r="E5" s="225"/>
      <c r="F5" s="225"/>
      <c r="G5" s="225"/>
      <c r="H5" s="225"/>
      <c r="I5" s="225"/>
      <c r="J5" s="226"/>
      <c r="K5" s="226"/>
      <c r="L5" s="226"/>
      <c r="M5" s="226"/>
      <c r="N5" s="226"/>
      <c r="O5" s="226"/>
      <c r="P5" s="226"/>
      <c r="Q5" s="226"/>
      <c r="R5" s="230" t="s">
        <v>320</v>
      </c>
      <c r="S5" s="230"/>
      <c r="T5" s="230"/>
      <c r="U5" s="231" t="s">
        <v>321</v>
      </c>
      <c r="V5" s="231"/>
      <c r="W5" s="231"/>
      <c r="X5" s="231" t="s">
        <v>322</v>
      </c>
      <c r="Y5" s="231"/>
      <c r="Z5" s="231"/>
      <c r="AA5" s="231" t="s">
        <v>323</v>
      </c>
      <c r="AB5" s="231"/>
      <c r="AC5" s="231"/>
      <c r="AD5" s="231" t="s">
        <v>324</v>
      </c>
      <c r="AE5" s="231"/>
      <c r="AF5" s="231"/>
      <c r="AG5" s="232" t="s">
        <v>325</v>
      </c>
      <c r="AH5" s="233"/>
      <c r="AI5" s="234"/>
      <c r="AJ5" s="235" t="s">
        <v>326</v>
      </c>
      <c r="AK5" s="235"/>
      <c r="AL5" s="235"/>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c r="HV5" s="236"/>
      <c r="HW5" s="236"/>
      <c r="HX5" s="236"/>
      <c r="HY5" s="236"/>
      <c r="HZ5" s="236"/>
      <c r="IA5" s="236"/>
      <c r="IB5" s="236"/>
      <c r="IC5" s="236"/>
      <c r="ID5" s="236"/>
      <c r="IE5" s="236"/>
      <c r="IF5" s="236"/>
      <c r="IG5" s="236"/>
      <c r="IH5" s="236"/>
      <c r="II5" s="236"/>
      <c r="IJ5" s="236"/>
      <c r="IK5" s="236"/>
      <c r="IL5" s="236"/>
      <c r="IM5" s="236"/>
      <c r="IN5" s="236"/>
      <c r="IO5" s="236"/>
      <c r="IP5" s="236"/>
      <c r="IQ5" s="236"/>
      <c r="IR5" s="236"/>
      <c r="IS5" s="236"/>
      <c r="IT5" s="236"/>
      <c r="IU5" s="236"/>
    </row>
    <row r="6" s="221" customFormat="1" ht="31.199999999999999">
      <c r="A6" s="230"/>
      <c r="B6" s="402">
        <v>43830</v>
      </c>
      <c r="C6" s="402" t="s">
        <v>425</v>
      </c>
      <c r="D6" s="402" t="s">
        <v>426</v>
      </c>
      <c r="E6" s="402" t="s">
        <v>427</v>
      </c>
      <c r="F6" s="402" t="s">
        <v>428</v>
      </c>
      <c r="G6" s="402" t="s">
        <v>429</v>
      </c>
      <c r="H6" s="402" t="s">
        <v>430</v>
      </c>
      <c r="I6" s="402" t="s">
        <v>431</v>
      </c>
      <c r="J6" s="403" t="s">
        <v>424</v>
      </c>
      <c r="K6" s="403" t="str">
        <f t="shared" ref="K6:Q6" si="304">C6</f>
        <v>31.12.2018</v>
      </c>
      <c r="L6" s="403" t="str">
        <f t="shared" si="304"/>
        <v>31.12.2017</v>
      </c>
      <c r="M6" s="403" t="str">
        <f t="shared" si="304"/>
        <v>31.12.2016</v>
      </c>
      <c r="N6" s="403" t="str">
        <f t="shared" si="304"/>
        <v>31.12.2015</v>
      </c>
      <c r="O6" s="403" t="str">
        <f t="shared" si="304"/>
        <v>31.12.2014</v>
      </c>
      <c r="P6" s="403" t="str">
        <f t="shared" si="304"/>
        <v>31.12.2013</v>
      </c>
      <c r="Q6" s="403" t="str">
        <f t="shared" si="304"/>
        <v>31.12.2012</v>
      </c>
      <c r="R6" s="239" t="s">
        <v>432</v>
      </c>
      <c r="S6" s="239" t="s">
        <v>433</v>
      </c>
      <c r="T6" s="239" t="s">
        <v>434</v>
      </c>
      <c r="U6" s="239" t="s">
        <v>432</v>
      </c>
      <c r="V6" s="239" t="s">
        <v>433</v>
      </c>
      <c r="W6" s="239" t="s">
        <v>434</v>
      </c>
      <c r="X6" s="239" t="str">
        <f>U6</f>
        <v xml:space="preserve">в тыс. руб.</v>
      </c>
      <c r="Y6" s="239" t="str">
        <f t="shared" ref="Y6:AL6" si="305">V6</f>
        <v xml:space="preserve">темп прироста, %</v>
      </c>
      <c r="Z6" s="239" t="str">
        <f t="shared" si="305"/>
        <v xml:space="preserve">в структуре, %</v>
      </c>
      <c r="AA6" s="239" t="str">
        <f t="shared" si="305"/>
        <v xml:space="preserve">в тыс. руб.</v>
      </c>
      <c r="AB6" s="239" t="str">
        <f t="shared" si="305"/>
        <v xml:space="preserve">темп прироста, %</v>
      </c>
      <c r="AC6" s="239" t="str">
        <f t="shared" si="305"/>
        <v xml:space="preserve">в структуре, %</v>
      </c>
      <c r="AD6" s="239" t="str">
        <f t="shared" si="305"/>
        <v xml:space="preserve">в тыс. руб.</v>
      </c>
      <c r="AE6" s="239" t="str">
        <f t="shared" si="305"/>
        <v xml:space="preserve">темп прироста, %</v>
      </c>
      <c r="AF6" s="239" t="str">
        <f t="shared" si="305"/>
        <v xml:space="preserve">в структуре, %</v>
      </c>
      <c r="AG6" s="239" t="str">
        <f t="shared" si="305"/>
        <v xml:space="preserve">в тыс. руб.</v>
      </c>
      <c r="AH6" s="239" t="str">
        <f t="shared" si="305"/>
        <v xml:space="preserve">темп прироста, %</v>
      </c>
      <c r="AI6" s="239" t="str">
        <f t="shared" si="305"/>
        <v xml:space="preserve">в структуре, %</v>
      </c>
      <c r="AJ6" s="239" t="str">
        <f t="shared" si="305"/>
        <v xml:space="preserve">в тыс. руб.</v>
      </c>
      <c r="AK6" s="239" t="str">
        <f t="shared" si="305"/>
        <v xml:space="preserve">темп прироста, %</v>
      </c>
      <c r="AL6" s="239" t="str">
        <f t="shared" si="305"/>
        <v xml:space="preserve">в структуре, %</v>
      </c>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c r="HV6" s="236"/>
      <c r="HW6" s="236"/>
      <c r="HX6" s="236"/>
      <c r="HY6" s="236"/>
      <c r="HZ6" s="236"/>
      <c r="IA6" s="236"/>
      <c r="IB6" s="236"/>
      <c r="IC6" s="236"/>
      <c r="ID6" s="236"/>
      <c r="IE6" s="236"/>
      <c r="IF6" s="236"/>
      <c r="IG6" s="236"/>
      <c r="IH6" s="236"/>
      <c r="II6" s="236"/>
      <c r="IJ6" s="236"/>
      <c r="IK6" s="236"/>
      <c r="IL6" s="236"/>
      <c r="IM6" s="236"/>
      <c r="IN6" s="236"/>
      <c r="IO6" s="236"/>
      <c r="IP6" s="236"/>
      <c r="IQ6" s="236"/>
      <c r="IR6" s="236"/>
      <c r="IS6" s="236"/>
      <c r="IT6" s="236"/>
      <c r="IU6" s="236"/>
    </row>
    <row r="7">
      <c r="A7" s="182" t="s">
        <v>633</v>
      </c>
      <c r="B7" s="381"/>
      <c r="C7" s="347"/>
      <c r="D7" s="381"/>
      <c r="E7" s="347"/>
      <c r="F7" s="381"/>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row>
    <row r="8">
      <c r="A8" s="182" t="s">
        <v>634</v>
      </c>
      <c r="B8" s="381"/>
      <c r="C8" s="347"/>
      <c r="D8" s="381"/>
      <c r="E8" s="347"/>
      <c r="F8" s="381"/>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row>
    <row r="9">
      <c r="A9" s="182" t="s">
        <v>573</v>
      </c>
      <c r="B9" s="381"/>
      <c r="C9" s="347"/>
      <c r="D9" s="381"/>
      <c r="E9" s="347"/>
      <c r="F9" s="381"/>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7"/>
      <c r="AK9" s="377"/>
      <c r="AL9" s="377"/>
    </row>
    <row r="10">
      <c r="A10" s="182" t="s">
        <v>559</v>
      </c>
      <c r="B10" s="381"/>
      <c r="C10" s="347"/>
      <c r="D10" s="381"/>
      <c r="E10" s="347"/>
      <c r="F10" s="381"/>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row>
    <row r="11" ht="31.199999999999999">
      <c r="A11" s="182" t="s">
        <v>560</v>
      </c>
      <c r="B11" s="381"/>
      <c r="C11" s="184"/>
      <c r="D11" s="381"/>
      <c r="E11" s="184"/>
      <c r="F11" s="381"/>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row>
    <row r="12">
      <c r="A12" s="346" t="s">
        <v>635</v>
      </c>
      <c r="B12" s="301"/>
      <c r="C12" s="26"/>
      <c r="D12" s="301"/>
      <c r="E12" s="26"/>
      <c r="F12" s="301"/>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row>
    <row r="13">
      <c r="A13" s="78" t="s">
        <v>636</v>
      </c>
    </row>
    <row r="14">
      <c r="A14" s="66" t="s">
        <v>637</v>
      </c>
      <c r="E14" s="190"/>
      <c r="F14" s="306"/>
      <c r="G14" s="404"/>
    </row>
    <row r="15" s="221" customFormat="1" ht="15.75" customHeight="1">
      <c r="A15" s="223" t="s">
        <v>177</v>
      </c>
      <c r="B15" s="225" t="s">
        <v>421</v>
      </c>
      <c r="C15" s="225"/>
      <c r="D15" s="225"/>
      <c r="E15" s="225"/>
      <c r="F15" s="225"/>
      <c r="G15" s="225"/>
      <c r="H15" s="225"/>
      <c r="I15" s="225"/>
      <c r="J15" s="226" t="s">
        <v>422</v>
      </c>
      <c r="K15" s="226"/>
      <c r="L15" s="226"/>
      <c r="M15" s="226"/>
      <c r="N15" s="226"/>
      <c r="O15" s="226"/>
      <c r="P15" s="226"/>
      <c r="Q15" s="226"/>
      <c r="R15" s="227" t="s">
        <v>423</v>
      </c>
      <c r="S15" s="227"/>
      <c r="T15" s="227"/>
      <c r="U15" s="227"/>
      <c r="V15" s="227"/>
      <c r="W15" s="227"/>
      <c r="X15" s="227"/>
      <c r="Y15" s="227"/>
      <c r="Z15" s="227"/>
      <c r="AA15" s="227"/>
      <c r="AB15" s="227"/>
      <c r="AC15" s="227"/>
      <c r="AD15" s="227"/>
      <c r="AE15" s="227"/>
      <c r="AF15" s="227"/>
      <c r="AG15" s="227"/>
      <c r="AH15" s="227"/>
      <c r="AI15" s="227"/>
      <c r="AJ15" s="227"/>
      <c r="AK15" s="227"/>
      <c r="AL15" s="227"/>
    </row>
    <row r="16" s="221" customFormat="1">
      <c r="A16" s="228"/>
      <c r="B16" s="225"/>
      <c r="C16" s="225"/>
      <c r="D16" s="225"/>
      <c r="E16" s="225"/>
      <c r="F16" s="225"/>
      <c r="G16" s="225"/>
      <c r="H16" s="225"/>
      <c r="I16" s="225"/>
      <c r="J16" s="226"/>
      <c r="K16" s="226"/>
      <c r="L16" s="226"/>
      <c r="M16" s="226"/>
      <c r="N16" s="226"/>
      <c r="O16" s="226"/>
      <c r="P16" s="226"/>
      <c r="Q16" s="226"/>
      <c r="R16" s="230" t="s">
        <v>320</v>
      </c>
      <c r="S16" s="230"/>
      <c r="T16" s="230"/>
      <c r="U16" s="231" t="s">
        <v>321</v>
      </c>
      <c r="V16" s="231"/>
      <c r="W16" s="231"/>
      <c r="X16" s="231" t="s">
        <v>322</v>
      </c>
      <c r="Y16" s="231"/>
      <c r="Z16" s="231"/>
      <c r="AA16" s="231" t="s">
        <v>323</v>
      </c>
      <c r="AB16" s="231"/>
      <c r="AC16" s="231"/>
      <c r="AD16" s="231" t="s">
        <v>324</v>
      </c>
      <c r="AE16" s="231"/>
      <c r="AF16" s="231"/>
      <c r="AG16" s="232" t="s">
        <v>325</v>
      </c>
      <c r="AH16" s="233"/>
      <c r="AI16" s="234"/>
      <c r="AJ16" s="235" t="s">
        <v>326</v>
      </c>
      <c r="AK16" s="235"/>
      <c r="AL16" s="235"/>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row>
    <row r="17" s="221" customFormat="1" ht="31.199999999999999">
      <c r="A17" s="230"/>
      <c r="B17" s="402">
        <v>43830</v>
      </c>
      <c r="C17" s="402" t="s">
        <v>425</v>
      </c>
      <c r="D17" s="402" t="s">
        <v>426</v>
      </c>
      <c r="E17" s="402" t="s">
        <v>427</v>
      </c>
      <c r="F17" s="402" t="s">
        <v>428</v>
      </c>
      <c r="G17" s="402" t="s">
        <v>429</v>
      </c>
      <c r="H17" s="402" t="s">
        <v>430</v>
      </c>
      <c r="I17" s="402" t="s">
        <v>431</v>
      </c>
      <c r="J17" s="403">
        <f t="shared" ref="J17:Q17" si="306">B17</f>
        <v>43830</v>
      </c>
      <c r="K17" s="403" t="str">
        <f t="shared" si="306"/>
        <v>31.12.2018</v>
      </c>
      <c r="L17" s="403" t="str">
        <f t="shared" si="306"/>
        <v>31.12.2017</v>
      </c>
      <c r="M17" s="403" t="str">
        <f t="shared" si="306"/>
        <v>31.12.2016</v>
      </c>
      <c r="N17" s="403" t="str">
        <f t="shared" si="306"/>
        <v>31.12.2015</v>
      </c>
      <c r="O17" s="403" t="str">
        <f t="shared" si="306"/>
        <v>31.12.2014</v>
      </c>
      <c r="P17" s="403" t="str">
        <f t="shared" si="306"/>
        <v>31.12.2013</v>
      </c>
      <c r="Q17" s="403" t="str">
        <f t="shared" si="306"/>
        <v>31.12.2012</v>
      </c>
      <c r="R17" s="239" t="s">
        <v>432</v>
      </c>
      <c r="S17" s="239" t="s">
        <v>433</v>
      </c>
      <c r="T17" s="239" t="s">
        <v>434</v>
      </c>
      <c r="U17" s="239" t="s">
        <v>432</v>
      </c>
      <c r="V17" s="239" t="s">
        <v>433</v>
      </c>
      <c r="W17" s="239" t="s">
        <v>434</v>
      </c>
      <c r="X17" s="239" t="str">
        <f t="shared" ref="X17:AL80" si="307">U17</f>
        <v xml:space="preserve">в тыс. руб.</v>
      </c>
      <c r="Y17" s="239" t="str">
        <f t="shared" si="307"/>
        <v xml:space="preserve">темп прироста, %</v>
      </c>
      <c r="Z17" s="239" t="str">
        <f t="shared" si="307"/>
        <v xml:space="preserve">в структуре, %</v>
      </c>
      <c r="AA17" s="239" t="str">
        <f t="shared" si="307"/>
        <v xml:space="preserve">в тыс. руб.</v>
      </c>
      <c r="AB17" s="239" t="str">
        <f t="shared" si="307"/>
        <v xml:space="preserve">темп прироста, %</v>
      </c>
      <c r="AC17" s="239" t="str">
        <f t="shared" si="307"/>
        <v xml:space="preserve">в структуре, %</v>
      </c>
      <c r="AD17" s="239" t="str">
        <f t="shared" si="307"/>
        <v xml:space="preserve">в тыс. руб.</v>
      </c>
      <c r="AE17" s="239" t="str">
        <f t="shared" si="307"/>
        <v xml:space="preserve">темп прироста, %</v>
      </c>
      <c r="AF17" s="239" t="str">
        <f t="shared" si="307"/>
        <v xml:space="preserve">в структуре, %</v>
      </c>
      <c r="AG17" s="239" t="str">
        <f t="shared" si="307"/>
        <v xml:space="preserve">в тыс. руб.</v>
      </c>
      <c r="AH17" s="239" t="str">
        <f t="shared" si="307"/>
        <v xml:space="preserve">темп прироста, %</v>
      </c>
      <c r="AI17" s="239" t="str">
        <f t="shared" si="307"/>
        <v xml:space="preserve">в структуре, %</v>
      </c>
      <c r="AJ17" s="239" t="str">
        <f t="shared" si="307"/>
        <v xml:space="preserve">в тыс. руб.</v>
      </c>
      <c r="AK17" s="239" t="str">
        <f t="shared" si="307"/>
        <v xml:space="preserve">темп прироста, %</v>
      </c>
      <c r="AL17" s="239" t="str">
        <f t="shared" si="307"/>
        <v xml:space="preserve">в структуре, %</v>
      </c>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row>
    <row r="18">
      <c r="A18" s="182" t="s">
        <v>633</v>
      </c>
      <c r="B18" s="377"/>
      <c r="C18" s="347"/>
      <c r="D18" s="377"/>
      <c r="E18" s="34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row>
    <row r="19">
      <c r="A19" s="182" t="s">
        <v>634</v>
      </c>
      <c r="B19" s="377"/>
      <c r="C19" s="347"/>
      <c r="D19" s="377"/>
      <c r="E19" s="34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row>
    <row r="20">
      <c r="A20" s="182" t="s">
        <v>573</v>
      </c>
      <c r="B20" s="377"/>
      <c r="C20" s="347"/>
      <c r="D20" s="377"/>
      <c r="E20" s="347"/>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row>
    <row r="21">
      <c r="A21" s="182" t="s">
        <v>559</v>
      </c>
      <c r="B21" s="377"/>
      <c r="C21" s="347"/>
      <c r="D21" s="377"/>
      <c r="E21" s="34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row>
    <row r="22">
      <c r="A22" s="346" t="s">
        <v>638</v>
      </c>
      <c r="B22" s="301"/>
      <c r="C22" s="26"/>
      <c r="D22" s="301"/>
      <c r="E22" s="26"/>
      <c r="F22" s="301"/>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row>
    <row r="24" ht="16.199999999999999">
      <c r="A24" s="66" t="s">
        <v>639</v>
      </c>
      <c r="B24" s="405"/>
      <c r="C24" s="405"/>
      <c r="D24" s="405"/>
      <c r="E24" s="405"/>
      <c r="F24" s="405"/>
      <c r="G24" s="405"/>
    </row>
    <row r="25" s="221" customFormat="1" ht="15.75" customHeight="1">
      <c r="A25" s="223" t="s">
        <v>177</v>
      </c>
      <c r="B25" s="225" t="s">
        <v>421</v>
      </c>
      <c r="C25" s="225"/>
      <c r="D25" s="225"/>
      <c r="E25" s="225"/>
      <c r="F25" s="225"/>
      <c r="G25" s="225"/>
      <c r="H25" s="225"/>
      <c r="I25" s="225"/>
      <c r="J25" s="226" t="s">
        <v>422</v>
      </c>
      <c r="K25" s="226"/>
      <c r="L25" s="226"/>
      <c r="M25" s="226"/>
      <c r="N25" s="226"/>
      <c r="O25" s="226"/>
      <c r="P25" s="226"/>
      <c r="Q25" s="226"/>
      <c r="R25" s="227" t="s">
        <v>423</v>
      </c>
      <c r="S25" s="227"/>
      <c r="T25" s="227"/>
      <c r="U25" s="227"/>
      <c r="V25" s="227"/>
      <c r="W25" s="227"/>
      <c r="X25" s="227"/>
      <c r="Y25" s="227"/>
      <c r="Z25" s="227"/>
      <c r="AA25" s="227"/>
      <c r="AB25" s="227"/>
      <c r="AC25" s="227"/>
      <c r="AD25" s="227"/>
      <c r="AE25" s="227"/>
      <c r="AF25" s="227"/>
      <c r="AG25" s="227"/>
      <c r="AH25" s="227"/>
      <c r="AI25" s="227"/>
      <c r="AJ25" s="227"/>
      <c r="AK25" s="227"/>
      <c r="AL25" s="227"/>
    </row>
    <row r="26" s="221" customFormat="1">
      <c r="A26" s="228"/>
      <c r="B26" s="225"/>
      <c r="C26" s="225"/>
      <c r="D26" s="225"/>
      <c r="E26" s="225"/>
      <c r="F26" s="225"/>
      <c r="G26" s="225"/>
      <c r="H26" s="225"/>
      <c r="I26" s="225"/>
      <c r="J26" s="226"/>
      <c r="K26" s="226"/>
      <c r="L26" s="226"/>
      <c r="M26" s="226"/>
      <c r="N26" s="226"/>
      <c r="O26" s="226"/>
      <c r="P26" s="226"/>
      <c r="Q26" s="226"/>
      <c r="R26" s="230" t="s">
        <v>320</v>
      </c>
      <c r="S26" s="230"/>
      <c r="T26" s="230"/>
      <c r="U26" s="231" t="s">
        <v>321</v>
      </c>
      <c r="V26" s="231"/>
      <c r="W26" s="231"/>
      <c r="X26" s="231" t="s">
        <v>322</v>
      </c>
      <c r="Y26" s="231"/>
      <c r="Z26" s="231"/>
      <c r="AA26" s="231" t="s">
        <v>323</v>
      </c>
      <c r="AB26" s="231"/>
      <c r="AC26" s="231"/>
      <c r="AD26" s="231" t="s">
        <v>324</v>
      </c>
      <c r="AE26" s="231"/>
      <c r="AF26" s="231"/>
      <c r="AG26" s="232" t="s">
        <v>325</v>
      </c>
      <c r="AH26" s="233"/>
      <c r="AI26" s="234"/>
      <c r="AJ26" s="235" t="s">
        <v>326</v>
      </c>
      <c r="AK26" s="235"/>
      <c r="AL26" s="235"/>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row>
    <row r="27" s="221" customFormat="1" ht="31.199999999999999">
      <c r="A27" s="230"/>
      <c r="B27" s="402">
        <v>43830</v>
      </c>
      <c r="C27" s="402" t="s">
        <v>425</v>
      </c>
      <c r="D27" s="402" t="s">
        <v>426</v>
      </c>
      <c r="E27" s="402" t="s">
        <v>427</v>
      </c>
      <c r="F27" s="402" t="s">
        <v>428</v>
      </c>
      <c r="G27" s="402" t="s">
        <v>429</v>
      </c>
      <c r="H27" s="402" t="s">
        <v>430</v>
      </c>
      <c r="I27" s="402" t="s">
        <v>431</v>
      </c>
      <c r="J27" s="402">
        <v>43830</v>
      </c>
      <c r="K27" s="402" t="s">
        <v>425</v>
      </c>
      <c r="L27" s="402" t="s">
        <v>426</v>
      </c>
      <c r="M27" s="402" t="s">
        <v>427</v>
      </c>
      <c r="N27" s="402" t="s">
        <v>428</v>
      </c>
      <c r="O27" s="402" t="s">
        <v>429</v>
      </c>
      <c r="P27" s="402" t="s">
        <v>430</v>
      </c>
      <c r="Q27" s="402" t="s">
        <v>431</v>
      </c>
      <c r="R27" s="239" t="s">
        <v>432</v>
      </c>
      <c r="S27" s="239" t="s">
        <v>433</v>
      </c>
      <c r="T27" s="239" t="s">
        <v>434</v>
      </c>
      <c r="U27" s="239" t="s">
        <v>432</v>
      </c>
      <c r="V27" s="239" t="s">
        <v>433</v>
      </c>
      <c r="W27" s="239" t="s">
        <v>434</v>
      </c>
      <c r="X27" s="239" t="str">
        <f t="shared" si="307"/>
        <v xml:space="preserve">в тыс. руб.</v>
      </c>
      <c r="Y27" s="239" t="str">
        <f t="shared" si="307"/>
        <v xml:space="preserve">темп прироста, %</v>
      </c>
      <c r="Z27" s="239" t="str">
        <f t="shared" si="307"/>
        <v xml:space="preserve">в структуре, %</v>
      </c>
      <c r="AA27" s="239" t="str">
        <f t="shared" si="307"/>
        <v xml:space="preserve">в тыс. руб.</v>
      </c>
      <c r="AB27" s="239" t="str">
        <f t="shared" si="307"/>
        <v xml:space="preserve">темп прироста, %</v>
      </c>
      <c r="AC27" s="239" t="str">
        <f t="shared" si="307"/>
        <v xml:space="preserve">в структуре, %</v>
      </c>
      <c r="AD27" s="239" t="str">
        <f t="shared" si="307"/>
        <v xml:space="preserve">в тыс. руб.</v>
      </c>
      <c r="AE27" s="239" t="str">
        <f t="shared" si="307"/>
        <v xml:space="preserve">темп прироста, %</v>
      </c>
      <c r="AF27" s="239" t="str">
        <f t="shared" si="307"/>
        <v xml:space="preserve">в структуре, %</v>
      </c>
      <c r="AG27" s="239" t="str">
        <f t="shared" si="307"/>
        <v xml:space="preserve">в тыс. руб.</v>
      </c>
      <c r="AH27" s="239" t="str">
        <f t="shared" si="307"/>
        <v xml:space="preserve">темп прироста, %</v>
      </c>
      <c r="AI27" s="239" t="str">
        <f t="shared" si="307"/>
        <v xml:space="preserve">в структуре, %</v>
      </c>
      <c r="AJ27" s="239" t="str">
        <f t="shared" si="307"/>
        <v xml:space="preserve">в тыс. руб.</v>
      </c>
      <c r="AK27" s="239" t="str">
        <f t="shared" si="307"/>
        <v xml:space="preserve">темп прироста, %</v>
      </c>
      <c r="AL27" s="239" t="str">
        <f t="shared" si="307"/>
        <v xml:space="preserve">в структуре, %</v>
      </c>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c r="HV27" s="236"/>
      <c r="HW27" s="236"/>
      <c r="HX27" s="236"/>
      <c r="HY27" s="236"/>
      <c r="HZ27" s="236"/>
      <c r="IA27" s="236"/>
      <c r="IB27" s="236"/>
      <c r="IC27" s="236"/>
      <c r="ID27" s="236"/>
      <c r="IE27" s="236"/>
      <c r="IF27" s="236"/>
      <c r="IG27" s="236"/>
      <c r="IH27" s="236"/>
      <c r="II27" s="236"/>
      <c r="IJ27" s="236"/>
      <c r="IK27" s="236"/>
      <c r="IL27" s="236"/>
      <c r="IM27" s="236"/>
      <c r="IN27" s="236"/>
      <c r="IO27" s="236"/>
      <c r="IP27" s="236"/>
      <c r="IQ27" s="236"/>
      <c r="IR27" s="236"/>
      <c r="IS27" s="236"/>
      <c r="IT27" s="236"/>
      <c r="IU27" s="236"/>
    </row>
    <row r="28">
      <c r="A28" s="182" t="s">
        <v>640</v>
      </c>
      <c r="B28" s="406"/>
      <c r="C28" s="406"/>
      <c r="D28" s="406"/>
      <c r="E28" s="406"/>
      <c r="F28" s="406"/>
      <c r="G28" s="406"/>
      <c r="H28" s="406"/>
      <c r="I28" s="406"/>
      <c r="J28" s="406"/>
      <c r="K28" s="406"/>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406"/>
      <c r="AI28" s="406"/>
      <c r="AJ28" s="406"/>
      <c r="AK28" s="406"/>
      <c r="AL28" s="406"/>
    </row>
    <row r="29">
      <c r="A29" s="182" t="s">
        <v>41</v>
      </c>
      <c r="B29" s="406"/>
      <c r="C29" s="406"/>
      <c r="D29" s="406"/>
      <c r="E29" s="406"/>
      <c r="F29" s="406"/>
      <c r="G29" s="406"/>
      <c r="H29" s="406"/>
      <c r="I29" s="406"/>
      <c r="J29" s="406"/>
      <c r="K29" s="406"/>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6"/>
      <c r="AL29" s="406"/>
    </row>
    <row r="30">
      <c r="A30" s="346" t="s">
        <v>40</v>
      </c>
      <c r="B30" s="406"/>
      <c r="C30" s="406"/>
      <c r="D30" s="406"/>
      <c r="E30" s="406"/>
      <c r="F30" s="406"/>
      <c r="G30" s="406"/>
      <c r="H30" s="406"/>
      <c r="I30" s="406"/>
      <c r="J30" s="406"/>
      <c r="K30" s="406"/>
      <c r="L30" s="406"/>
      <c r="M30" s="406"/>
      <c r="N30" s="406"/>
      <c r="O30" s="406"/>
      <c r="P30" s="406"/>
      <c r="Q30" s="406"/>
      <c r="R30" s="406"/>
      <c r="S30" s="406"/>
      <c r="T30" s="406"/>
      <c r="U30" s="406"/>
      <c r="V30" s="406"/>
      <c r="W30" s="406"/>
      <c r="X30" s="406"/>
      <c r="Y30" s="406"/>
      <c r="Z30" s="406"/>
      <c r="AA30" s="406"/>
      <c r="AB30" s="406"/>
      <c r="AC30" s="406"/>
      <c r="AD30" s="406"/>
      <c r="AE30" s="406"/>
      <c r="AF30" s="406"/>
      <c r="AG30" s="406"/>
      <c r="AH30" s="406"/>
      <c r="AI30" s="406"/>
      <c r="AJ30" s="406"/>
      <c r="AK30" s="406"/>
      <c r="AL30" s="406"/>
    </row>
    <row r="31">
      <c r="A31" s="182" t="s">
        <v>42</v>
      </c>
      <c r="B31" s="406"/>
      <c r="C31" s="406"/>
      <c r="D31" s="406"/>
      <c r="E31" s="406"/>
      <c r="F31" s="406"/>
      <c r="G31" s="406"/>
      <c r="H31" s="406"/>
      <c r="I31" s="406"/>
      <c r="J31" s="406"/>
      <c r="K31" s="406"/>
      <c r="L31" s="406"/>
      <c r="M31" s="406"/>
      <c r="N31" s="406"/>
      <c r="O31" s="406"/>
      <c r="P31" s="406"/>
      <c r="Q31" s="406"/>
      <c r="R31" s="406"/>
      <c r="S31" s="406"/>
      <c r="T31" s="406"/>
      <c r="U31" s="406"/>
      <c r="V31" s="406"/>
      <c r="W31" s="406"/>
      <c r="X31" s="406"/>
      <c r="Y31" s="406"/>
      <c r="Z31" s="406"/>
      <c r="AA31" s="406"/>
      <c r="AB31" s="406"/>
      <c r="AC31" s="406"/>
      <c r="AD31" s="406"/>
      <c r="AE31" s="406"/>
      <c r="AF31" s="406"/>
      <c r="AG31" s="406"/>
      <c r="AH31" s="406"/>
      <c r="AI31" s="406"/>
      <c r="AJ31" s="406"/>
      <c r="AK31" s="406"/>
      <c r="AL31" s="406"/>
    </row>
    <row r="32">
      <c r="A32" s="182" t="s">
        <v>43</v>
      </c>
      <c r="B32" s="406"/>
      <c r="C32" s="406"/>
      <c r="D32" s="406"/>
      <c r="E32" s="406"/>
      <c r="F32" s="406"/>
      <c r="G32" s="406"/>
      <c r="H32" s="406"/>
      <c r="I32" s="406"/>
      <c r="J32" s="406"/>
      <c r="K32" s="406"/>
      <c r="L32" s="406"/>
      <c r="M32" s="406"/>
      <c r="N32" s="406"/>
      <c r="O32" s="406"/>
      <c r="P32" s="406"/>
      <c r="Q32" s="406"/>
      <c r="R32" s="406"/>
      <c r="S32" s="406"/>
      <c r="T32" s="406"/>
      <c r="U32" s="406"/>
      <c r="V32" s="406"/>
      <c r="W32" s="406"/>
      <c r="X32" s="406"/>
      <c r="Y32" s="406"/>
      <c r="Z32" s="406"/>
      <c r="AA32" s="406"/>
      <c r="AB32" s="406"/>
      <c r="AC32" s="406"/>
      <c r="AD32" s="406"/>
      <c r="AE32" s="406"/>
      <c r="AF32" s="406"/>
      <c r="AG32" s="406"/>
      <c r="AH32" s="406"/>
      <c r="AI32" s="406"/>
      <c r="AJ32" s="406"/>
      <c r="AK32" s="406"/>
      <c r="AL32" s="406"/>
    </row>
    <row r="33" ht="17.25" customHeight="1">
      <c r="A33" s="182" t="s">
        <v>641</v>
      </c>
      <c r="B33" s="406"/>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row>
    <row r="34" ht="17.25" customHeight="1">
      <c r="A34" s="77" t="s">
        <v>452</v>
      </c>
      <c r="B34" s="383"/>
      <c r="C34" s="190">
        <f>'[1]1'!D35-[1]сф!D30</f>
        <v>0</v>
      </c>
      <c r="D34" s="383"/>
      <c r="E34" s="190">
        <f>'[1]1'!C35-[1]сф!F30</f>
        <v>0</v>
      </c>
      <c r="F34" s="306"/>
      <c r="G34" s="404"/>
      <c r="H34" s="383"/>
    </row>
    <row r="35" ht="17.25" customHeight="1">
      <c r="A35" s="77"/>
      <c r="B35" s="383"/>
      <c r="C35" s="190"/>
      <c r="D35" s="383"/>
      <c r="E35" s="190"/>
      <c r="F35" s="306"/>
      <c r="G35" s="404"/>
      <c r="H35" s="383"/>
    </row>
    <row r="36" ht="36.75" customHeight="1">
      <c r="A36" s="77"/>
      <c r="B36" s="407"/>
      <c r="C36" s="407"/>
      <c r="D36" s="407"/>
      <c r="E36" s="407"/>
      <c r="F36" s="407"/>
      <c r="G36" s="407"/>
      <c r="H36" s="407"/>
      <c r="I36" s="407"/>
      <c r="J36" s="407"/>
      <c r="K36" s="407"/>
      <c r="L36" s="407"/>
      <c r="M36" s="407"/>
      <c r="N36" s="407"/>
      <c r="O36" s="407"/>
      <c r="P36" s="407"/>
      <c r="Q36" s="407"/>
    </row>
    <row r="37" ht="36.75" customHeight="1">
      <c r="A37" s="77"/>
      <c r="B37" s="407"/>
      <c r="C37" s="407"/>
      <c r="D37" s="407"/>
      <c r="E37" s="407"/>
      <c r="F37" s="407"/>
      <c r="G37" s="407"/>
      <c r="H37" s="407"/>
      <c r="I37" s="407"/>
      <c r="J37" s="407"/>
      <c r="K37" s="407"/>
      <c r="L37" s="407"/>
      <c r="M37" s="407"/>
      <c r="N37" s="407"/>
      <c r="O37" s="407"/>
      <c r="P37" s="407"/>
      <c r="Q37" s="407"/>
    </row>
    <row r="39" ht="17.25" customHeight="1">
      <c r="A39" s="66" t="s">
        <v>642</v>
      </c>
    </row>
    <row r="40" s="221" customFormat="1" ht="15.75" customHeight="1">
      <c r="A40" s="223" t="s">
        <v>177</v>
      </c>
      <c r="B40" s="225" t="s">
        <v>421</v>
      </c>
      <c r="C40" s="225"/>
      <c r="D40" s="225"/>
      <c r="E40" s="225"/>
      <c r="F40" s="225"/>
      <c r="G40" s="225"/>
      <c r="H40" s="225"/>
      <c r="I40" s="225"/>
      <c r="J40" s="226" t="s">
        <v>422</v>
      </c>
      <c r="K40" s="226"/>
      <c r="L40" s="226"/>
      <c r="M40" s="226"/>
      <c r="N40" s="226"/>
      <c r="O40" s="226"/>
      <c r="P40" s="226"/>
      <c r="Q40" s="226"/>
      <c r="R40" s="227" t="s">
        <v>423</v>
      </c>
      <c r="S40" s="227"/>
      <c r="T40" s="227"/>
      <c r="U40" s="227"/>
      <c r="V40" s="227"/>
      <c r="W40" s="227"/>
      <c r="X40" s="227"/>
      <c r="Y40" s="227"/>
      <c r="Z40" s="227"/>
      <c r="AA40" s="227"/>
      <c r="AB40" s="227"/>
      <c r="AC40" s="227"/>
      <c r="AD40" s="227"/>
      <c r="AE40" s="227"/>
      <c r="AF40" s="227"/>
      <c r="AG40" s="227"/>
      <c r="AH40" s="227"/>
      <c r="AI40" s="227"/>
      <c r="AJ40" s="227"/>
      <c r="AK40" s="227"/>
      <c r="AL40" s="227"/>
    </row>
    <row r="41" s="221" customFormat="1">
      <c r="A41" s="228"/>
      <c r="B41" s="225"/>
      <c r="C41" s="225"/>
      <c r="D41" s="225"/>
      <c r="E41" s="225"/>
      <c r="F41" s="225"/>
      <c r="G41" s="225"/>
      <c r="H41" s="225"/>
      <c r="I41" s="225"/>
      <c r="J41" s="226"/>
      <c r="K41" s="226"/>
      <c r="L41" s="226"/>
      <c r="M41" s="226"/>
      <c r="N41" s="226"/>
      <c r="O41" s="226"/>
      <c r="P41" s="226"/>
      <c r="Q41" s="226"/>
      <c r="R41" s="230" t="s">
        <v>320</v>
      </c>
      <c r="S41" s="230"/>
      <c r="T41" s="230"/>
      <c r="U41" s="231" t="s">
        <v>321</v>
      </c>
      <c r="V41" s="231"/>
      <c r="W41" s="231"/>
      <c r="X41" s="231" t="s">
        <v>322</v>
      </c>
      <c r="Y41" s="231"/>
      <c r="Z41" s="231"/>
      <c r="AA41" s="231" t="s">
        <v>323</v>
      </c>
      <c r="AB41" s="231"/>
      <c r="AC41" s="231"/>
      <c r="AD41" s="231" t="s">
        <v>324</v>
      </c>
      <c r="AE41" s="231"/>
      <c r="AF41" s="231"/>
      <c r="AG41" s="232" t="s">
        <v>325</v>
      </c>
      <c r="AH41" s="233"/>
      <c r="AI41" s="234"/>
      <c r="AJ41" s="235" t="s">
        <v>326</v>
      </c>
      <c r="AK41" s="235"/>
      <c r="AL41" s="235"/>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row>
    <row r="42" s="221" customFormat="1" ht="31.199999999999999">
      <c r="A42" s="230"/>
      <c r="B42" s="402">
        <v>43830</v>
      </c>
      <c r="C42" s="402" t="s">
        <v>425</v>
      </c>
      <c r="D42" s="402" t="s">
        <v>426</v>
      </c>
      <c r="E42" s="402" t="s">
        <v>427</v>
      </c>
      <c r="F42" s="402" t="s">
        <v>428</v>
      </c>
      <c r="G42" s="402" t="s">
        <v>429</v>
      </c>
      <c r="H42" s="402" t="s">
        <v>430</v>
      </c>
      <c r="I42" s="402" t="s">
        <v>431</v>
      </c>
      <c r="J42" s="402">
        <v>43830</v>
      </c>
      <c r="K42" s="402" t="s">
        <v>425</v>
      </c>
      <c r="L42" s="402" t="s">
        <v>426</v>
      </c>
      <c r="M42" s="402" t="s">
        <v>427</v>
      </c>
      <c r="N42" s="402" t="s">
        <v>428</v>
      </c>
      <c r="O42" s="402" t="s">
        <v>429</v>
      </c>
      <c r="P42" s="402" t="s">
        <v>430</v>
      </c>
      <c r="Q42" s="402" t="s">
        <v>431</v>
      </c>
      <c r="R42" s="239" t="s">
        <v>432</v>
      </c>
      <c r="S42" s="239" t="s">
        <v>433</v>
      </c>
      <c r="T42" s="239" t="s">
        <v>434</v>
      </c>
      <c r="U42" s="239" t="s">
        <v>432</v>
      </c>
      <c r="V42" s="239" t="s">
        <v>433</v>
      </c>
      <c r="W42" s="239" t="s">
        <v>434</v>
      </c>
      <c r="X42" s="239" t="str">
        <f t="shared" si="307"/>
        <v xml:space="preserve">в тыс. руб.</v>
      </c>
      <c r="Y42" s="239" t="str">
        <f t="shared" si="307"/>
        <v xml:space="preserve">темп прироста, %</v>
      </c>
      <c r="Z42" s="239" t="str">
        <f t="shared" si="307"/>
        <v xml:space="preserve">в структуре, %</v>
      </c>
      <c r="AA42" s="239" t="str">
        <f t="shared" si="307"/>
        <v xml:space="preserve">в тыс. руб.</v>
      </c>
      <c r="AB42" s="239" t="str">
        <f t="shared" si="307"/>
        <v xml:space="preserve">темп прироста, %</v>
      </c>
      <c r="AC42" s="239" t="str">
        <f t="shared" si="307"/>
        <v xml:space="preserve">в структуре, %</v>
      </c>
      <c r="AD42" s="239" t="str">
        <f t="shared" si="307"/>
        <v xml:space="preserve">в тыс. руб.</v>
      </c>
      <c r="AE42" s="239" t="str">
        <f t="shared" si="307"/>
        <v xml:space="preserve">темп прироста, %</v>
      </c>
      <c r="AF42" s="239" t="str">
        <f t="shared" si="307"/>
        <v xml:space="preserve">в структуре, %</v>
      </c>
      <c r="AG42" s="239" t="str">
        <f t="shared" si="307"/>
        <v xml:space="preserve">в тыс. руб.</v>
      </c>
      <c r="AH42" s="239" t="str">
        <f t="shared" si="307"/>
        <v xml:space="preserve">темп прироста, %</v>
      </c>
      <c r="AI42" s="239" t="str">
        <f t="shared" si="307"/>
        <v xml:space="preserve">в структуре, %</v>
      </c>
      <c r="AJ42" s="239" t="str">
        <f t="shared" si="307"/>
        <v xml:space="preserve">в тыс. руб.</v>
      </c>
      <c r="AK42" s="239" t="str">
        <f t="shared" si="307"/>
        <v xml:space="preserve">темп прироста, %</v>
      </c>
      <c r="AL42" s="239" t="str">
        <f t="shared" si="307"/>
        <v xml:space="preserve">в структуре, %</v>
      </c>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c r="HV42" s="236"/>
      <c r="HW42" s="236"/>
      <c r="HX42" s="236"/>
      <c r="HY42" s="236"/>
      <c r="HZ42" s="236"/>
      <c r="IA42" s="236"/>
      <c r="IB42" s="236"/>
      <c r="IC42" s="236"/>
      <c r="ID42" s="236"/>
      <c r="IE42" s="236"/>
      <c r="IF42" s="236"/>
      <c r="IG42" s="236"/>
      <c r="IH42" s="236"/>
      <c r="II42" s="236"/>
      <c r="IJ42" s="236"/>
      <c r="IK42" s="236"/>
      <c r="IL42" s="236"/>
      <c r="IM42" s="236"/>
      <c r="IN42" s="236"/>
      <c r="IO42" s="236"/>
      <c r="IP42" s="236"/>
      <c r="IQ42" s="236"/>
      <c r="IR42" s="236"/>
      <c r="IS42" s="236"/>
      <c r="IT42" s="236"/>
      <c r="IU42" s="236"/>
    </row>
    <row r="43">
      <c r="A43" s="346" t="s">
        <v>633</v>
      </c>
      <c r="B43" s="381">
        <f>B28+B29+B30</f>
        <v>0</v>
      </c>
      <c r="C43" s="381">
        <f t="shared" ref="C43:I43" si="308">C28++C29+C30</f>
        <v>0</v>
      </c>
      <c r="D43" s="381">
        <f t="shared" si="308"/>
        <v>0</v>
      </c>
      <c r="E43" s="381">
        <f t="shared" si="308"/>
        <v>0</v>
      </c>
      <c r="F43" s="381">
        <f t="shared" si="308"/>
        <v>0</v>
      </c>
      <c r="G43" s="381">
        <f t="shared" si="308"/>
        <v>0</v>
      </c>
      <c r="H43" s="381">
        <f t="shared" si="308"/>
        <v>0</v>
      </c>
      <c r="I43" s="381">
        <f t="shared" si="308"/>
        <v>0</v>
      </c>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c r="AK43" s="381"/>
      <c r="AL43" s="381"/>
    </row>
    <row r="44">
      <c r="A44" s="346" t="s">
        <v>634</v>
      </c>
      <c r="B44" s="381">
        <f>B31+B32</f>
        <v>0</v>
      </c>
      <c r="C44" s="381">
        <f t="shared" ref="C44:I44" si="309">C31+C32</f>
        <v>0</v>
      </c>
      <c r="D44" s="381">
        <f t="shared" si="309"/>
        <v>0</v>
      </c>
      <c r="E44" s="381">
        <f t="shared" si="309"/>
        <v>0</v>
      </c>
      <c r="F44" s="381">
        <f t="shared" si="309"/>
        <v>0</v>
      </c>
      <c r="G44" s="381">
        <f t="shared" si="309"/>
        <v>0</v>
      </c>
      <c r="H44" s="381">
        <f t="shared" si="309"/>
        <v>0</v>
      </c>
      <c r="I44" s="381">
        <f t="shared" si="309"/>
        <v>0</v>
      </c>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row>
    <row r="45">
      <c r="A45" s="346" t="s">
        <v>643</v>
      </c>
      <c r="B45" s="381">
        <f>SUM(B43:B44)</f>
        <v>0</v>
      </c>
      <c r="C45" s="381">
        <f t="shared" ref="C45:I45" si="310">SUM(C43:C44)</f>
        <v>0</v>
      </c>
      <c r="D45" s="381">
        <f t="shared" si="310"/>
        <v>0</v>
      </c>
      <c r="E45" s="381">
        <f t="shared" si="310"/>
        <v>0</v>
      </c>
      <c r="F45" s="381">
        <f t="shared" si="310"/>
        <v>0</v>
      </c>
      <c r="G45" s="381">
        <f t="shared" si="310"/>
        <v>0</v>
      </c>
      <c r="H45" s="381">
        <f t="shared" si="310"/>
        <v>0</v>
      </c>
      <c r="I45" s="381">
        <f t="shared" si="310"/>
        <v>0</v>
      </c>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row>
    <row r="46">
      <c r="A46" s="408"/>
      <c r="B46" s="409"/>
      <c r="C46" s="409"/>
      <c r="D46" s="409"/>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row>
    <row r="47">
      <c r="A47" s="408"/>
      <c r="B47" s="410"/>
      <c r="C47" s="410"/>
      <c r="D47" s="410"/>
      <c r="E47" s="410"/>
      <c r="F47" s="410"/>
      <c r="G47" s="410"/>
      <c r="H47" s="410"/>
      <c r="I47" s="410"/>
      <c r="J47" s="410"/>
      <c r="K47" s="410"/>
      <c r="L47" s="410"/>
      <c r="M47" s="410"/>
      <c r="N47" s="410"/>
      <c r="O47" s="410"/>
      <c r="P47" s="410"/>
      <c r="Q47" s="410"/>
      <c r="R47" s="410"/>
      <c r="S47" s="409"/>
      <c r="T47" s="409"/>
      <c r="U47" s="409"/>
      <c r="V47" s="409"/>
      <c r="W47" s="409"/>
      <c r="X47" s="409"/>
      <c r="Y47" s="409"/>
      <c r="Z47" s="409"/>
      <c r="AA47" s="409"/>
      <c r="AB47" s="409"/>
      <c r="AC47" s="409"/>
      <c r="AD47" s="409"/>
      <c r="AE47" s="409"/>
      <c r="AF47" s="409"/>
      <c r="AG47" s="409"/>
      <c r="AH47" s="409"/>
      <c r="AI47" s="409"/>
      <c r="AJ47" s="409"/>
      <c r="AK47" s="409"/>
      <c r="AL47" s="409"/>
    </row>
    <row r="48">
      <c r="A48" s="408"/>
      <c r="B48" s="410"/>
      <c r="C48" s="410"/>
      <c r="D48" s="410"/>
      <c r="E48" s="410"/>
      <c r="F48" s="410"/>
      <c r="G48" s="410"/>
      <c r="H48" s="410"/>
      <c r="I48" s="410"/>
      <c r="J48" s="410"/>
      <c r="K48" s="410"/>
      <c r="L48" s="410"/>
      <c r="M48" s="410"/>
      <c r="N48" s="410"/>
      <c r="O48" s="410"/>
      <c r="P48" s="410"/>
      <c r="Q48" s="410"/>
      <c r="R48" s="410"/>
      <c r="S48" s="409"/>
      <c r="T48" s="409"/>
      <c r="U48" s="409"/>
      <c r="V48" s="409"/>
      <c r="W48" s="409"/>
      <c r="X48" s="409"/>
      <c r="Y48" s="409"/>
      <c r="Z48" s="409"/>
      <c r="AA48" s="409"/>
      <c r="AB48" s="409"/>
      <c r="AC48" s="409"/>
      <c r="AD48" s="409"/>
      <c r="AE48" s="409"/>
      <c r="AF48" s="409"/>
      <c r="AG48" s="409"/>
      <c r="AH48" s="409"/>
      <c r="AI48" s="409"/>
      <c r="AJ48" s="409"/>
      <c r="AK48" s="409"/>
      <c r="AL48" s="409"/>
    </row>
    <row r="50">
      <c r="A50" s="66" t="s">
        <v>644</v>
      </c>
      <c r="B50" s="295"/>
      <c r="D50" s="295"/>
    </row>
    <row r="51" s="411" customFormat="1" ht="15.75" customHeight="1">
      <c r="A51" s="359" t="s">
        <v>488</v>
      </c>
      <c r="B51" s="179" t="str">
        <f>офр!B4</f>
        <v xml:space="preserve">2019 год</v>
      </c>
      <c r="C51" s="179" t="str">
        <f>офр!C4</f>
        <v xml:space="preserve">2018 год</v>
      </c>
      <c r="D51" s="179" t="str">
        <f>офр!D4</f>
        <v xml:space="preserve">2017 год</v>
      </c>
      <c r="E51" s="179" t="str">
        <f>офр!E4</f>
        <v xml:space="preserve">2016 год</v>
      </c>
      <c r="F51" s="179" t="str">
        <f>офр!F4</f>
        <v xml:space="preserve">2015 год</v>
      </c>
      <c r="G51" s="179" t="str">
        <f>офр!G4</f>
        <v xml:space="preserve">2014 год</v>
      </c>
      <c r="H51" s="179" t="str">
        <f>офр!H4</f>
        <v xml:space="preserve">2013 год</v>
      </c>
      <c r="I51" s="412"/>
      <c r="J51" s="407"/>
      <c r="K51" s="407"/>
      <c r="L51" s="407"/>
      <c r="M51" s="407"/>
      <c r="N51" s="407"/>
      <c r="O51" s="407"/>
      <c r="P51" s="407"/>
      <c r="Q51" s="407"/>
    </row>
    <row r="52">
      <c r="A52" s="346" t="s">
        <v>645</v>
      </c>
      <c r="B52" s="413"/>
      <c r="C52" s="413"/>
      <c r="D52" s="413"/>
      <c r="E52" s="413"/>
      <c r="F52" s="413"/>
      <c r="G52" s="413"/>
      <c r="H52" s="413"/>
      <c r="I52" s="412"/>
      <c r="J52" s="407"/>
      <c r="K52" s="407"/>
      <c r="L52" s="407"/>
      <c r="M52" s="407"/>
      <c r="N52" s="407"/>
      <c r="O52" s="407"/>
      <c r="P52" s="407"/>
      <c r="Q52" s="407"/>
    </row>
    <row r="54" ht="16.199999999999999">
      <c r="A54" s="66" t="s">
        <v>646</v>
      </c>
      <c r="B54" s="405"/>
      <c r="C54" s="405"/>
      <c r="D54" s="405"/>
      <c r="E54" s="405"/>
      <c r="F54" s="405"/>
      <c r="G54" s="405"/>
      <c r="H54" s="414"/>
    </row>
    <row r="55" s="221" customFormat="1" ht="15.75" customHeight="1">
      <c r="A55" s="223" t="s">
        <v>177</v>
      </c>
      <c r="B55" s="225" t="s">
        <v>421</v>
      </c>
      <c r="C55" s="225"/>
      <c r="D55" s="225"/>
      <c r="E55" s="225"/>
      <c r="F55" s="225"/>
      <c r="G55" s="225"/>
      <c r="H55" s="225"/>
      <c r="I55" s="225"/>
      <c r="J55" s="226" t="s">
        <v>422</v>
      </c>
      <c r="K55" s="226"/>
      <c r="L55" s="226"/>
      <c r="M55" s="226"/>
      <c r="N55" s="226"/>
      <c r="O55" s="226"/>
      <c r="P55" s="226"/>
      <c r="Q55" s="226"/>
      <c r="R55" s="227" t="s">
        <v>423</v>
      </c>
      <c r="S55" s="227"/>
      <c r="T55" s="227"/>
      <c r="U55" s="227"/>
      <c r="V55" s="227"/>
      <c r="W55" s="227"/>
      <c r="X55" s="227"/>
      <c r="Y55" s="227"/>
      <c r="Z55" s="227"/>
      <c r="AA55" s="227"/>
      <c r="AB55" s="227"/>
      <c r="AC55" s="227"/>
      <c r="AD55" s="227"/>
      <c r="AE55" s="227"/>
      <c r="AF55" s="227"/>
      <c r="AG55" s="227"/>
      <c r="AH55" s="227"/>
      <c r="AI55" s="227"/>
      <c r="AJ55" s="227"/>
      <c r="AK55" s="227"/>
      <c r="AL55" s="227"/>
    </row>
    <row r="56" s="221" customFormat="1">
      <c r="A56" s="228"/>
      <c r="B56" s="225"/>
      <c r="C56" s="225"/>
      <c r="D56" s="225"/>
      <c r="E56" s="225"/>
      <c r="F56" s="225"/>
      <c r="G56" s="225"/>
      <c r="H56" s="225"/>
      <c r="I56" s="225"/>
      <c r="J56" s="226"/>
      <c r="K56" s="226"/>
      <c r="L56" s="226"/>
      <c r="M56" s="226"/>
      <c r="N56" s="226"/>
      <c r="O56" s="226"/>
      <c r="P56" s="226"/>
      <c r="Q56" s="226"/>
      <c r="R56" s="230" t="s">
        <v>320</v>
      </c>
      <c r="S56" s="230"/>
      <c r="T56" s="230"/>
      <c r="U56" s="231" t="s">
        <v>321</v>
      </c>
      <c r="V56" s="231"/>
      <c r="W56" s="231"/>
      <c r="X56" s="231" t="s">
        <v>322</v>
      </c>
      <c r="Y56" s="231"/>
      <c r="Z56" s="231"/>
      <c r="AA56" s="231" t="s">
        <v>323</v>
      </c>
      <c r="AB56" s="231"/>
      <c r="AC56" s="231"/>
      <c r="AD56" s="231" t="s">
        <v>324</v>
      </c>
      <c r="AE56" s="231"/>
      <c r="AF56" s="231"/>
      <c r="AG56" s="232" t="s">
        <v>325</v>
      </c>
      <c r="AH56" s="233"/>
      <c r="AI56" s="234"/>
      <c r="AJ56" s="235" t="s">
        <v>326</v>
      </c>
      <c r="AK56" s="235"/>
      <c r="AL56" s="235"/>
      <c r="AM56" s="236"/>
      <c r="AN56" s="236"/>
      <c r="AO56" s="236"/>
      <c r="AP56" s="236"/>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c r="HV56" s="236"/>
      <c r="HW56" s="236"/>
      <c r="HX56" s="236"/>
      <c r="HY56" s="236"/>
      <c r="HZ56" s="236"/>
      <c r="IA56" s="236"/>
      <c r="IB56" s="236"/>
      <c r="IC56" s="236"/>
      <c r="ID56" s="236"/>
      <c r="IE56" s="236"/>
      <c r="IF56" s="236"/>
      <c r="IG56" s="236"/>
      <c r="IH56" s="236"/>
      <c r="II56" s="236"/>
      <c r="IJ56" s="236"/>
      <c r="IK56" s="236"/>
      <c r="IL56" s="236"/>
      <c r="IM56" s="236"/>
      <c r="IN56" s="236"/>
      <c r="IO56" s="236"/>
      <c r="IP56" s="236"/>
      <c r="IQ56" s="236"/>
      <c r="IR56" s="236"/>
      <c r="IS56" s="236"/>
      <c r="IT56" s="236"/>
      <c r="IU56" s="236"/>
    </row>
    <row r="57" s="221" customFormat="1" ht="31.199999999999999">
      <c r="A57" s="230"/>
      <c r="B57" s="402">
        <v>43830</v>
      </c>
      <c r="C57" s="402" t="s">
        <v>425</v>
      </c>
      <c r="D57" s="402" t="s">
        <v>426</v>
      </c>
      <c r="E57" s="402" t="s">
        <v>427</v>
      </c>
      <c r="F57" s="402" t="s">
        <v>428</v>
      </c>
      <c r="G57" s="402" t="s">
        <v>429</v>
      </c>
      <c r="H57" s="402" t="s">
        <v>430</v>
      </c>
      <c r="I57" s="402" t="s">
        <v>431</v>
      </c>
      <c r="J57" s="402">
        <v>43830</v>
      </c>
      <c r="K57" s="402" t="s">
        <v>425</v>
      </c>
      <c r="L57" s="402" t="s">
        <v>426</v>
      </c>
      <c r="M57" s="402" t="s">
        <v>427</v>
      </c>
      <c r="N57" s="402" t="s">
        <v>428</v>
      </c>
      <c r="O57" s="402" t="s">
        <v>429</v>
      </c>
      <c r="P57" s="402" t="s">
        <v>430</v>
      </c>
      <c r="Q57" s="402" t="s">
        <v>431</v>
      </c>
      <c r="R57" s="239" t="s">
        <v>432</v>
      </c>
      <c r="S57" s="239" t="s">
        <v>433</v>
      </c>
      <c r="T57" s="239" t="s">
        <v>434</v>
      </c>
      <c r="U57" s="239" t="s">
        <v>432</v>
      </c>
      <c r="V57" s="239" t="s">
        <v>433</v>
      </c>
      <c r="W57" s="239" t="s">
        <v>434</v>
      </c>
      <c r="X57" s="239" t="str">
        <f t="shared" si="307"/>
        <v xml:space="preserve">в тыс. руб.</v>
      </c>
      <c r="Y57" s="239" t="str">
        <f t="shared" si="307"/>
        <v xml:space="preserve">темп прироста, %</v>
      </c>
      <c r="Z57" s="239" t="str">
        <f t="shared" si="307"/>
        <v xml:space="preserve">в структуре, %</v>
      </c>
      <c r="AA57" s="239" t="str">
        <f t="shared" si="307"/>
        <v xml:space="preserve">в тыс. руб.</v>
      </c>
      <c r="AB57" s="239" t="str">
        <f t="shared" si="307"/>
        <v xml:space="preserve">темп прироста, %</v>
      </c>
      <c r="AC57" s="239" t="str">
        <f t="shared" si="307"/>
        <v xml:space="preserve">в структуре, %</v>
      </c>
      <c r="AD57" s="239" t="str">
        <f t="shared" si="307"/>
        <v xml:space="preserve">в тыс. руб.</v>
      </c>
      <c r="AE57" s="239" t="str">
        <f t="shared" si="307"/>
        <v xml:space="preserve">темп прироста, %</v>
      </c>
      <c r="AF57" s="239" t="str">
        <f t="shared" si="307"/>
        <v xml:space="preserve">в структуре, %</v>
      </c>
      <c r="AG57" s="239" t="str">
        <f t="shared" si="307"/>
        <v xml:space="preserve">в тыс. руб.</v>
      </c>
      <c r="AH57" s="239" t="str">
        <f t="shared" si="307"/>
        <v xml:space="preserve">темп прироста, %</v>
      </c>
      <c r="AI57" s="239" t="str">
        <f t="shared" si="307"/>
        <v xml:space="preserve">в структуре, %</v>
      </c>
      <c r="AJ57" s="239" t="str">
        <f t="shared" si="307"/>
        <v xml:space="preserve">в тыс. руб.</v>
      </c>
      <c r="AK57" s="239" t="str">
        <f t="shared" si="307"/>
        <v xml:space="preserve">темп прироста, %</v>
      </c>
      <c r="AL57" s="239" t="str">
        <f t="shared" si="307"/>
        <v xml:space="preserve">в структуре, %</v>
      </c>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c r="HV57" s="236"/>
      <c r="HW57" s="236"/>
      <c r="HX57" s="236"/>
      <c r="HY57" s="236"/>
      <c r="HZ57" s="236"/>
      <c r="IA57" s="236"/>
      <c r="IB57" s="236"/>
      <c r="IC57" s="236"/>
      <c r="ID57" s="236"/>
      <c r="IE57" s="236"/>
      <c r="IF57" s="236"/>
      <c r="IG57" s="236"/>
      <c r="IH57" s="236"/>
      <c r="II57" s="236"/>
      <c r="IJ57" s="236"/>
      <c r="IK57" s="236"/>
      <c r="IL57" s="236"/>
      <c r="IM57" s="236"/>
      <c r="IN57" s="236"/>
      <c r="IO57" s="236"/>
      <c r="IP57" s="236"/>
      <c r="IQ57" s="236"/>
      <c r="IR57" s="236"/>
      <c r="IS57" s="236"/>
      <c r="IT57" s="236"/>
      <c r="IU57" s="236"/>
    </row>
    <row r="58">
      <c r="A58" s="415" t="s">
        <v>647</v>
      </c>
      <c r="B58" s="381"/>
      <c r="C58" s="347"/>
      <c r="D58" s="381"/>
      <c r="E58" s="347"/>
      <c r="F58" s="381"/>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row>
    <row r="59">
      <c r="A59" s="415" t="s">
        <v>47</v>
      </c>
      <c r="B59" s="381"/>
      <c r="C59" s="347"/>
      <c r="D59" s="381"/>
      <c r="E59" s="347"/>
      <c r="F59" s="381"/>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c r="AL59" s="377"/>
    </row>
    <row r="60">
      <c r="A60" s="415" t="s">
        <v>648</v>
      </c>
      <c r="B60" s="381"/>
      <c r="C60" s="347"/>
      <c r="D60" s="381"/>
      <c r="E60" s="347"/>
      <c r="F60" s="381"/>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7"/>
      <c r="AJ60" s="377"/>
      <c r="AK60" s="377"/>
      <c r="AL60" s="377"/>
    </row>
    <row r="61">
      <c r="A61" s="415" t="s">
        <v>649</v>
      </c>
      <c r="B61" s="381"/>
      <c r="C61" s="347"/>
      <c r="D61" s="381"/>
      <c r="E61" s="347"/>
      <c r="F61" s="381"/>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c r="AJ61" s="377"/>
      <c r="AK61" s="377"/>
      <c r="AL61" s="377"/>
    </row>
    <row r="62">
      <c r="A62" s="415" t="s">
        <v>559</v>
      </c>
      <c r="B62" s="381"/>
      <c r="C62" s="184"/>
      <c r="D62" s="381"/>
      <c r="E62" s="184"/>
      <c r="F62" s="381"/>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row>
    <row r="63">
      <c r="A63" s="415" t="s">
        <v>52</v>
      </c>
      <c r="B63" s="381"/>
      <c r="C63" s="184"/>
      <c r="D63" s="381"/>
      <c r="E63" s="184"/>
      <c r="F63" s="381"/>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7"/>
      <c r="AF63" s="377"/>
      <c r="AG63" s="377"/>
      <c r="AH63" s="377"/>
      <c r="AI63" s="377"/>
      <c r="AJ63" s="377"/>
      <c r="AK63" s="377"/>
      <c r="AL63" s="377"/>
    </row>
    <row r="64">
      <c r="A64" s="415" t="s">
        <v>53</v>
      </c>
      <c r="B64" s="381"/>
      <c r="C64" s="184"/>
      <c r="D64" s="381"/>
      <c r="E64" s="184"/>
      <c r="F64" s="381"/>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row>
    <row r="65">
      <c r="A65" s="415" t="s">
        <v>650</v>
      </c>
      <c r="B65" s="381"/>
      <c r="C65" s="184"/>
      <c r="D65" s="381"/>
      <c r="E65" s="184"/>
      <c r="F65" s="381"/>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c r="AJ65" s="377"/>
      <c r="AK65" s="377"/>
      <c r="AL65" s="377"/>
    </row>
    <row r="66">
      <c r="A66" s="415" t="s">
        <v>651</v>
      </c>
      <c r="B66" s="381"/>
      <c r="C66" s="184"/>
      <c r="D66" s="381"/>
      <c r="E66" s="184"/>
      <c r="F66" s="381"/>
      <c r="G66" s="377"/>
      <c r="H66" s="377"/>
      <c r="I66" s="377"/>
      <c r="J66" s="377"/>
      <c r="K66" s="377"/>
      <c r="L66" s="377"/>
      <c r="M66" s="377"/>
      <c r="N66" s="377"/>
      <c r="O66" s="377"/>
      <c r="P66" s="377"/>
      <c r="Q66" s="377"/>
      <c r="R66" s="377"/>
      <c r="S66" s="377"/>
      <c r="T66" s="377"/>
      <c r="U66" s="377"/>
      <c r="V66" s="377"/>
      <c r="W66" s="377"/>
      <c r="X66" s="377"/>
      <c r="Y66" s="377"/>
      <c r="Z66" s="377"/>
      <c r="AA66" s="377"/>
      <c r="AB66" s="377"/>
      <c r="AC66" s="377"/>
      <c r="AD66" s="377"/>
      <c r="AE66" s="377"/>
      <c r="AF66" s="377"/>
      <c r="AG66" s="377"/>
      <c r="AH66" s="377"/>
      <c r="AI66" s="377"/>
      <c r="AJ66" s="377"/>
      <c r="AK66" s="377"/>
      <c r="AL66" s="377"/>
    </row>
    <row r="67" s="66" customFormat="1">
      <c r="A67" s="416" t="s">
        <v>652</v>
      </c>
      <c r="B67" s="417"/>
      <c r="C67" s="418"/>
      <c r="D67" s="417"/>
      <c r="E67" s="418"/>
      <c r="F67" s="41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c r="AE67" s="377"/>
      <c r="AF67" s="377"/>
      <c r="AG67" s="377"/>
      <c r="AH67" s="377"/>
      <c r="AI67" s="377"/>
      <c r="AJ67" s="377"/>
      <c r="AK67" s="377"/>
      <c r="AL67" s="377"/>
    </row>
    <row r="68" s="66" customFormat="1">
      <c r="A68" s="77" t="s">
        <v>452</v>
      </c>
      <c r="B68" s="419"/>
      <c r="C68" s="419"/>
      <c r="D68" s="420"/>
      <c r="E68" s="419"/>
      <c r="F68" s="421"/>
      <c r="G68" s="420"/>
      <c r="H68" s="420"/>
    </row>
    <row r="69">
      <c r="A69" s="78"/>
      <c r="B69" s="422"/>
      <c r="C69" s="423"/>
      <c r="D69" s="422"/>
    </row>
    <row r="70">
      <c r="A70" s="66" t="s">
        <v>616</v>
      </c>
    </row>
    <row r="71" s="221" customFormat="1" ht="15.75" customHeight="1">
      <c r="A71" s="223" t="s">
        <v>177</v>
      </c>
      <c r="B71" s="225" t="s">
        <v>421</v>
      </c>
      <c r="C71" s="225"/>
      <c r="D71" s="225"/>
      <c r="E71" s="225"/>
      <c r="F71" s="225"/>
      <c r="G71" s="225"/>
      <c r="H71" s="225"/>
      <c r="I71" s="225"/>
      <c r="J71" s="226" t="s">
        <v>422</v>
      </c>
      <c r="K71" s="226"/>
      <c r="L71" s="226"/>
      <c r="M71" s="226"/>
      <c r="N71" s="226"/>
      <c r="O71" s="226"/>
      <c r="P71" s="226"/>
      <c r="Q71" s="226"/>
      <c r="R71" s="227" t="s">
        <v>423</v>
      </c>
      <c r="S71" s="227"/>
      <c r="T71" s="227"/>
      <c r="U71" s="227"/>
      <c r="V71" s="227"/>
      <c r="W71" s="227"/>
      <c r="X71" s="227"/>
      <c r="Y71" s="227"/>
      <c r="Z71" s="227"/>
      <c r="AA71" s="227"/>
      <c r="AB71" s="227"/>
      <c r="AC71" s="227"/>
      <c r="AD71" s="227"/>
      <c r="AE71" s="227"/>
      <c r="AF71" s="227"/>
      <c r="AG71" s="227"/>
      <c r="AH71" s="227"/>
      <c r="AI71" s="227"/>
      <c r="AJ71" s="227"/>
      <c r="AK71" s="227"/>
      <c r="AL71" s="227"/>
    </row>
    <row r="72" s="221" customFormat="1">
      <c r="A72" s="228"/>
      <c r="B72" s="225"/>
      <c r="C72" s="225"/>
      <c r="D72" s="225"/>
      <c r="E72" s="225"/>
      <c r="F72" s="225"/>
      <c r="G72" s="225"/>
      <c r="H72" s="225"/>
      <c r="I72" s="225"/>
      <c r="J72" s="226"/>
      <c r="K72" s="226"/>
      <c r="L72" s="226"/>
      <c r="M72" s="226"/>
      <c r="N72" s="226"/>
      <c r="O72" s="226"/>
      <c r="P72" s="226"/>
      <c r="Q72" s="226"/>
      <c r="R72" s="230" t="s">
        <v>320</v>
      </c>
      <c r="S72" s="230"/>
      <c r="T72" s="230"/>
      <c r="U72" s="231" t="s">
        <v>321</v>
      </c>
      <c r="V72" s="231"/>
      <c r="W72" s="231"/>
      <c r="X72" s="231" t="s">
        <v>322</v>
      </c>
      <c r="Y72" s="231"/>
      <c r="Z72" s="231"/>
      <c r="AA72" s="231" t="s">
        <v>323</v>
      </c>
      <c r="AB72" s="231"/>
      <c r="AC72" s="231"/>
      <c r="AD72" s="231" t="s">
        <v>324</v>
      </c>
      <c r="AE72" s="231"/>
      <c r="AF72" s="231"/>
      <c r="AG72" s="232" t="s">
        <v>325</v>
      </c>
      <c r="AH72" s="233"/>
      <c r="AI72" s="234"/>
      <c r="AJ72" s="235" t="s">
        <v>326</v>
      </c>
      <c r="AK72" s="235"/>
      <c r="AL72" s="235"/>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c r="HV72" s="236"/>
      <c r="HW72" s="236"/>
      <c r="HX72" s="236"/>
      <c r="HY72" s="236"/>
      <c r="HZ72" s="236"/>
      <c r="IA72" s="236"/>
      <c r="IB72" s="236"/>
      <c r="IC72" s="236"/>
      <c r="ID72" s="236"/>
      <c r="IE72" s="236"/>
      <c r="IF72" s="236"/>
      <c r="IG72" s="236"/>
      <c r="IH72" s="236"/>
      <c r="II72" s="236"/>
      <c r="IJ72" s="236"/>
      <c r="IK72" s="236"/>
      <c r="IL72" s="236"/>
      <c r="IM72" s="236"/>
      <c r="IN72" s="236"/>
      <c r="IO72" s="236"/>
      <c r="IP72" s="236"/>
      <c r="IQ72" s="236"/>
      <c r="IR72" s="236"/>
      <c r="IS72" s="236"/>
      <c r="IT72" s="236"/>
      <c r="IU72" s="236"/>
    </row>
    <row r="73" s="221" customFormat="1" ht="31.199999999999999">
      <c r="A73" s="230"/>
      <c r="B73" s="402">
        <v>43830</v>
      </c>
      <c r="C73" s="402" t="s">
        <v>425</v>
      </c>
      <c r="D73" s="402" t="s">
        <v>426</v>
      </c>
      <c r="E73" s="402" t="s">
        <v>427</v>
      </c>
      <c r="F73" s="402" t="s">
        <v>428</v>
      </c>
      <c r="G73" s="402" t="s">
        <v>429</v>
      </c>
      <c r="H73" s="402" t="s">
        <v>430</v>
      </c>
      <c r="I73" s="402" t="s">
        <v>431</v>
      </c>
      <c r="J73" s="402">
        <v>43830</v>
      </c>
      <c r="K73" s="402" t="s">
        <v>425</v>
      </c>
      <c r="L73" s="402" t="s">
        <v>426</v>
      </c>
      <c r="M73" s="402" t="s">
        <v>427</v>
      </c>
      <c r="N73" s="402" t="s">
        <v>428</v>
      </c>
      <c r="O73" s="402" t="s">
        <v>429</v>
      </c>
      <c r="P73" s="402" t="s">
        <v>430</v>
      </c>
      <c r="Q73" s="402" t="s">
        <v>431</v>
      </c>
      <c r="R73" s="239" t="s">
        <v>432</v>
      </c>
      <c r="S73" s="239" t="s">
        <v>433</v>
      </c>
      <c r="T73" s="239" t="s">
        <v>434</v>
      </c>
      <c r="U73" s="239" t="s">
        <v>432</v>
      </c>
      <c r="V73" s="239" t="s">
        <v>433</v>
      </c>
      <c r="W73" s="239" t="s">
        <v>434</v>
      </c>
      <c r="X73" s="239" t="str">
        <f t="shared" si="307"/>
        <v xml:space="preserve">в тыс. руб.</v>
      </c>
      <c r="Y73" s="239" t="str">
        <f t="shared" si="307"/>
        <v xml:space="preserve">темп прироста, %</v>
      </c>
      <c r="Z73" s="239" t="str">
        <f t="shared" si="307"/>
        <v xml:space="preserve">в структуре, %</v>
      </c>
      <c r="AA73" s="239" t="str">
        <f t="shared" si="307"/>
        <v xml:space="preserve">в тыс. руб.</v>
      </c>
      <c r="AB73" s="239" t="str">
        <f t="shared" si="307"/>
        <v xml:space="preserve">темп прироста, %</v>
      </c>
      <c r="AC73" s="239" t="str">
        <f t="shared" si="307"/>
        <v xml:space="preserve">в структуре, %</v>
      </c>
      <c r="AD73" s="239" t="str">
        <f t="shared" si="307"/>
        <v xml:space="preserve">в тыс. руб.</v>
      </c>
      <c r="AE73" s="239" t="str">
        <f t="shared" si="307"/>
        <v xml:space="preserve">темп прироста, %</v>
      </c>
      <c r="AF73" s="239" t="str">
        <f t="shared" si="307"/>
        <v xml:space="preserve">в структуре, %</v>
      </c>
      <c r="AG73" s="239" t="str">
        <f t="shared" si="307"/>
        <v xml:space="preserve">в тыс. руб.</v>
      </c>
      <c r="AH73" s="239" t="str">
        <f t="shared" si="307"/>
        <v xml:space="preserve">темп прироста, %</v>
      </c>
      <c r="AI73" s="239" t="str">
        <f t="shared" si="307"/>
        <v xml:space="preserve">в структуре, %</v>
      </c>
      <c r="AJ73" s="239" t="str">
        <f t="shared" si="307"/>
        <v xml:space="preserve">в тыс. руб.</v>
      </c>
      <c r="AK73" s="239" t="str">
        <f t="shared" si="307"/>
        <v xml:space="preserve">темп прироста, %</v>
      </c>
      <c r="AL73" s="239" t="str">
        <f t="shared" si="307"/>
        <v xml:space="preserve">в структуре, %</v>
      </c>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c r="HV73" s="236"/>
      <c r="HW73" s="236"/>
      <c r="HX73" s="236"/>
      <c r="HY73" s="236"/>
      <c r="HZ73" s="236"/>
      <c r="IA73" s="236"/>
      <c r="IB73" s="236"/>
      <c r="IC73" s="236"/>
      <c r="ID73" s="236"/>
      <c r="IE73" s="236"/>
      <c r="IF73" s="236"/>
      <c r="IG73" s="236"/>
      <c r="IH73" s="236"/>
      <c r="II73" s="236"/>
      <c r="IJ73" s="236"/>
      <c r="IK73" s="236"/>
      <c r="IL73" s="236"/>
      <c r="IM73" s="236"/>
      <c r="IN73" s="236"/>
      <c r="IO73" s="236"/>
      <c r="IP73" s="236"/>
      <c r="IQ73" s="236"/>
      <c r="IR73" s="236"/>
      <c r="IS73" s="236"/>
      <c r="IT73" s="236"/>
      <c r="IU73" s="236"/>
    </row>
    <row r="74" s="424" customFormat="1">
      <c r="A74" s="376" t="s">
        <v>653</v>
      </c>
      <c r="B74" s="425"/>
      <c r="C74" s="357"/>
      <c r="D74" s="425"/>
      <c r="E74" s="357"/>
      <c r="F74" s="425"/>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c r="AJ74" s="377"/>
      <c r="AK74" s="377"/>
      <c r="AL74" s="377"/>
    </row>
    <row r="75" s="424" customFormat="1">
      <c r="A75" s="376" t="s">
        <v>654</v>
      </c>
      <c r="B75" s="425"/>
      <c r="C75" s="357"/>
      <c r="D75" s="425"/>
      <c r="E75" s="357"/>
      <c r="F75" s="425"/>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77"/>
      <c r="AL75" s="377"/>
    </row>
    <row r="76">
      <c r="A76" s="376" t="s">
        <v>655</v>
      </c>
      <c r="B76" s="425"/>
      <c r="C76" s="357"/>
      <c r="D76" s="425"/>
      <c r="E76" s="357"/>
      <c r="F76" s="425"/>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row>
    <row r="77" ht="31.199999999999999">
      <c r="A77" s="376" t="s">
        <v>656</v>
      </c>
      <c r="B77" s="425"/>
      <c r="C77" s="357"/>
      <c r="D77" s="425"/>
      <c r="E77" s="357"/>
      <c r="F77" s="425"/>
      <c r="G77" s="377"/>
      <c r="H77" s="377"/>
      <c r="I77" s="377"/>
      <c r="J77" s="377"/>
      <c r="K77" s="377"/>
      <c r="L77" s="377"/>
      <c r="M77" s="377"/>
      <c r="N77" s="377"/>
      <c r="O77" s="377"/>
      <c r="P77" s="377"/>
      <c r="Q77" s="377"/>
      <c r="R77" s="377"/>
      <c r="S77" s="377"/>
      <c r="T77" s="377"/>
      <c r="U77" s="377"/>
      <c r="V77" s="377"/>
      <c r="W77" s="377"/>
      <c r="X77" s="377"/>
      <c r="Y77" s="377"/>
      <c r="Z77" s="377"/>
      <c r="AA77" s="377"/>
      <c r="AB77" s="377"/>
      <c r="AC77" s="377"/>
      <c r="AD77" s="377"/>
      <c r="AE77" s="377"/>
      <c r="AF77" s="377"/>
      <c r="AG77" s="377"/>
      <c r="AH77" s="377"/>
      <c r="AI77" s="377"/>
      <c r="AJ77" s="377"/>
      <c r="AK77" s="377"/>
      <c r="AL77" s="377"/>
    </row>
    <row r="78">
      <c r="A78" s="376" t="s">
        <v>657</v>
      </c>
      <c r="B78" s="425"/>
      <c r="C78" s="357"/>
      <c r="D78" s="425"/>
      <c r="E78" s="357"/>
      <c r="F78" s="425"/>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c r="AJ78" s="377"/>
      <c r="AK78" s="377"/>
      <c r="AL78" s="377"/>
    </row>
    <row r="79">
      <c r="A79" s="376" t="s">
        <v>658</v>
      </c>
      <c r="B79" s="425"/>
      <c r="C79" s="357"/>
      <c r="D79" s="425"/>
      <c r="E79" s="357"/>
      <c r="F79" s="425"/>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c r="AJ79" s="377"/>
      <c r="AK79" s="377"/>
      <c r="AL79" s="377"/>
    </row>
    <row r="80">
      <c r="A80" s="355" t="s">
        <v>617</v>
      </c>
      <c r="B80" s="426"/>
      <c r="C80" s="427"/>
      <c r="D80" s="426"/>
      <c r="E80" s="427"/>
      <c r="F80" s="426"/>
      <c r="G80" s="377"/>
      <c r="H80" s="377"/>
      <c r="I80" s="377"/>
      <c r="J80" s="377"/>
      <c r="K80" s="377"/>
      <c r="L80" s="377"/>
      <c r="M80" s="377"/>
      <c r="N80" s="377"/>
      <c r="O80" s="377"/>
      <c r="P80" s="377"/>
      <c r="Q80" s="377"/>
      <c r="R80" s="377"/>
      <c r="S80" s="377"/>
      <c r="T80" s="377"/>
      <c r="U80" s="377"/>
      <c r="V80" s="377"/>
      <c r="W80" s="377"/>
      <c r="X80" s="377"/>
      <c r="Y80" s="377"/>
      <c r="Z80" s="377"/>
      <c r="AA80" s="377"/>
      <c r="AB80" s="377"/>
      <c r="AC80" s="377"/>
      <c r="AD80" s="377"/>
      <c r="AE80" s="377"/>
      <c r="AF80" s="377"/>
      <c r="AG80" s="377"/>
      <c r="AH80" s="377"/>
      <c r="AI80" s="377"/>
      <c r="AJ80" s="377"/>
      <c r="AK80" s="377"/>
      <c r="AL80" s="377"/>
    </row>
    <row r="81">
      <c r="A81" s="77" t="s">
        <v>452</v>
      </c>
      <c r="C81" s="190"/>
      <c r="D81" s="383"/>
      <c r="E81" s="190"/>
      <c r="F81" s="306"/>
    </row>
    <row r="83" s="428" customFormat="1" ht="13.199999999999999">
      <c r="A83" s="429" t="s">
        <v>659</v>
      </c>
    </row>
    <row r="84" s="221" customFormat="1" ht="15.75" customHeight="1">
      <c r="A84" s="223" t="s">
        <v>177</v>
      </c>
      <c r="B84" s="225" t="s">
        <v>421</v>
      </c>
      <c r="C84" s="225"/>
      <c r="D84" s="225"/>
      <c r="E84" s="225"/>
      <c r="F84" s="225"/>
      <c r="G84" s="225"/>
      <c r="H84" s="225"/>
      <c r="I84" s="225"/>
      <c r="J84" s="226" t="s">
        <v>422</v>
      </c>
      <c r="K84" s="226"/>
      <c r="L84" s="226"/>
      <c r="M84" s="226"/>
      <c r="N84" s="226"/>
      <c r="O84" s="226"/>
      <c r="P84" s="226"/>
      <c r="Q84" s="226"/>
      <c r="R84" s="227" t="s">
        <v>423</v>
      </c>
      <c r="S84" s="227"/>
      <c r="T84" s="227"/>
      <c r="U84" s="227"/>
      <c r="V84" s="227"/>
      <c r="W84" s="227"/>
      <c r="X84" s="227"/>
      <c r="Y84" s="227"/>
      <c r="Z84" s="227"/>
      <c r="AA84" s="227"/>
      <c r="AB84" s="227"/>
      <c r="AC84" s="227"/>
      <c r="AD84" s="227"/>
      <c r="AE84" s="227"/>
      <c r="AF84" s="227"/>
      <c r="AG84" s="227"/>
      <c r="AH84" s="227"/>
      <c r="AI84" s="227"/>
      <c r="AJ84" s="227"/>
      <c r="AK84" s="227"/>
      <c r="AL84" s="227"/>
    </row>
    <row r="85" s="221" customFormat="1">
      <c r="A85" s="228"/>
      <c r="B85" s="225"/>
      <c r="C85" s="225"/>
      <c r="D85" s="225"/>
      <c r="E85" s="225"/>
      <c r="F85" s="225"/>
      <c r="G85" s="225"/>
      <c r="H85" s="225"/>
      <c r="I85" s="225"/>
      <c r="J85" s="226"/>
      <c r="K85" s="226"/>
      <c r="L85" s="226"/>
      <c r="M85" s="226"/>
      <c r="N85" s="226"/>
      <c r="O85" s="226"/>
      <c r="P85" s="226"/>
      <c r="Q85" s="226"/>
      <c r="R85" s="230" t="s">
        <v>320</v>
      </c>
      <c r="S85" s="230"/>
      <c r="T85" s="230"/>
      <c r="U85" s="231" t="s">
        <v>321</v>
      </c>
      <c r="V85" s="231"/>
      <c r="W85" s="231"/>
      <c r="X85" s="231" t="s">
        <v>322</v>
      </c>
      <c r="Y85" s="231"/>
      <c r="Z85" s="231"/>
      <c r="AA85" s="231" t="s">
        <v>323</v>
      </c>
      <c r="AB85" s="231"/>
      <c r="AC85" s="231"/>
      <c r="AD85" s="231" t="s">
        <v>324</v>
      </c>
      <c r="AE85" s="231"/>
      <c r="AF85" s="231"/>
      <c r="AG85" s="232" t="s">
        <v>325</v>
      </c>
      <c r="AH85" s="233"/>
      <c r="AI85" s="234"/>
      <c r="AJ85" s="235" t="s">
        <v>326</v>
      </c>
      <c r="AK85" s="235"/>
      <c r="AL85" s="235"/>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c r="HV85" s="236"/>
      <c r="HW85" s="236"/>
      <c r="HX85" s="236"/>
      <c r="HY85" s="236"/>
      <c r="HZ85" s="236"/>
      <c r="IA85" s="236"/>
      <c r="IB85" s="236"/>
      <c r="IC85" s="236"/>
      <c r="ID85" s="236"/>
      <c r="IE85" s="236"/>
      <c r="IF85" s="236"/>
      <c r="IG85" s="236"/>
      <c r="IH85" s="236"/>
      <c r="II85" s="236"/>
      <c r="IJ85" s="236"/>
      <c r="IK85" s="236"/>
      <c r="IL85" s="236"/>
      <c r="IM85" s="236"/>
      <c r="IN85" s="236"/>
      <c r="IO85" s="236"/>
      <c r="IP85" s="236"/>
      <c r="IQ85" s="236"/>
      <c r="IR85" s="236"/>
      <c r="IS85" s="236"/>
      <c r="IT85" s="236"/>
      <c r="IU85" s="236"/>
    </row>
    <row r="86" s="221" customFormat="1" ht="31.199999999999999">
      <c r="A86" s="230"/>
      <c r="B86" s="402">
        <v>43830</v>
      </c>
      <c r="C86" s="402" t="s">
        <v>425</v>
      </c>
      <c r="D86" s="402" t="s">
        <v>426</v>
      </c>
      <c r="E86" s="402" t="s">
        <v>427</v>
      </c>
      <c r="F86" s="402" t="s">
        <v>428</v>
      </c>
      <c r="G86" s="402" t="s">
        <v>429</v>
      </c>
      <c r="H86" s="402" t="s">
        <v>430</v>
      </c>
      <c r="I86" s="402" t="s">
        <v>431</v>
      </c>
      <c r="J86" s="402">
        <v>43830</v>
      </c>
      <c r="K86" s="402" t="s">
        <v>425</v>
      </c>
      <c r="L86" s="402" t="s">
        <v>426</v>
      </c>
      <c r="M86" s="402" t="s">
        <v>427</v>
      </c>
      <c r="N86" s="402" t="s">
        <v>428</v>
      </c>
      <c r="O86" s="402" t="s">
        <v>429</v>
      </c>
      <c r="P86" s="402" t="s">
        <v>430</v>
      </c>
      <c r="Q86" s="402" t="s">
        <v>431</v>
      </c>
      <c r="R86" s="239" t="s">
        <v>432</v>
      </c>
      <c r="S86" s="239" t="s">
        <v>433</v>
      </c>
      <c r="T86" s="239" t="s">
        <v>434</v>
      </c>
      <c r="U86" s="239" t="s">
        <v>432</v>
      </c>
      <c r="V86" s="239" t="s">
        <v>433</v>
      </c>
      <c r="W86" s="239" t="s">
        <v>434</v>
      </c>
      <c r="X86" s="239" t="str">
        <f t="shared" ref="X81:AL95" si="311">U86</f>
        <v xml:space="preserve">в тыс. руб.</v>
      </c>
      <c r="Y86" s="239" t="str">
        <f t="shared" ref="Y86:Y95" si="312">V86</f>
        <v xml:space="preserve">темп прироста, %</v>
      </c>
      <c r="Z86" s="239" t="str">
        <f t="shared" ref="Z86:Z95" si="313">W86</f>
        <v xml:space="preserve">в структуре, %</v>
      </c>
      <c r="AA86" s="239" t="str">
        <f t="shared" ref="AA86:AA95" si="314">X86</f>
        <v xml:space="preserve">в тыс. руб.</v>
      </c>
      <c r="AB86" s="239" t="str">
        <f t="shared" ref="AB86:AB95" si="315">Y86</f>
        <v xml:space="preserve">темп прироста, %</v>
      </c>
      <c r="AC86" s="239" t="str">
        <f t="shared" ref="AC86:AC95" si="316">Z86</f>
        <v xml:space="preserve">в структуре, %</v>
      </c>
      <c r="AD86" s="239" t="str">
        <f t="shared" ref="AD86:AD95" si="317">AA86</f>
        <v xml:space="preserve">в тыс. руб.</v>
      </c>
      <c r="AE86" s="239" t="str">
        <f t="shared" ref="AE86:AE95" si="318">AB86</f>
        <v xml:space="preserve">темп прироста, %</v>
      </c>
      <c r="AF86" s="239" t="str">
        <f t="shared" ref="AF86:AF95" si="319">AC86</f>
        <v xml:space="preserve">в структуре, %</v>
      </c>
      <c r="AG86" s="239" t="str">
        <f t="shared" ref="AG86:AG95" si="320">AD86</f>
        <v xml:space="preserve">в тыс. руб.</v>
      </c>
      <c r="AH86" s="239" t="str">
        <f t="shared" ref="AH86:AH95" si="321">AE86</f>
        <v xml:space="preserve">темп прироста, %</v>
      </c>
      <c r="AI86" s="239" t="str">
        <f t="shared" ref="AI86:AI95" si="322">AF86</f>
        <v xml:space="preserve">в структуре, %</v>
      </c>
      <c r="AJ86" s="239" t="str">
        <f t="shared" ref="AJ86:AJ95" si="323">AG86</f>
        <v xml:space="preserve">в тыс. руб.</v>
      </c>
      <c r="AK86" s="239" t="str">
        <f t="shared" ref="AK86:AK95" si="324">AH86</f>
        <v xml:space="preserve">темп прироста, %</v>
      </c>
      <c r="AL86" s="239" t="str">
        <f t="shared" ref="AL86:AL95" si="325">AI86</f>
        <v xml:space="preserve">в структуре, %</v>
      </c>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c r="HV86" s="236"/>
      <c r="HW86" s="236"/>
      <c r="HX86" s="236"/>
      <c r="HY86" s="236"/>
      <c r="HZ86" s="236"/>
      <c r="IA86" s="236"/>
      <c r="IB86" s="236"/>
      <c r="IC86" s="236"/>
      <c r="ID86" s="236"/>
      <c r="IE86" s="236"/>
      <c r="IF86" s="236"/>
      <c r="IG86" s="236"/>
      <c r="IH86" s="236"/>
      <c r="II86" s="236"/>
      <c r="IJ86" s="236"/>
      <c r="IK86" s="236"/>
      <c r="IL86" s="236"/>
      <c r="IM86" s="236"/>
      <c r="IN86" s="236"/>
      <c r="IO86" s="236"/>
      <c r="IP86" s="236"/>
      <c r="IQ86" s="236"/>
      <c r="IR86" s="236"/>
      <c r="IS86" s="236"/>
      <c r="IT86" s="236"/>
      <c r="IU86" s="236"/>
    </row>
    <row r="87" s="428" customFormat="1" ht="13.800000000000001">
      <c r="A87" s="430" t="s">
        <v>660</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row>
    <row r="88" s="428" customFormat="1" ht="13.800000000000001">
      <c r="A88" s="430" t="s">
        <v>661</v>
      </c>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row>
    <row r="89" s="428" customFormat="1" ht="13.800000000000001">
      <c r="A89" s="430" t="s">
        <v>662</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row>
    <row r="90" s="428" customFormat="1" ht="13.800000000000001">
      <c r="A90" s="432" t="s">
        <v>663</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431"/>
      <c r="AF90" s="431"/>
      <c r="AG90" s="431"/>
      <c r="AH90" s="431"/>
      <c r="AI90" s="431"/>
      <c r="AJ90" s="431"/>
      <c r="AK90" s="431"/>
      <c r="AL90" s="431"/>
    </row>
    <row r="91" s="428" customFormat="1" ht="13.199999999999999">
      <c r="A91" s="429"/>
    </row>
    <row r="92" s="428" customFormat="1" ht="13.199999999999999">
      <c r="A92" s="429" t="s">
        <v>664</v>
      </c>
    </row>
    <row r="93" s="221" customFormat="1" ht="15.75" customHeight="1">
      <c r="A93" s="223" t="s">
        <v>177</v>
      </c>
      <c r="B93" s="225" t="s">
        <v>421</v>
      </c>
      <c r="C93" s="225"/>
      <c r="D93" s="225"/>
      <c r="E93" s="225"/>
      <c r="F93" s="225"/>
      <c r="G93" s="225"/>
      <c r="H93" s="225"/>
      <c r="I93" s="225"/>
      <c r="J93" s="226" t="s">
        <v>422</v>
      </c>
      <c r="K93" s="226"/>
      <c r="L93" s="226"/>
      <c r="M93" s="226"/>
      <c r="N93" s="226"/>
      <c r="O93" s="226"/>
      <c r="P93" s="226"/>
      <c r="Q93" s="226"/>
      <c r="R93" s="227" t="s">
        <v>423</v>
      </c>
      <c r="S93" s="227"/>
      <c r="T93" s="227"/>
      <c r="U93" s="227"/>
      <c r="V93" s="227"/>
      <c r="W93" s="227"/>
      <c r="X93" s="227"/>
      <c r="Y93" s="227"/>
      <c r="Z93" s="227"/>
      <c r="AA93" s="227"/>
      <c r="AB93" s="227"/>
      <c r="AC93" s="227"/>
      <c r="AD93" s="227"/>
      <c r="AE93" s="227"/>
      <c r="AF93" s="227"/>
      <c r="AG93" s="227"/>
      <c r="AH93" s="227"/>
      <c r="AI93" s="227"/>
      <c r="AJ93" s="227"/>
      <c r="AK93" s="227"/>
      <c r="AL93" s="227"/>
    </row>
    <row r="94" s="221" customFormat="1">
      <c r="A94" s="228"/>
      <c r="B94" s="225"/>
      <c r="C94" s="225"/>
      <c r="D94" s="225"/>
      <c r="E94" s="225"/>
      <c r="F94" s="225"/>
      <c r="G94" s="225"/>
      <c r="H94" s="225"/>
      <c r="I94" s="225"/>
      <c r="J94" s="226"/>
      <c r="K94" s="226"/>
      <c r="L94" s="226"/>
      <c r="M94" s="226"/>
      <c r="N94" s="226"/>
      <c r="O94" s="226"/>
      <c r="P94" s="226"/>
      <c r="Q94" s="226"/>
      <c r="R94" s="230" t="s">
        <v>320</v>
      </c>
      <c r="S94" s="230"/>
      <c r="T94" s="230"/>
      <c r="U94" s="231" t="s">
        <v>321</v>
      </c>
      <c r="V94" s="231"/>
      <c r="W94" s="231"/>
      <c r="X94" s="231" t="s">
        <v>322</v>
      </c>
      <c r="Y94" s="231"/>
      <c r="Z94" s="231"/>
      <c r="AA94" s="231" t="s">
        <v>323</v>
      </c>
      <c r="AB94" s="231"/>
      <c r="AC94" s="231"/>
      <c r="AD94" s="231" t="s">
        <v>324</v>
      </c>
      <c r="AE94" s="231"/>
      <c r="AF94" s="231"/>
      <c r="AG94" s="232" t="s">
        <v>325</v>
      </c>
      <c r="AH94" s="233"/>
      <c r="AI94" s="234"/>
      <c r="AJ94" s="235" t="s">
        <v>326</v>
      </c>
      <c r="AK94" s="235"/>
      <c r="AL94" s="235"/>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c r="HV94" s="236"/>
      <c r="HW94" s="236"/>
      <c r="HX94" s="236"/>
      <c r="HY94" s="236"/>
      <c r="HZ94" s="236"/>
      <c r="IA94" s="236"/>
      <c r="IB94" s="236"/>
      <c r="IC94" s="236"/>
      <c r="ID94" s="236"/>
      <c r="IE94" s="236"/>
      <c r="IF94" s="236"/>
      <c r="IG94" s="236"/>
      <c r="IH94" s="236"/>
      <c r="II94" s="236"/>
      <c r="IJ94" s="236"/>
      <c r="IK94" s="236"/>
      <c r="IL94" s="236"/>
      <c r="IM94" s="236"/>
      <c r="IN94" s="236"/>
      <c r="IO94" s="236"/>
      <c r="IP94" s="236"/>
      <c r="IQ94" s="236"/>
      <c r="IR94" s="236"/>
      <c r="IS94" s="236"/>
      <c r="IT94" s="236"/>
      <c r="IU94" s="236"/>
    </row>
    <row r="95" s="221" customFormat="1" ht="31.199999999999999">
      <c r="A95" s="230"/>
      <c r="B95" s="402">
        <v>43830</v>
      </c>
      <c r="C95" s="402" t="s">
        <v>425</v>
      </c>
      <c r="D95" s="402" t="s">
        <v>426</v>
      </c>
      <c r="E95" s="402" t="s">
        <v>427</v>
      </c>
      <c r="F95" s="402" t="s">
        <v>428</v>
      </c>
      <c r="G95" s="402" t="s">
        <v>429</v>
      </c>
      <c r="H95" s="402" t="s">
        <v>430</v>
      </c>
      <c r="I95" s="402" t="s">
        <v>431</v>
      </c>
      <c r="J95" s="402">
        <v>43830</v>
      </c>
      <c r="K95" s="402" t="s">
        <v>425</v>
      </c>
      <c r="L95" s="402" t="s">
        <v>426</v>
      </c>
      <c r="M95" s="402" t="s">
        <v>427</v>
      </c>
      <c r="N95" s="402" t="s">
        <v>428</v>
      </c>
      <c r="O95" s="402" t="s">
        <v>429</v>
      </c>
      <c r="P95" s="402" t="s">
        <v>430</v>
      </c>
      <c r="Q95" s="402" t="s">
        <v>431</v>
      </c>
      <c r="R95" s="239" t="s">
        <v>432</v>
      </c>
      <c r="S95" s="239" t="s">
        <v>433</v>
      </c>
      <c r="T95" s="239" t="s">
        <v>434</v>
      </c>
      <c r="U95" s="239" t="s">
        <v>432</v>
      </c>
      <c r="V95" s="239" t="s">
        <v>433</v>
      </c>
      <c r="W95" s="239" t="s">
        <v>434</v>
      </c>
      <c r="X95" s="239" t="str">
        <f t="shared" si="311"/>
        <v xml:space="preserve">в тыс. руб.</v>
      </c>
      <c r="Y95" s="239" t="str">
        <f t="shared" si="312"/>
        <v xml:space="preserve">темп прироста, %</v>
      </c>
      <c r="Z95" s="239" t="str">
        <f t="shared" si="313"/>
        <v xml:space="preserve">в структуре, %</v>
      </c>
      <c r="AA95" s="239" t="str">
        <f t="shared" si="314"/>
        <v xml:space="preserve">в тыс. руб.</v>
      </c>
      <c r="AB95" s="239" t="str">
        <f t="shared" si="315"/>
        <v xml:space="preserve">темп прироста, %</v>
      </c>
      <c r="AC95" s="239" t="str">
        <f t="shared" si="316"/>
        <v xml:space="preserve">в структуре, %</v>
      </c>
      <c r="AD95" s="239" t="str">
        <f t="shared" si="317"/>
        <v xml:space="preserve">в тыс. руб.</v>
      </c>
      <c r="AE95" s="239" t="str">
        <f t="shared" si="318"/>
        <v xml:space="preserve">темп прироста, %</v>
      </c>
      <c r="AF95" s="239" t="str">
        <f t="shared" si="319"/>
        <v xml:space="preserve">в структуре, %</v>
      </c>
      <c r="AG95" s="239" t="str">
        <f t="shared" si="320"/>
        <v xml:space="preserve">в тыс. руб.</v>
      </c>
      <c r="AH95" s="239" t="str">
        <f t="shared" si="321"/>
        <v xml:space="preserve">темп прироста, %</v>
      </c>
      <c r="AI95" s="239" t="str">
        <f t="shared" si="322"/>
        <v xml:space="preserve">в структуре, %</v>
      </c>
      <c r="AJ95" s="239" t="str">
        <f t="shared" si="323"/>
        <v xml:space="preserve">в тыс. руб.</v>
      </c>
      <c r="AK95" s="239" t="str">
        <f t="shared" si="324"/>
        <v xml:space="preserve">темп прироста, %</v>
      </c>
      <c r="AL95" s="239" t="str">
        <f t="shared" si="325"/>
        <v xml:space="preserve">в структуре, %</v>
      </c>
      <c r="AM95" s="236"/>
      <c r="AN95" s="236"/>
      <c r="AO95" s="236"/>
      <c r="AP95" s="236"/>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c r="HV95" s="236"/>
      <c r="HW95" s="236"/>
      <c r="HX95" s="236"/>
      <c r="HY95" s="236"/>
      <c r="HZ95" s="236"/>
      <c r="IA95" s="236"/>
      <c r="IB95" s="236"/>
      <c r="IC95" s="236"/>
      <c r="ID95" s="236"/>
      <c r="IE95" s="236"/>
      <c r="IF95" s="236"/>
      <c r="IG95" s="236"/>
      <c r="IH95" s="236"/>
      <c r="II95" s="236"/>
      <c r="IJ95" s="236"/>
      <c r="IK95" s="236"/>
      <c r="IL95" s="236"/>
      <c r="IM95" s="236"/>
      <c r="IN95" s="236"/>
      <c r="IO95" s="236"/>
      <c r="IP95" s="236"/>
      <c r="IQ95" s="236"/>
      <c r="IR95" s="236"/>
      <c r="IS95" s="236"/>
      <c r="IT95" s="236"/>
      <c r="IU95" s="236"/>
    </row>
    <row r="96" s="428" customFormat="1" ht="13.800000000000001">
      <c r="A96" s="430" t="s">
        <v>660</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431"/>
      <c r="AF96" s="431"/>
      <c r="AG96" s="431"/>
      <c r="AH96" s="431"/>
      <c r="AI96" s="431"/>
      <c r="AJ96" s="431"/>
      <c r="AK96" s="431"/>
      <c r="AL96" s="431"/>
    </row>
    <row r="97" s="428" customFormat="1" ht="13.800000000000001">
      <c r="A97" s="430" t="s">
        <v>661</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431"/>
      <c r="AF97" s="431"/>
      <c r="AG97" s="431"/>
      <c r="AH97" s="431"/>
      <c r="AI97" s="431"/>
      <c r="AJ97" s="431"/>
      <c r="AK97" s="431"/>
      <c r="AL97" s="431"/>
    </row>
    <row r="98" s="428" customFormat="1" ht="13.800000000000001">
      <c r="A98" s="432" t="s">
        <v>665</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row>
    <row r="99" s="428" customFormat="1" ht="13.199999999999999">
      <c r="A99" s="429"/>
    </row>
    <row r="100" s="428" customFormat="1" ht="13.199999999999999">
      <c r="A100" s="429" t="s">
        <v>666</v>
      </c>
    </row>
    <row r="101" s="221" customFormat="1" ht="15.75" customHeight="1">
      <c r="A101" s="223" t="s">
        <v>177</v>
      </c>
      <c r="B101" s="225" t="s">
        <v>421</v>
      </c>
      <c r="C101" s="225"/>
      <c r="D101" s="225"/>
      <c r="E101" s="225"/>
      <c r="F101" s="225"/>
      <c r="G101" s="225"/>
      <c r="H101" s="225"/>
      <c r="I101" s="225"/>
      <c r="J101" s="226" t="s">
        <v>422</v>
      </c>
      <c r="K101" s="226"/>
      <c r="L101" s="226"/>
      <c r="M101" s="226"/>
      <c r="N101" s="226"/>
      <c r="O101" s="226"/>
      <c r="P101" s="226"/>
      <c r="Q101" s="226"/>
      <c r="R101" s="227" t="s">
        <v>423</v>
      </c>
      <c r="S101" s="227"/>
      <c r="T101" s="227"/>
      <c r="U101" s="227"/>
      <c r="V101" s="227"/>
      <c r="W101" s="227"/>
      <c r="X101" s="227"/>
      <c r="Y101" s="227"/>
      <c r="Z101" s="227"/>
      <c r="AA101" s="227"/>
      <c r="AB101" s="227"/>
      <c r="AC101" s="227"/>
      <c r="AD101" s="227"/>
      <c r="AE101" s="227"/>
      <c r="AF101" s="227"/>
      <c r="AG101" s="227"/>
      <c r="AH101" s="227"/>
      <c r="AI101" s="227"/>
      <c r="AJ101" s="227"/>
      <c r="AK101" s="227"/>
      <c r="AL101" s="227"/>
    </row>
    <row r="102" s="221" customFormat="1">
      <c r="A102" s="228"/>
      <c r="B102" s="225"/>
      <c r="C102" s="225"/>
      <c r="D102" s="225"/>
      <c r="E102" s="225"/>
      <c r="F102" s="225"/>
      <c r="G102" s="225"/>
      <c r="H102" s="225"/>
      <c r="I102" s="225"/>
      <c r="J102" s="226"/>
      <c r="K102" s="226"/>
      <c r="L102" s="226"/>
      <c r="M102" s="226"/>
      <c r="N102" s="226"/>
      <c r="O102" s="226"/>
      <c r="P102" s="226"/>
      <c r="Q102" s="226"/>
      <c r="R102" s="230" t="s">
        <v>320</v>
      </c>
      <c r="S102" s="230"/>
      <c r="T102" s="230"/>
      <c r="U102" s="231" t="s">
        <v>321</v>
      </c>
      <c r="V102" s="231"/>
      <c r="W102" s="231"/>
      <c r="X102" s="231" t="s">
        <v>322</v>
      </c>
      <c r="Y102" s="231"/>
      <c r="Z102" s="231"/>
      <c r="AA102" s="231" t="s">
        <v>323</v>
      </c>
      <c r="AB102" s="231"/>
      <c r="AC102" s="231"/>
      <c r="AD102" s="231" t="s">
        <v>324</v>
      </c>
      <c r="AE102" s="231"/>
      <c r="AF102" s="231"/>
      <c r="AG102" s="232" t="s">
        <v>325</v>
      </c>
      <c r="AH102" s="233"/>
      <c r="AI102" s="234"/>
      <c r="AJ102" s="235" t="s">
        <v>326</v>
      </c>
      <c r="AK102" s="235"/>
      <c r="AL102" s="235"/>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c r="HV102" s="236"/>
      <c r="HW102" s="236"/>
      <c r="HX102" s="236"/>
      <c r="HY102" s="236"/>
      <c r="HZ102" s="236"/>
      <c r="IA102" s="236"/>
      <c r="IB102" s="236"/>
      <c r="IC102" s="236"/>
      <c r="ID102" s="236"/>
      <c r="IE102" s="236"/>
      <c r="IF102" s="236"/>
      <c r="IG102" s="236"/>
      <c r="IH102" s="236"/>
      <c r="II102" s="236"/>
      <c r="IJ102" s="236"/>
      <c r="IK102" s="236"/>
      <c r="IL102" s="236"/>
      <c r="IM102" s="236"/>
      <c r="IN102" s="236"/>
      <c r="IO102" s="236"/>
      <c r="IP102" s="236"/>
      <c r="IQ102" s="236"/>
      <c r="IR102" s="236"/>
      <c r="IS102" s="236"/>
      <c r="IT102" s="236"/>
      <c r="IU102" s="236"/>
    </row>
    <row r="103" s="221" customFormat="1" ht="31.199999999999999">
      <c r="A103" s="230"/>
      <c r="B103" s="402">
        <v>43830</v>
      </c>
      <c r="C103" s="402" t="s">
        <v>425</v>
      </c>
      <c r="D103" s="402" t="s">
        <v>426</v>
      </c>
      <c r="E103" s="402" t="s">
        <v>427</v>
      </c>
      <c r="F103" s="402" t="s">
        <v>428</v>
      </c>
      <c r="G103" s="402" t="s">
        <v>429</v>
      </c>
      <c r="H103" s="402" t="s">
        <v>430</v>
      </c>
      <c r="I103" s="402" t="s">
        <v>431</v>
      </c>
      <c r="J103" s="402">
        <v>43830</v>
      </c>
      <c r="K103" s="402" t="s">
        <v>425</v>
      </c>
      <c r="L103" s="402" t="s">
        <v>426</v>
      </c>
      <c r="M103" s="402" t="s">
        <v>427</v>
      </c>
      <c r="N103" s="402" t="s">
        <v>428</v>
      </c>
      <c r="O103" s="402" t="s">
        <v>429</v>
      </c>
      <c r="P103" s="402" t="s">
        <v>430</v>
      </c>
      <c r="Q103" s="402" t="s">
        <v>431</v>
      </c>
      <c r="R103" s="239" t="s">
        <v>432</v>
      </c>
      <c r="S103" s="239" t="s">
        <v>433</v>
      </c>
      <c r="T103" s="239" t="s">
        <v>434</v>
      </c>
      <c r="U103" s="239" t="s">
        <v>432</v>
      </c>
      <c r="V103" s="239" t="s">
        <v>433</v>
      </c>
      <c r="W103" s="239" t="s">
        <v>434</v>
      </c>
      <c r="X103" s="239" t="str">
        <f t="shared" ref="X103:X121" si="326">U103</f>
        <v xml:space="preserve">в тыс. руб.</v>
      </c>
      <c r="Y103" s="239" t="str">
        <f t="shared" ref="Y103:Y121" si="327">V103</f>
        <v xml:space="preserve">темп прироста, %</v>
      </c>
      <c r="Z103" s="239" t="str">
        <f t="shared" ref="Z103:Z121" si="328">W103</f>
        <v xml:space="preserve">в структуре, %</v>
      </c>
      <c r="AA103" s="239" t="str">
        <f t="shared" ref="AA103:AA121" si="329">X103</f>
        <v xml:space="preserve">в тыс. руб.</v>
      </c>
      <c r="AB103" s="239" t="str">
        <f t="shared" ref="AB103:AB121" si="330">Y103</f>
        <v xml:space="preserve">темп прироста, %</v>
      </c>
      <c r="AC103" s="239" t="str">
        <f t="shared" ref="AC103:AC121" si="331">Z103</f>
        <v xml:space="preserve">в структуре, %</v>
      </c>
      <c r="AD103" s="239" t="str">
        <f t="shared" ref="AD103:AD121" si="332">AA103</f>
        <v xml:space="preserve">в тыс. руб.</v>
      </c>
      <c r="AE103" s="239" t="str">
        <f t="shared" ref="AE103:AE121" si="333">AB103</f>
        <v xml:space="preserve">темп прироста, %</v>
      </c>
      <c r="AF103" s="239" t="str">
        <f t="shared" ref="AF103:AF121" si="334">AC103</f>
        <v xml:space="preserve">в структуре, %</v>
      </c>
      <c r="AG103" s="239" t="str">
        <f t="shared" ref="AG103:AG121" si="335">AD103</f>
        <v xml:space="preserve">в тыс. руб.</v>
      </c>
      <c r="AH103" s="239" t="str">
        <f t="shared" ref="AH103:AH121" si="336">AE103</f>
        <v xml:space="preserve">темп прироста, %</v>
      </c>
      <c r="AI103" s="239" t="str">
        <f t="shared" ref="AI103:AI121" si="337">AF103</f>
        <v xml:space="preserve">в структуре, %</v>
      </c>
      <c r="AJ103" s="239" t="str">
        <f t="shared" ref="AJ103:AJ121" si="338">AG103</f>
        <v xml:space="preserve">в тыс. руб.</v>
      </c>
      <c r="AK103" s="239" t="str">
        <f t="shared" ref="AK103:AK121" si="339">AH103</f>
        <v xml:space="preserve">темп прироста, %</v>
      </c>
      <c r="AL103" s="239" t="str">
        <f t="shared" ref="AL103:AL121" si="340">AI103</f>
        <v xml:space="preserve">в структуре, %</v>
      </c>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c r="HV103" s="236"/>
      <c r="HW103" s="236"/>
      <c r="HX103" s="236"/>
      <c r="HY103" s="236"/>
      <c r="HZ103" s="236"/>
      <c r="IA103" s="236"/>
      <c r="IB103" s="236"/>
      <c r="IC103" s="236"/>
      <c r="ID103" s="236"/>
      <c r="IE103" s="236"/>
      <c r="IF103" s="236"/>
      <c r="IG103" s="236"/>
      <c r="IH103" s="236"/>
      <c r="II103" s="236"/>
      <c r="IJ103" s="236"/>
      <c r="IK103" s="236"/>
      <c r="IL103" s="236"/>
      <c r="IM103" s="236"/>
      <c r="IN103" s="236"/>
      <c r="IO103" s="236"/>
      <c r="IP103" s="236"/>
      <c r="IQ103" s="236"/>
      <c r="IR103" s="236"/>
      <c r="IS103" s="236"/>
      <c r="IT103" s="236"/>
      <c r="IU103" s="236"/>
    </row>
    <row r="104" s="428" customFormat="1" ht="13.800000000000001">
      <c r="A104" s="430" t="s">
        <v>667</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row>
    <row r="105" s="428" customFormat="1" ht="13.800000000000001">
      <c r="A105" s="430" t="s">
        <v>668</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row>
    <row r="106" s="428" customFormat="1" ht="13.800000000000001">
      <c r="A106" s="432" t="s">
        <v>669</v>
      </c>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row>
    <row r="107" s="428" customFormat="1" ht="13.199999999999999">
      <c r="A107" s="429"/>
      <c r="B107" s="433"/>
      <c r="C107" s="433"/>
      <c r="D107" s="433"/>
      <c r="E107" s="433"/>
    </row>
    <row r="108" s="428" customFormat="1" ht="13.199999999999999">
      <c r="A108" s="429" t="s">
        <v>670</v>
      </c>
    </row>
    <row r="109" s="221" customFormat="1" ht="15.75" customHeight="1">
      <c r="A109" s="223" t="s">
        <v>177</v>
      </c>
      <c r="B109" s="225" t="s">
        <v>421</v>
      </c>
      <c r="C109" s="225"/>
      <c r="D109" s="225"/>
      <c r="E109" s="225"/>
      <c r="F109" s="225"/>
      <c r="G109" s="225"/>
      <c r="H109" s="225"/>
      <c r="I109" s="225"/>
      <c r="J109" s="226" t="s">
        <v>422</v>
      </c>
      <c r="K109" s="226"/>
      <c r="L109" s="226"/>
      <c r="M109" s="226"/>
      <c r="N109" s="226"/>
      <c r="O109" s="226"/>
      <c r="P109" s="226"/>
      <c r="Q109" s="226"/>
      <c r="R109" s="227" t="s">
        <v>423</v>
      </c>
      <c r="S109" s="227"/>
      <c r="T109" s="227"/>
      <c r="U109" s="227"/>
      <c r="V109" s="227"/>
      <c r="W109" s="227"/>
      <c r="X109" s="227"/>
      <c r="Y109" s="227"/>
      <c r="Z109" s="227"/>
      <c r="AA109" s="227"/>
      <c r="AB109" s="227"/>
      <c r="AC109" s="227"/>
      <c r="AD109" s="227"/>
      <c r="AE109" s="227"/>
      <c r="AF109" s="227"/>
      <c r="AG109" s="227"/>
      <c r="AH109" s="227"/>
      <c r="AI109" s="227"/>
      <c r="AJ109" s="227"/>
      <c r="AK109" s="227"/>
      <c r="AL109" s="227"/>
    </row>
    <row r="110" s="221" customFormat="1">
      <c r="A110" s="228"/>
      <c r="B110" s="225"/>
      <c r="C110" s="225"/>
      <c r="D110" s="225"/>
      <c r="E110" s="225"/>
      <c r="F110" s="225"/>
      <c r="G110" s="225"/>
      <c r="H110" s="225"/>
      <c r="I110" s="225"/>
      <c r="J110" s="226"/>
      <c r="K110" s="226"/>
      <c r="L110" s="226"/>
      <c r="M110" s="226"/>
      <c r="N110" s="226"/>
      <c r="O110" s="226"/>
      <c r="P110" s="226"/>
      <c r="Q110" s="226"/>
      <c r="R110" s="230" t="s">
        <v>320</v>
      </c>
      <c r="S110" s="230"/>
      <c r="T110" s="230"/>
      <c r="U110" s="231" t="s">
        <v>321</v>
      </c>
      <c r="V110" s="231"/>
      <c r="W110" s="231"/>
      <c r="X110" s="231" t="s">
        <v>322</v>
      </c>
      <c r="Y110" s="231"/>
      <c r="Z110" s="231"/>
      <c r="AA110" s="231" t="s">
        <v>323</v>
      </c>
      <c r="AB110" s="231"/>
      <c r="AC110" s="231"/>
      <c r="AD110" s="231" t="s">
        <v>324</v>
      </c>
      <c r="AE110" s="231"/>
      <c r="AF110" s="231"/>
      <c r="AG110" s="232" t="s">
        <v>325</v>
      </c>
      <c r="AH110" s="233"/>
      <c r="AI110" s="234"/>
      <c r="AJ110" s="235" t="s">
        <v>326</v>
      </c>
      <c r="AK110" s="235"/>
      <c r="AL110" s="235"/>
      <c r="AM110" s="236"/>
      <c r="AN110" s="236"/>
      <c r="AO110" s="236"/>
      <c r="AP110" s="236"/>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c r="HV110" s="236"/>
      <c r="HW110" s="236"/>
      <c r="HX110" s="236"/>
      <c r="HY110" s="236"/>
      <c r="HZ110" s="236"/>
      <c r="IA110" s="236"/>
      <c r="IB110" s="236"/>
      <c r="IC110" s="236"/>
      <c r="ID110" s="236"/>
      <c r="IE110" s="236"/>
      <c r="IF110" s="236"/>
      <c r="IG110" s="236"/>
      <c r="IH110" s="236"/>
      <c r="II110" s="236"/>
      <c r="IJ110" s="236"/>
      <c r="IK110" s="236"/>
      <c r="IL110" s="236"/>
      <c r="IM110" s="236"/>
      <c r="IN110" s="236"/>
      <c r="IO110" s="236"/>
      <c r="IP110" s="236"/>
      <c r="IQ110" s="236"/>
      <c r="IR110" s="236"/>
      <c r="IS110" s="236"/>
      <c r="IT110" s="236"/>
      <c r="IU110" s="236"/>
    </row>
    <row r="111" s="221" customFormat="1" ht="31.199999999999999">
      <c r="A111" s="230"/>
      <c r="B111" s="402">
        <v>43830</v>
      </c>
      <c r="C111" s="402" t="s">
        <v>425</v>
      </c>
      <c r="D111" s="402" t="s">
        <v>426</v>
      </c>
      <c r="E111" s="402" t="s">
        <v>427</v>
      </c>
      <c r="F111" s="402" t="s">
        <v>428</v>
      </c>
      <c r="G111" s="402" t="s">
        <v>429</v>
      </c>
      <c r="H111" s="402" t="s">
        <v>430</v>
      </c>
      <c r="I111" s="402" t="s">
        <v>431</v>
      </c>
      <c r="J111" s="402">
        <v>43830</v>
      </c>
      <c r="K111" s="402" t="s">
        <v>425</v>
      </c>
      <c r="L111" s="402" t="s">
        <v>426</v>
      </c>
      <c r="M111" s="402" t="s">
        <v>427</v>
      </c>
      <c r="N111" s="402" t="s">
        <v>428</v>
      </c>
      <c r="O111" s="402" t="s">
        <v>429</v>
      </c>
      <c r="P111" s="402" t="s">
        <v>430</v>
      </c>
      <c r="Q111" s="402" t="s">
        <v>431</v>
      </c>
      <c r="R111" s="239" t="s">
        <v>432</v>
      </c>
      <c r="S111" s="239" t="s">
        <v>433</v>
      </c>
      <c r="T111" s="239" t="s">
        <v>434</v>
      </c>
      <c r="U111" s="239" t="s">
        <v>432</v>
      </c>
      <c r="V111" s="239" t="s">
        <v>433</v>
      </c>
      <c r="W111" s="239" t="s">
        <v>434</v>
      </c>
      <c r="X111" s="239" t="str">
        <f t="shared" si="326"/>
        <v xml:space="preserve">в тыс. руб.</v>
      </c>
      <c r="Y111" s="239" t="str">
        <f t="shared" si="327"/>
        <v xml:space="preserve">темп прироста, %</v>
      </c>
      <c r="Z111" s="239" t="str">
        <f t="shared" si="328"/>
        <v xml:space="preserve">в структуре, %</v>
      </c>
      <c r="AA111" s="239" t="str">
        <f t="shared" si="329"/>
        <v xml:space="preserve">в тыс. руб.</v>
      </c>
      <c r="AB111" s="239" t="str">
        <f t="shared" si="330"/>
        <v xml:space="preserve">темп прироста, %</v>
      </c>
      <c r="AC111" s="239" t="str">
        <f t="shared" si="331"/>
        <v xml:space="preserve">в структуре, %</v>
      </c>
      <c r="AD111" s="239" t="str">
        <f t="shared" si="332"/>
        <v xml:space="preserve">в тыс. руб.</v>
      </c>
      <c r="AE111" s="239" t="str">
        <f t="shared" si="333"/>
        <v xml:space="preserve">темп прироста, %</v>
      </c>
      <c r="AF111" s="239" t="str">
        <f t="shared" si="334"/>
        <v xml:space="preserve">в структуре, %</v>
      </c>
      <c r="AG111" s="239" t="str">
        <f t="shared" si="335"/>
        <v xml:space="preserve">в тыс. руб.</v>
      </c>
      <c r="AH111" s="239" t="str">
        <f t="shared" si="336"/>
        <v xml:space="preserve">темп прироста, %</v>
      </c>
      <c r="AI111" s="239" t="str">
        <f t="shared" si="337"/>
        <v xml:space="preserve">в структуре, %</v>
      </c>
      <c r="AJ111" s="239" t="str">
        <f t="shared" si="338"/>
        <v xml:space="preserve">в тыс. руб.</v>
      </c>
      <c r="AK111" s="239" t="str">
        <f t="shared" si="339"/>
        <v xml:space="preserve">темп прироста, %</v>
      </c>
      <c r="AL111" s="239" t="str">
        <f t="shared" si="340"/>
        <v xml:space="preserve">в структуре, %</v>
      </c>
      <c r="AM111" s="236"/>
      <c r="AN111" s="236"/>
      <c r="AO111" s="236"/>
      <c r="AP111" s="236"/>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c r="HV111" s="236"/>
      <c r="HW111" s="236"/>
      <c r="HX111" s="236"/>
      <c r="HY111" s="236"/>
      <c r="HZ111" s="236"/>
      <c r="IA111" s="236"/>
      <c r="IB111" s="236"/>
      <c r="IC111" s="236"/>
      <c r="ID111" s="236"/>
      <c r="IE111" s="236"/>
      <c r="IF111" s="236"/>
      <c r="IG111" s="236"/>
      <c r="IH111" s="236"/>
      <c r="II111" s="236"/>
      <c r="IJ111" s="236"/>
      <c r="IK111" s="236"/>
      <c r="IL111" s="236"/>
      <c r="IM111" s="236"/>
      <c r="IN111" s="236"/>
      <c r="IO111" s="236"/>
      <c r="IP111" s="236"/>
      <c r="IQ111" s="236"/>
      <c r="IR111" s="236"/>
      <c r="IS111" s="236"/>
      <c r="IT111" s="236"/>
      <c r="IU111" s="236"/>
    </row>
    <row r="112" s="428" customFormat="1" ht="13.800000000000001">
      <c r="A112" s="430" t="s">
        <v>671</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row>
    <row r="113" s="428" customFormat="1" ht="13.800000000000001">
      <c r="A113" s="430" t="s">
        <v>672</v>
      </c>
      <c r="B113" s="431"/>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row>
    <row r="114" s="428" customFormat="1" ht="13.800000000000001">
      <c r="A114" s="430" t="s">
        <v>673</v>
      </c>
      <c r="B114" s="431"/>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431"/>
      <c r="AB114" s="431"/>
      <c r="AC114" s="431"/>
      <c r="AD114" s="431"/>
      <c r="AE114" s="431"/>
      <c r="AF114" s="431"/>
      <c r="AG114" s="431"/>
      <c r="AH114" s="431"/>
      <c r="AI114" s="431"/>
      <c r="AJ114" s="431"/>
      <c r="AK114" s="431"/>
      <c r="AL114" s="431"/>
    </row>
    <row r="115" s="428" customFormat="1" ht="13.800000000000001">
      <c r="A115" s="432" t="s">
        <v>663</v>
      </c>
      <c r="B115" s="431"/>
      <c r="C115" s="431"/>
      <c r="D115" s="431"/>
      <c r="E115" s="431"/>
      <c r="F115" s="431"/>
      <c r="G115" s="431"/>
      <c r="H115" s="431"/>
      <c r="I115" s="431"/>
      <c r="J115" s="431"/>
      <c r="K115" s="431"/>
      <c r="L115" s="431"/>
      <c r="M115" s="431"/>
      <c r="N115" s="431"/>
      <c r="O115" s="431"/>
      <c r="P115" s="431"/>
      <c r="Q115" s="431"/>
      <c r="R115" s="431"/>
      <c r="S115" s="431"/>
      <c r="T115" s="431"/>
      <c r="U115" s="431"/>
      <c r="V115" s="431"/>
      <c r="W115" s="431"/>
      <c r="X115" s="431"/>
      <c r="Y115" s="431"/>
      <c r="Z115" s="431"/>
      <c r="AA115" s="431"/>
      <c r="AB115" s="431"/>
      <c r="AC115" s="431"/>
      <c r="AD115" s="431"/>
      <c r="AE115" s="431"/>
      <c r="AF115" s="431"/>
      <c r="AG115" s="431"/>
      <c r="AH115" s="431"/>
      <c r="AI115" s="431"/>
      <c r="AJ115" s="431"/>
      <c r="AK115" s="431"/>
      <c r="AL115" s="431"/>
    </row>
    <row r="116" s="428" customFormat="1" ht="13.199999999999999">
      <c r="A116" s="429"/>
      <c r="B116" s="433"/>
      <c r="C116" s="433"/>
      <c r="D116" s="433"/>
      <c r="E116" s="433"/>
    </row>
    <row r="117" s="428" customFormat="1" ht="13.199999999999999">
      <c r="A117" s="429"/>
    </row>
    <row r="118" s="428" customFormat="1" ht="13.199999999999999">
      <c r="A118" s="429" t="s">
        <v>674</v>
      </c>
    </row>
    <row r="119" s="221" customFormat="1" ht="15.75" customHeight="1">
      <c r="A119" s="223" t="s">
        <v>177</v>
      </c>
      <c r="B119" s="225" t="s">
        <v>421</v>
      </c>
      <c r="C119" s="225"/>
      <c r="D119" s="225"/>
      <c r="E119" s="225"/>
      <c r="F119" s="225"/>
      <c r="G119" s="225"/>
      <c r="H119" s="225"/>
      <c r="I119" s="225"/>
      <c r="J119" s="226" t="s">
        <v>422</v>
      </c>
      <c r="K119" s="226"/>
      <c r="L119" s="226"/>
      <c r="M119" s="226"/>
      <c r="N119" s="226"/>
      <c r="O119" s="226"/>
      <c r="P119" s="226"/>
      <c r="Q119" s="226"/>
      <c r="R119" s="227" t="s">
        <v>423</v>
      </c>
      <c r="S119" s="227"/>
      <c r="T119" s="227"/>
      <c r="U119" s="227"/>
      <c r="V119" s="227"/>
      <c r="W119" s="227"/>
      <c r="X119" s="227"/>
      <c r="Y119" s="227"/>
      <c r="Z119" s="227"/>
      <c r="AA119" s="227"/>
      <c r="AB119" s="227"/>
      <c r="AC119" s="227"/>
      <c r="AD119" s="227"/>
      <c r="AE119" s="227"/>
      <c r="AF119" s="227"/>
      <c r="AG119" s="227"/>
      <c r="AH119" s="227"/>
      <c r="AI119" s="227"/>
      <c r="AJ119" s="227"/>
      <c r="AK119" s="227"/>
      <c r="AL119" s="227"/>
    </row>
    <row r="120" s="221" customFormat="1">
      <c r="A120" s="228"/>
      <c r="B120" s="225"/>
      <c r="C120" s="225"/>
      <c r="D120" s="225"/>
      <c r="E120" s="225"/>
      <c r="F120" s="225"/>
      <c r="G120" s="225"/>
      <c r="H120" s="225"/>
      <c r="I120" s="225"/>
      <c r="J120" s="226"/>
      <c r="K120" s="226"/>
      <c r="L120" s="226"/>
      <c r="M120" s="226"/>
      <c r="N120" s="226"/>
      <c r="O120" s="226"/>
      <c r="P120" s="226"/>
      <c r="Q120" s="226"/>
      <c r="R120" s="230" t="s">
        <v>320</v>
      </c>
      <c r="S120" s="230"/>
      <c r="T120" s="230"/>
      <c r="U120" s="231" t="s">
        <v>321</v>
      </c>
      <c r="V120" s="231"/>
      <c r="W120" s="231"/>
      <c r="X120" s="231" t="s">
        <v>322</v>
      </c>
      <c r="Y120" s="231"/>
      <c r="Z120" s="231"/>
      <c r="AA120" s="231" t="s">
        <v>323</v>
      </c>
      <c r="AB120" s="231"/>
      <c r="AC120" s="231"/>
      <c r="AD120" s="231" t="s">
        <v>324</v>
      </c>
      <c r="AE120" s="231"/>
      <c r="AF120" s="231"/>
      <c r="AG120" s="232" t="s">
        <v>325</v>
      </c>
      <c r="AH120" s="233"/>
      <c r="AI120" s="234"/>
      <c r="AJ120" s="235" t="s">
        <v>326</v>
      </c>
      <c r="AK120" s="235"/>
      <c r="AL120" s="235"/>
      <c r="AM120" s="236"/>
      <c r="AN120" s="236"/>
      <c r="AO120" s="236"/>
      <c r="AP120" s="236"/>
      <c r="AQ120" s="236"/>
      <c r="AR120" s="236"/>
      <c r="AS120" s="236"/>
      <c r="AT120" s="236"/>
      <c r="AU120" s="236"/>
      <c r="AV120" s="236"/>
      <c r="AW120" s="236"/>
      <c r="AX120" s="236"/>
      <c r="AY120" s="236"/>
      <c r="AZ120" s="236"/>
      <c r="BA120" s="236"/>
      <c r="BB120" s="236"/>
      <c r="BC120" s="236"/>
      <c r="BD120" s="236"/>
      <c r="BE120" s="236"/>
      <c r="BF120" s="236"/>
      <c r="BG120" s="236"/>
      <c r="BH120" s="236"/>
      <c r="BI120" s="236"/>
      <c r="BJ120" s="236"/>
      <c r="BK120" s="236"/>
      <c r="BL120" s="236"/>
      <c r="BM120" s="236"/>
      <c r="BN120" s="236"/>
      <c r="BO120" s="236"/>
      <c r="BP120" s="236"/>
      <c r="BQ120" s="236"/>
      <c r="BR120" s="236"/>
      <c r="BS120" s="236"/>
      <c r="BT120" s="236"/>
      <c r="BU120" s="236"/>
      <c r="BV120" s="236"/>
      <c r="BW120" s="236"/>
      <c r="BX120" s="236"/>
      <c r="BY120" s="236"/>
      <c r="BZ120" s="236"/>
      <c r="CA120" s="236"/>
      <c r="CB120" s="236"/>
      <c r="CC120" s="236"/>
      <c r="CD120" s="236"/>
      <c r="CE120" s="236"/>
      <c r="CF120" s="236"/>
      <c r="CG120" s="236"/>
      <c r="CH120" s="236"/>
      <c r="CI120" s="236"/>
      <c r="CJ120" s="236"/>
      <c r="CK120" s="236"/>
      <c r="CL120" s="236"/>
      <c r="CM120" s="236"/>
      <c r="CN120" s="236"/>
      <c r="CO120" s="236"/>
      <c r="CP120" s="236"/>
      <c r="CQ120" s="236"/>
      <c r="CR120" s="236"/>
      <c r="CS120" s="236"/>
      <c r="CT120" s="236"/>
      <c r="CU120" s="236"/>
      <c r="CV120" s="236"/>
      <c r="CW120" s="236"/>
      <c r="CX120" s="236"/>
      <c r="CY120" s="236"/>
      <c r="CZ120" s="236"/>
      <c r="DA120" s="236"/>
      <c r="DB120" s="236"/>
      <c r="DC120" s="236"/>
      <c r="DD120" s="236"/>
      <c r="DE120" s="236"/>
      <c r="DF120" s="236"/>
      <c r="DG120" s="236"/>
      <c r="DH120" s="236"/>
      <c r="DI120" s="236"/>
      <c r="DJ120" s="236"/>
      <c r="DK120" s="236"/>
      <c r="DL120" s="236"/>
      <c r="DM120" s="236"/>
      <c r="DN120" s="236"/>
      <c r="DO120" s="236"/>
      <c r="DP120" s="236"/>
      <c r="DQ120" s="236"/>
      <c r="DR120" s="236"/>
      <c r="DS120" s="236"/>
      <c r="DT120" s="236"/>
      <c r="DU120" s="236"/>
      <c r="DV120" s="236"/>
      <c r="DW120" s="236"/>
      <c r="DX120" s="236"/>
      <c r="DY120" s="236"/>
      <c r="DZ120" s="236"/>
      <c r="EA120" s="236"/>
      <c r="EB120" s="236"/>
      <c r="EC120" s="236"/>
      <c r="ED120" s="236"/>
      <c r="EE120" s="236"/>
      <c r="EF120" s="236"/>
      <c r="EG120" s="236"/>
      <c r="EH120" s="236"/>
      <c r="EI120" s="236"/>
      <c r="EJ120" s="236"/>
      <c r="EK120" s="236"/>
      <c r="EL120" s="236"/>
      <c r="EM120" s="236"/>
      <c r="EN120" s="236"/>
      <c r="EO120" s="236"/>
      <c r="EP120" s="236"/>
      <c r="EQ120" s="236"/>
      <c r="ER120" s="236"/>
      <c r="ES120" s="236"/>
      <c r="ET120" s="236"/>
      <c r="EU120" s="236"/>
      <c r="EV120" s="236"/>
      <c r="EW120" s="236"/>
      <c r="EX120" s="236"/>
      <c r="EY120" s="236"/>
      <c r="EZ120" s="236"/>
      <c r="FA120" s="236"/>
      <c r="FB120" s="236"/>
      <c r="FC120" s="236"/>
      <c r="FD120" s="236"/>
      <c r="FE120" s="236"/>
      <c r="FF120" s="236"/>
      <c r="FG120" s="236"/>
      <c r="FH120" s="236"/>
      <c r="FI120" s="236"/>
      <c r="FJ120" s="236"/>
      <c r="FK120" s="236"/>
      <c r="FL120" s="236"/>
      <c r="FM120" s="236"/>
      <c r="FN120" s="236"/>
      <c r="FO120" s="236"/>
      <c r="FP120" s="236"/>
      <c r="FQ120" s="236"/>
      <c r="FR120" s="236"/>
      <c r="FS120" s="236"/>
      <c r="FT120" s="236"/>
      <c r="FU120" s="236"/>
      <c r="FV120" s="236"/>
      <c r="FW120" s="236"/>
      <c r="FX120" s="236"/>
      <c r="FY120" s="236"/>
      <c r="FZ120" s="236"/>
      <c r="GA120" s="236"/>
      <c r="GB120" s="236"/>
      <c r="GC120" s="236"/>
      <c r="GD120" s="236"/>
      <c r="GE120" s="236"/>
      <c r="GF120" s="236"/>
      <c r="GG120" s="236"/>
      <c r="GH120" s="236"/>
      <c r="GI120" s="236"/>
      <c r="GJ120" s="236"/>
      <c r="GK120" s="236"/>
      <c r="GL120" s="236"/>
      <c r="GM120" s="236"/>
      <c r="GN120" s="236"/>
      <c r="GO120" s="236"/>
      <c r="GP120" s="236"/>
      <c r="GQ120" s="236"/>
      <c r="GR120" s="236"/>
      <c r="GS120" s="236"/>
      <c r="GT120" s="236"/>
      <c r="GU120" s="236"/>
      <c r="GV120" s="236"/>
      <c r="GW120" s="236"/>
      <c r="GX120" s="236"/>
      <c r="GY120" s="236"/>
      <c r="GZ120" s="236"/>
      <c r="HA120" s="236"/>
      <c r="HB120" s="236"/>
      <c r="HC120" s="236"/>
      <c r="HD120" s="236"/>
      <c r="HE120" s="236"/>
      <c r="HF120" s="236"/>
      <c r="HG120" s="236"/>
      <c r="HH120" s="236"/>
      <c r="HI120" s="236"/>
      <c r="HJ120" s="236"/>
      <c r="HK120" s="236"/>
      <c r="HL120" s="236"/>
      <c r="HM120" s="236"/>
      <c r="HN120" s="236"/>
      <c r="HO120" s="236"/>
      <c r="HP120" s="236"/>
      <c r="HQ120" s="236"/>
      <c r="HR120" s="236"/>
      <c r="HS120" s="236"/>
      <c r="HT120" s="236"/>
      <c r="HU120" s="236"/>
      <c r="HV120" s="236"/>
      <c r="HW120" s="236"/>
      <c r="HX120" s="236"/>
      <c r="HY120" s="236"/>
      <c r="HZ120" s="236"/>
      <c r="IA120" s="236"/>
      <c r="IB120" s="236"/>
      <c r="IC120" s="236"/>
      <c r="ID120" s="236"/>
      <c r="IE120" s="236"/>
      <c r="IF120" s="236"/>
      <c r="IG120" s="236"/>
      <c r="IH120" s="236"/>
      <c r="II120" s="236"/>
      <c r="IJ120" s="236"/>
      <c r="IK120" s="236"/>
      <c r="IL120" s="236"/>
      <c r="IM120" s="236"/>
      <c r="IN120" s="236"/>
      <c r="IO120" s="236"/>
      <c r="IP120" s="236"/>
      <c r="IQ120" s="236"/>
      <c r="IR120" s="236"/>
      <c r="IS120" s="236"/>
      <c r="IT120" s="236"/>
      <c r="IU120" s="236"/>
    </row>
    <row r="121" s="221" customFormat="1" ht="31.199999999999999">
      <c r="A121" s="230"/>
      <c r="B121" s="402">
        <v>43830</v>
      </c>
      <c r="C121" s="402" t="s">
        <v>425</v>
      </c>
      <c r="D121" s="402" t="s">
        <v>426</v>
      </c>
      <c r="E121" s="402" t="s">
        <v>427</v>
      </c>
      <c r="F121" s="402" t="s">
        <v>428</v>
      </c>
      <c r="G121" s="402" t="s">
        <v>429</v>
      </c>
      <c r="H121" s="402" t="s">
        <v>430</v>
      </c>
      <c r="I121" s="402" t="s">
        <v>431</v>
      </c>
      <c r="J121" s="402">
        <v>43830</v>
      </c>
      <c r="K121" s="402" t="s">
        <v>425</v>
      </c>
      <c r="L121" s="402" t="s">
        <v>426</v>
      </c>
      <c r="M121" s="402" t="s">
        <v>427</v>
      </c>
      <c r="N121" s="402" t="s">
        <v>428</v>
      </c>
      <c r="O121" s="402" t="s">
        <v>429</v>
      </c>
      <c r="P121" s="402" t="s">
        <v>430</v>
      </c>
      <c r="Q121" s="402" t="s">
        <v>431</v>
      </c>
      <c r="R121" s="239" t="s">
        <v>432</v>
      </c>
      <c r="S121" s="239" t="s">
        <v>433</v>
      </c>
      <c r="T121" s="239" t="s">
        <v>434</v>
      </c>
      <c r="U121" s="239" t="s">
        <v>432</v>
      </c>
      <c r="V121" s="239" t="s">
        <v>433</v>
      </c>
      <c r="W121" s="239" t="s">
        <v>434</v>
      </c>
      <c r="X121" s="239" t="str">
        <f t="shared" si="326"/>
        <v xml:space="preserve">в тыс. руб.</v>
      </c>
      <c r="Y121" s="239" t="str">
        <f t="shared" si="327"/>
        <v xml:space="preserve">темп прироста, %</v>
      </c>
      <c r="Z121" s="239" t="str">
        <f t="shared" si="328"/>
        <v xml:space="preserve">в структуре, %</v>
      </c>
      <c r="AA121" s="239" t="str">
        <f t="shared" si="329"/>
        <v xml:space="preserve">в тыс. руб.</v>
      </c>
      <c r="AB121" s="239" t="str">
        <f t="shared" si="330"/>
        <v xml:space="preserve">темп прироста, %</v>
      </c>
      <c r="AC121" s="239" t="str">
        <f t="shared" si="331"/>
        <v xml:space="preserve">в структуре, %</v>
      </c>
      <c r="AD121" s="239" t="str">
        <f t="shared" si="332"/>
        <v xml:space="preserve">в тыс. руб.</v>
      </c>
      <c r="AE121" s="239" t="str">
        <f t="shared" si="333"/>
        <v xml:space="preserve">темп прироста, %</v>
      </c>
      <c r="AF121" s="239" t="str">
        <f t="shared" si="334"/>
        <v xml:space="preserve">в структуре, %</v>
      </c>
      <c r="AG121" s="239" t="str">
        <f t="shared" si="335"/>
        <v xml:space="preserve">в тыс. руб.</v>
      </c>
      <c r="AH121" s="239" t="str">
        <f t="shared" si="336"/>
        <v xml:space="preserve">темп прироста, %</v>
      </c>
      <c r="AI121" s="239" t="str">
        <f t="shared" si="337"/>
        <v xml:space="preserve">в структуре, %</v>
      </c>
      <c r="AJ121" s="239" t="str">
        <f t="shared" si="338"/>
        <v xml:space="preserve">в тыс. руб.</v>
      </c>
      <c r="AK121" s="239" t="str">
        <f t="shared" si="339"/>
        <v xml:space="preserve">темп прироста, %</v>
      </c>
      <c r="AL121" s="239" t="str">
        <f t="shared" si="340"/>
        <v xml:space="preserve">в структуре, %</v>
      </c>
      <c r="AM121" s="236"/>
      <c r="AN121" s="236"/>
      <c r="AO121" s="236"/>
      <c r="AP121" s="236"/>
      <c r="AQ121" s="236"/>
      <c r="AR121" s="236"/>
      <c r="AS121" s="236"/>
      <c r="AT121" s="236"/>
      <c r="AU121" s="236"/>
      <c r="AV121" s="236"/>
      <c r="AW121" s="236"/>
      <c r="AX121" s="236"/>
      <c r="AY121" s="236"/>
      <c r="AZ121" s="236"/>
      <c r="BA121" s="236"/>
      <c r="BB121" s="236"/>
      <c r="BC121" s="236"/>
      <c r="BD121" s="236"/>
      <c r="BE121" s="236"/>
      <c r="BF121" s="236"/>
      <c r="BG121" s="236"/>
      <c r="BH121" s="236"/>
      <c r="BI121" s="236"/>
      <c r="BJ121" s="236"/>
      <c r="BK121" s="236"/>
      <c r="BL121" s="236"/>
      <c r="BM121" s="236"/>
      <c r="BN121" s="236"/>
      <c r="BO121" s="236"/>
      <c r="BP121" s="236"/>
      <c r="BQ121" s="236"/>
      <c r="BR121" s="236"/>
      <c r="BS121" s="236"/>
      <c r="BT121" s="236"/>
      <c r="BU121" s="236"/>
      <c r="BV121" s="236"/>
      <c r="BW121" s="236"/>
      <c r="BX121" s="236"/>
      <c r="BY121" s="236"/>
      <c r="BZ121" s="236"/>
      <c r="CA121" s="236"/>
      <c r="CB121" s="236"/>
      <c r="CC121" s="236"/>
      <c r="CD121" s="236"/>
      <c r="CE121" s="236"/>
      <c r="CF121" s="236"/>
      <c r="CG121" s="236"/>
      <c r="CH121" s="236"/>
      <c r="CI121" s="236"/>
      <c r="CJ121" s="236"/>
      <c r="CK121" s="236"/>
      <c r="CL121" s="236"/>
      <c r="CM121" s="236"/>
      <c r="CN121" s="236"/>
      <c r="CO121" s="236"/>
      <c r="CP121" s="236"/>
      <c r="CQ121" s="236"/>
      <c r="CR121" s="236"/>
      <c r="CS121" s="236"/>
      <c r="CT121" s="236"/>
      <c r="CU121" s="236"/>
      <c r="CV121" s="236"/>
      <c r="CW121" s="236"/>
      <c r="CX121" s="236"/>
      <c r="CY121" s="236"/>
      <c r="CZ121" s="236"/>
      <c r="DA121" s="236"/>
      <c r="DB121" s="236"/>
      <c r="DC121" s="236"/>
      <c r="DD121" s="236"/>
      <c r="DE121" s="236"/>
      <c r="DF121" s="236"/>
      <c r="DG121" s="236"/>
      <c r="DH121" s="236"/>
      <c r="DI121" s="236"/>
      <c r="DJ121" s="236"/>
      <c r="DK121" s="236"/>
      <c r="DL121" s="236"/>
      <c r="DM121" s="236"/>
      <c r="DN121" s="236"/>
      <c r="DO121" s="236"/>
      <c r="DP121" s="236"/>
      <c r="DQ121" s="236"/>
      <c r="DR121" s="236"/>
      <c r="DS121" s="236"/>
      <c r="DT121" s="236"/>
      <c r="DU121" s="236"/>
      <c r="DV121" s="236"/>
      <c r="DW121" s="236"/>
      <c r="DX121" s="236"/>
      <c r="DY121" s="236"/>
      <c r="DZ121" s="236"/>
      <c r="EA121" s="236"/>
      <c r="EB121" s="236"/>
      <c r="EC121" s="236"/>
      <c r="ED121" s="236"/>
      <c r="EE121" s="236"/>
      <c r="EF121" s="236"/>
      <c r="EG121" s="236"/>
      <c r="EH121" s="236"/>
      <c r="EI121" s="236"/>
      <c r="EJ121" s="236"/>
      <c r="EK121" s="236"/>
      <c r="EL121" s="236"/>
      <c r="EM121" s="236"/>
      <c r="EN121" s="236"/>
      <c r="EO121" s="236"/>
      <c r="EP121" s="236"/>
      <c r="EQ121" s="236"/>
      <c r="ER121" s="236"/>
      <c r="ES121" s="236"/>
      <c r="ET121" s="236"/>
      <c r="EU121" s="236"/>
      <c r="EV121" s="236"/>
      <c r="EW121" s="236"/>
      <c r="EX121" s="236"/>
      <c r="EY121" s="236"/>
      <c r="EZ121" s="236"/>
      <c r="FA121" s="236"/>
      <c r="FB121" s="236"/>
      <c r="FC121" s="236"/>
      <c r="FD121" s="236"/>
      <c r="FE121" s="236"/>
      <c r="FF121" s="236"/>
      <c r="FG121" s="236"/>
      <c r="FH121" s="236"/>
      <c r="FI121" s="236"/>
      <c r="FJ121" s="236"/>
      <c r="FK121" s="236"/>
      <c r="FL121" s="236"/>
      <c r="FM121" s="236"/>
      <c r="FN121" s="236"/>
      <c r="FO121" s="236"/>
      <c r="FP121" s="236"/>
      <c r="FQ121" s="236"/>
      <c r="FR121" s="236"/>
      <c r="FS121" s="236"/>
      <c r="FT121" s="236"/>
      <c r="FU121" s="236"/>
      <c r="FV121" s="236"/>
      <c r="FW121" s="236"/>
      <c r="FX121" s="236"/>
      <c r="FY121" s="236"/>
      <c r="FZ121" s="236"/>
      <c r="GA121" s="236"/>
      <c r="GB121" s="236"/>
      <c r="GC121" s="236"/>
      <c r="GD121" s="236"/>
      <c r="GE121" s="236"/>
      <c r="GF121" s="236"/>
      <c r="GG121" s="236"/>
      <c r="GH121" s="236"/>
      <c r="GI121" s="236"/>
      <c r="GJ121" s="236"/>
      <c r="GK121" s="236"/>
      <c r="GL121" s="236"/>
      <c r="GM121" s="236"/>
      <c r="GN121" s="236"/>
      <c r="GO121" s="236"/>
      <c r="GP121" s="236"/>
      <c r="GQ121" s="236"/>
      <c r="GR121" s="236"/>
      <c r="GS121" s="236"/>
      <c r="GT121" s="236"/>
      <c r="GU121" s="236"/>
      <c r="GV121" s="236"/>
      <c r="GW121" s="236"/>
      <c r="GX121" s="236"/>
      <c r="GY121" s="236"/>
      <c r="GZ121" s="236"/>
      <c r="HA121" s="236"/>
      <c r="HB121" s="236"/>
      <c r="HC121" s="236"/>
      <c r="HD121" s="236"/>
      <c r="HE121" s="236"/>
      <c r="HF121" s="236"/>
      <c r="HG121" s="236"/>
      <c r="HH121" s="236"/>
      <c r="HI121" s="236"/>
      <c r="HJ121" s="236"/>
      <c r="HK121" s="236"/>
      <c r="HL121" s="236"/>
      <c r="HM121" s="236"/>
      <c r="HN121" s="236"/>
      <c r="HO121" s="236"/>
      <c r="HP121" s="236"/>
      <c r="HQ121" s="236"/>
      <c r="HR121" s="236"/>
      <c r="HS121" s="236"/>
      <c r="HT121" s="236"/>
      <c r="HU121" s="236"/>
      <c r="HV121" s="236"/>
      <c r="HW121" s="236"/>
      <c r="HX121" s="236"/>
      <c r="HY121" s="236"/>
      <c r="HZ121" s="236"/>
      <c r="IA121" s="236"/>
      <c r="IB121" s="236"/>
      <c r="IC121" s="236"/>
      <c r="ID121" s="236"/>
      <c r="IE121" s="236"/>
      <c r="IF121" s="236"/>
      <c r="IG121" s="236"/>
      <c r="IH121" s="236"/>
      <c r="II121" s="236"/>
      <c r="IJ121" s="236"/>
      <c r="IK121" s="236"/>
      <c r="IL121" s="236"/>
      <c r="IM121" s="236"/>
      <c r="IN121" s="236"/>
      <c r="IO121" s="236"/>
      <c r="IP121" s="236"/>
      <c r="IQ121" s="236"/>
      <c r="IR121" s="236"/>
      <c r="IS121" s="236"/>
      <c r="IT121" s="236"/>
      <c r="IU121" s="236"/>
    </row>
    <row r="122" s="428" customFormat="1" ht="13.800000000000001">
      <c r="A122" s="430" t="s">
        <v>671</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row>
    <row r="123" s="428" customFormat="1" ht="13.800000000000001">
      <c r="A123" s="430" t="s">
        <v>672</v>
      </c>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row>
    <row r="124" s="428" customFormat="1" ht="13.800000000000001">
      <c r="A124" s="430" t="s">
        <v>673</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row>
    <row r="125" s="428" customFormat="1" ht="13.800000000000001">
      <c r="A125" s="432" t="s">
        <v>665</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431"/>
      <c r="AF125" s="431"/>
      <c r="AG125" s="431"/>
      <c r="AH125" s="431"/>
      <c r="AI125" s="431"/>
      <c r="AJ125" s="431"/>
      <c r="AK125" s="431"/>
      <c r="AL125" s="431"/>
    </row>
  </sheetData>
  <mergeCells count="124">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 ref="X26:Z26"/>
    <mergeCell ref="AA26:AC26"/>
    <mergeCell ref="R40:AL40"/>
    <mergeCell ref="R41:T41"/>
    <mergeCell ref="U41:W41"/>
    <mergeCell ref="X41:Z41"/>
    <mergeCell ref="AA41:AC41"/>
    <mergeCell ref="AD26:AF26"/>
    <mergeCell ref="R25:AL25"/>
    <mergeCell ref="AG26:AI26"/>
    <mergeCell ref="AJ26:AL26"/>
    <mergeCell ref="A4:A6"/>
    <mergeCell ref="R5:T5"/>
    <mergeCell ref="U5:W5"/>
    <mergeCell ref="X5:Z5"/>
    <mergeCell ref="AA5:AC5"/>
    <mergeCell ref="B4:I5"/>
    <mergeCell ref="J4:Q5"/>
    <mergeCell ref="R4:AL4"/>
    <mergeCell ref="AG5:AI5"/>
    <mergeCell ref="AJ5:AL5"/>
    <mergeCell ref="AD5:AF5"/>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84:A86"/>
    <mergeCell ref="B84:I85"/>
    <mergeCell ref="A93:A95"/>
    <mergeCell ref="B93:I94"/>
    <mergeCell ref="A101:A103"/>
    <mergeCell ref="B101:I102"/>
    <mergeCell ref="A109:A111"/>
    <mergeCell ref="B109:I110"/>
    <mergeCell ref="A119:A121"/>
    <mergeCell ref="B119:I120"/>
    <mergeCell ref="J84:Q85"/>
    <mergeCell ref="R84:AL84"/>
    <mergeCell ref="R85:T85"/>
    <mergeCell ref="U85:W85"/>
    <mergeCell ref="X85:Z85"/>
    <mergeCell ref="AA85:AC85"/>
    <mergeCell ref="AD85:AF85"/>
    <mergeCell ref="AG85:AI85"/>
    <mergeCell ref="AJ85:AL85"/>
    <mergeCell ref="J93:Q94"/>
    <mergeCell ref="R93:AL93"/>
    <mergeCell ref="R94:T94"/>
    <mergeCell ref="U94:W94"/>
    <mergeCell ref="X94:Z94"/>
    <mergeCell ref="AA94:AC94"/>
    <mergeCell ref="AD94:AF94"/>
    <mergeCell ref="AG94:AI94"/>
    <mergeCell ref="AJ94:AL94"/>
    <mergeCell ref="J101:Q102"/>
    <mergeCell ref="R101:AL101"/>
    <mergeCell ref="R102:T102"/>
    <mergeCell ref="U102:W102"/>
    <mergeCell ref="X102:Z102"/>
    <mergeCell ref="AA102:AC102"/>
    <mergeCell ref="AD102:AF102"/>
    <mergeCell ref="AG102:AI102"/>
    <mergeCell ref="AJ102:AL102"/>
    <mergeCell ref="J109:Q110"/>
    <mergeCell ref="R109:AL109"/>
    <mergeCell ref="R110:T110"/>
    <mergeCell ref="U110:W110"/>
    <mergeCell ref="X110:Z110"/>
    <mergeCell ref="AA110:AC110"/>
    <mergeCell ref="AD110:AF110"/>
    <mergeCell ref="AG110:AI110"/>
    <mergeCell ref="AJ110:AL110"/>
    <mergeCell ref="J119:Q120"/>
    <mergeCell ref="R119:AL119"/>
    <mergeCell ref="R120:T120"/>
    <mergeCell ref="U120:W120"/>
    <mergeCell ref="X120:Z120"/>
    <mergeCell ref="AA120:AC120"/>
    <mergeCell ref="AD120:AF120"/>
    <mergeCell ref="AG120:AI120"/>
    <mergeCell ref="AJ120:AL12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60" workbookViewId="0">
      <selection activeCell="O37" activeCellId="0" sqref="O37"/>
    </sheetView>
  </sheetViews>
  <sheetFormatPr defaultRowHeight="15.6"/>
  <cols>
    <col customWidth="1" min="1" max="1" style="64" width="55.6640625"/>
    <col customWidth="1" min="2" max="8" style="64" width="18.6640625"/>
    <col customWidth="1" min="9" max="9" style="64" width="12.109375"/>
    <col min="10" max="256" style="64" width="9.109375"/>
    <col customWidth="1" min="257" max="257" style="64" width="28.5546875"/>
    <col customWidth="1" min="258" max="258" style="64" width="17.5546875"/>
    <col customWidth="1" min="259" max="259" style="64" width="17"/>
    <col customWidth="1" min="260" max="260" style="64" width="19.109375"/>
    <col customWidth="1" min="261" max="261" style="64" width="16.33203125"/>
    <col bestFit="1" customWidth="1" min="262" max="262" style="64" width="11.6640625"/>
    <col bestFit="1" customWidth="1" min="263" max="264" style="64" width="10.44140625"/>
    <col customWidth="1" min="265" max="265" style="64" width="12.109375"/>
    <col min="266" max="512" style="64" width="9.109375"/>
    <col customWidth="1" min="513" max="513" style="64" width="28.5546875"/>
    <col customWidth="1" min="514" max="514" style="64" width="17.5546875"/>
    <col customWidth="1" min="515" max="515" style="64" width="17"/>
    <col customWidth="1" min="516" max="516" style="64" width="19.109375"/>
    <col customWidth="1" min="517" max="517" style="64" width="16.33203125"/>
    <col bestFit="1" customWidth="1" min="518" max="518" style="64" width="11.6640625"/>
    <col bestFit="1" customWidth="1" min="519" max="520" style="64" width="10.44140625"/>
    <col customWidth="1" min="521" max="521" style="64" width="12.109375"/>
    <col min="522" max="768" style="64" width="9.109375"/>
    <col customWidth="1" min="769" max="769" style="64" width="28.5546875"/>
    <col customWidth="1" min="770" max="770" style="64" width="17.5546875"/>
    <col customWidth="1" min="771" max="771" style="64" width="17"/>
    <col customWidth="1" min="772" max="772" style="64" width="19.109375"/>
    <col customWidth="1" min="773" max="773" style="64" width="16.33203125"/>
    <col bestFit="1" customWidth="1" min="774" max="774" style="64" width="11.6640625"/>
    <col bestFit="1" customWidth="1" min="775" max="776" style="64" width="10.44140625"/>
    <col customWidth="1" min="777" max="777" style="64" width="12.109375"/>
    <col min="778" max="1024" style="64" width="9.109375"/>
    <col customWidth="1" min="1025" max="1025" style="64" width="28.5546875"/>
    <col customWidth="1" min="1026" max="1026" style="64" width="17.5546875"/>
    <col customWidth="1" min="1027" max="1027" style="64" width="17"/>
    <col customWidth="1" min="1028" max="1028" style="64" width="19.109375"/>
    <col customWidth="1" min="1029" max="1029" style="64" width="16.33203125"/>
    <col bestFit="1" customWidth="1" min="1030" max="1030" style="64" width="11.6640625"/>
    <col bestFit="1" customWidth="1" min="1031" max="1032" style="64" width="10.44140625"/>
    <col customWidth="1" min="1033" max="1033" style="64" width="12.109375"/>
    <col min="1034" max="1280" style="64" width="9.109375"/>
    <col customWidth="1" min="1281" max="1281" style="64" width="28.5546875"/>
    <col customWidth="1" min="1282" max="1282" style="64" width="17.5546875"/>
    <col customWidth="1" min="1283" max="1283" style="64" width="17"/>
    <col customWidth="1" min="1284" max="1284" style="64" width="19.109375"/>
    <col customWidth="1" min="1285" max="1285" style="64" width="16.33203125"/>
    <col bestFit="1" customWidth="1" min="1286" max="1286" style="64" width="11.6640625"/>
    <col bestFit="1" customWidth="1" min="1287" max="1288" style="64" width="10.44140625"/>
    <col customWidth="1" min="1289" max="1289" style="64" width="12.109375"/>
    <col min="1290" max="1536" style="64" width="9.109375"/>
    <col customWidth="1" min="1537" max="1537" style="64" width="28.5546875"/>
    <col customWidth="1" min="1538" max="1538" style="64" width="17.5546875"/>
    <col customWidth="1" min="1539" max="1539" style="64" width="17"/>
    <col customWidth="1" min="1540" max="1540" style="64" width="19.109375"/>
    <col customWidth="1" min="1541" max="1541" style="64" width="16.33203125"/>
    <col bestFit="1" customWidth="1" min="1542" max="1542" style="64" width="11.6640625"/>
    <col bestFit="1" customWidth="1" min="1543" max="1544" style="64" width="10.44140625"/>
    <col customWidth="1" min="1545" max="1545" style="64" width="12.109375"/>
    <col min="1546" max="1792" style="64" width="9.109375"/>
    <col customWidth="1" min="1793" max="1793" style="64" width="28.5546875"/>
    <col customWidth="1" min="1794" max="1794" style="64" width="17.5546875"/>
    <col customWidth="1" min="1795" max="1795" style="64" width="17"/>
    <col customWidth="1" min="1796" max="1796" style="64" width="19.109375"/>
    <col customWidth="1" min="1797" max="1797" style="64" width="16.33203125"/>
    <col bestFit="1" customWidth="1" min="1798" max="1798" style="64" width="11.6640625"/>
    <col bestFit="1" customWidth="1" min="1799" max="1800" style="64" width="10.44140625"/>
    <col customWidth="1" min="1801" max="1801" style="64" width="12.109375"/>
    <col min="1802" max="2048" style="64" width="9.109375"/>
    <col customWidth="1" min="2049" max="2049" style="64" width="28.5546875"/>
    <col customWidth="1" min="2050" max="2050" style="64" width="17.5546875"/>
    <col customWidth="1" min="2051" max="2051" style="64" width="17"/>
    <col customWidth="1" min="2052" max="2052" style="64" width="19.109375"/>
    <col customWidth="1" min="2053" max="2053" style="64" width="16.33203125"/>
    <col bestFit="1" customWidth="1" min="2054" max="2054" style="64" width="11.6640625"/>
    <col bestFit="1" customWidth="1" min="2055" max="2056" style="64" width="10.44140625"/>
    <col customWidth="1" min="2057" max="2057" style="64" width="12.109375"/>
    <col min="2058" max="2304" style="64" width="9.109375"/>
    <col customWidth="1" min="2305" max="2305" style="64" width="28.5546875"/>
    <col customWidth="1" min="2306" max="2306" style="64" width="17.5546875"/>
    <col customWidth="1" min="2307" max="2307" style="64" width="17"/>
    <col customWidth="1" min="2308" max="2308" style="64" width="19.109375"/>
    <col customWidth="1" min="2309" max="2309" style="64" width="16.33203125"/>
    <col bestFit="1" customWidth="1" min="2310" max="2310" style="64" width="11.6640625"/>
    <col bestFit="1" customWidth="1" min="2311" max="2312" style="64" width="10.44140625"/>
    <col customWidth="1" min="2313" max="2313" style="64" width="12.109375"/>
    <col min="2314" max="2560" style="64" width="9.109375"/>
    <col customWidth="1" min="2561" max="2561" style="64" width="28.5546875"/>
    <col customWidth="1" min="2562" max="2562" style="64" width="17.5546875"/>
    <col customWidth="1" min="2563" max="2563" style="64" width="17"/>
    <col customWidth="1" min="2564" max="2564" style="64" width="19.109375"/>
    <col customWidth="1" min="2565" max="2565" style="64" width="16.33203125"/>
    <col bestFit="1" customWidth="1" min="2566" max="2566" style="64" width="11.6640625"/>
    <col bestFit="1" customWidth="1" min="2567" max="2568" style="64" width="10.44140625"/>
    <col customWidth="1" min="2569" max="2569" style="64" width="12.109375"/>
    <col min="2570" max="2816" style="64" width="9.109375"/>
    <col customWidth="1" min="2817" max="2817" style="64" width="28.5546875"/>
    <col customWidth="1" min="2818" max="2818" style="64" width="17.5546875"/>
    <col customWidth="1" min="2819" max="2819" style="64" width="17"/>
    <col customWidth="1" min="2820" max="2820" style="64" width="19.109375"/>
    <col customWidth="1" min="2821" max="2821" style="64" width="16.33203125"/>
    <col bestFit="1" customWidth="1" min="2822" max="2822" style="64" width="11.6640625"/>
    <col bestFit="1" customWidth="1" min="2823" max="2824" style="64" width="10.44140625"/>
    <col customWidth="1" min="2825" max="2825" style="64" width="12.109375"/>
    <col min="2826" max="3072" style="64" width="9.109375"/>
    <col customWidth="1" min="3073" max="3073" style="64" width="28.5546875"/>
    <col customWidth="1" min="3074" max="3074" style="64" width="17.5546875"/>
    <col customWidth="1" min="3075" max="3075" style="64" width="17"/>
    <col customWidth="1" min="3076" max="3076" style="64" width="19.109375"/>
    <col customWidth="1" min="3077" max="3077" style="64" width="16.33203125"/>
    <col bestFit="1" customWidth="1" min="3078" max="3078" style="64" width="11.6640625"/>
    <col bestFit="1" customWidth="1" min="3079" max="3080" style="64" width="10.44140625"/>
    <col customWidth="1" min="3081" max="3081" style="64" width="12.109375"/>
    <col min="3082" max="3328" style="64" width="9.109375"/>
    <col customWidth="1" min="3329" max="3329" style="64" width="28.5546875"/>
    <col customWidth="1" min="3330" max="3330" style="64" width="17.5546875"/>
    <col customWidth="1" min="3331" max="3331" style="64" width="17"/>
    <col customWidth="1" min="3332" max="3332" style="64" width="19.109375"/>
    <col customWidth="1" min="3333" max="3333" style="64" width="16.33203125"/>
    <col bestFit="1" customWidth="1" min="3334" max="3334" style="64" width="11.6640625"/>
    <col bestFit="1" customWidth="1" min="3335" max="3336" style="64" width="10.44140625"/>
    <col customWidth="1" min="3337" max="3337" style="64" width="12.109375"/>
    <col min="3338" max="3584" style="64" width="9.109375"/>
    <col customWidth="1" min="3585" max="3585" style="64" width="28.5546875"/>
    <col customWidth="1" min="3586" max="3586" style="64" width="17.5546875"/>
    <col customWidth="1" min="3587" max="3587" style="64" width="17"/>
    <col customWidth="1" min="3588" max="3588" style="64" width="19.109375"/>
    <col customWidth="1" min="3589" max="3589" style="64" width="16.33203125"/>
    <col bestFit="1" customWidth="1" min="3590" max="3590" style="64" width="11.6640625"/>
    <col bestFit="1" customWidth="1" min="3591" max="3592" style="64" width="10.44140625"/>
    <col customWidth="1" min="3593" max="3593" style="64" width="12.109375"/>
    <col min="3594" max="3840" style="64" width="9.109375"/>
    <col customWidth="1" min="3841" max="3841" style="64" width="28.5546875"/>
    <col customWidth="1" min="3842" max="3842" style="64" width="17.5546875"/>
    <col customWidth="1" min="3843" max="3843" style="64" width="17"/>
    <col customWidth="1" min="3844" max="3844" style="64" width="19.109375"/>
    <col customWidth="1" min="3845" max="3845" style="64" width="16.33203125"/>
    <col bestFit="1" customWidth="1" min="3846" max="3846" style="64" width="11.6640625"/>
    <col bestFit="1" customWidth="1" min="3847" max="3848" style="64" width="10.44140625"/>
    <col customWidth="1" min="3849" max="3849" style="64" width="12.109375"/>
    <col min="3850" max="4096" style="64" width="9.109375"/>
    <col customWidth="1" min="4097" max="4097" style="64" width="28.5546875"/>
    <col customWidth="1" min="4098" max="4098" style="64" width="17.5546875"/>
    <col customWidth="1" min="4099" max="4099" style="64" width="17"/>
    <col customWidth="1" min="4100" max="4100" style="64" width="19.109375"/>
    <col customWidth="1" min="4101" max="4101" style="64" width="16.33203125"/>
    <col bestFit="1" customWidth="1" min="4102" max="4102" style="64" width="11.6640625"/>
    <col bestFit="1" customWidth="1" min="4103" max="4104" style="64" width="10.44140625"/>
    <col customWidth="1" min="4105" max="4105" style="64" width="12.109375"/>
    <col min="4106" max="4352" style="64" width="9.109375"/>
    <col customWidth="1" min="4353" max="4353" style="64" width="28.5546875"/>
    <col customWidth="1" min="4354" max="4354" style="64" width="17.5546875"/>
    <col customWidth="1" min="4355" max="4355" style="64" width="17"/>
    <col customWidth="1" min="4356" max="4356" style="64" width="19.109375"/>
    <col customWidth="1" min="4357" max="4357" style="64" width="16.33203125"/>
    <col bestFit="1" customWidth="1" min="4358" max="4358" style="64" width="11.6640625"/>
    <col bestFit="1" customWidth="1" min="4359" max="4360" style="64" width="10.44140625"/>
    <col customWidth="1" min="4361" max="4361" style="64" width="12.109375"/>
    <col min="4362" max="4608" style="64" width="9.109375"/>
    <col customWidth="1" min="4609" max="4609" style="64" width="28.5546875"/>
    <col customWidth="1" min="4610" max="4610" style="64" width="17.5546875"/>
    <col customWidth="1" min="4611" max="4611" style="64" width="17"/>
    <col customWidth="1" min="4612" max="4612" style="64" width="19.109375"/>
    <col customWidth="1" min="4613" max="4613" style="64" width="16.33203125"/>
    <col bestFit="1" customWidth="1" min="4614" max="4614" style="64" width="11.6640625"/>
    <col bestFit="1" customWidth="1" min="4615" max="4616" style="64" width="10.44140625"/>
    <col customWidth="1" min="4617" max="4617" style="64" width="12.109375"/>
    <col min="4618" max="4864" style="64" width="9.109375"/>
    <col customWidth="1" min="4865" max="4865" style="64" width="28.5546875"/>
    <col customWidth="1" min="4866" max="4866" style="64" width="17.5546875"/>
    <col customWidth="1" min="4867" max="4867" style="64" width="17"/>
    <col customWidth="1" min="4868" max="4868" style="64" width="19.109375"/>
    <col customWidth="1" min="4869" max="4869" style="64" width="16.33203125"/>
    <col bestFit="1" customWidth="1" min="4870" max="4870" style="64" width="11.6640625"/>
    <col bestFit="1" customWidth="1" min="4871" max="4872" style="64" width="10.44140625"/>
    <col customWidth="1" min="4873" max="4873" style="64" width="12.109375"/>
    <col min="4874" max="5120" style="64" width="9.109375"/>
    <col customWidth="1" min="5121" max="5121" style="64" width="28.5546875"/>
    <col customWidth="1" min="5122" max="5122" style="64" width="17.5546875"/>
    <col customWidth="1" min="5123" max="5123" style="64" width="17"/>
    <col customWidth="1" min="5124" max="5124" style="64" width="19.109375"/>
    <col customWidth="1" min="5125" max="5125" style="64" width="16.33203125"/>
    <col bestFit="1" customWidth="1" min="5126" max="5126" style="64" width="11.6640625"/>
    <col bestFit="1" customWidth="1" min="5127" max="5128" style="64" width="10.44140625"/>
    <col customWidth="1" min="5129" max="5129" style="64" width="12.109375"/>
    <col min="5130" max="5376" style="64" width="9.109375"/>
    <col customWidth="1" min="5377" max="5377" style="64" width="28.5546875"/>
    <col customWidth="1" min="5378" max="5378" style="64" width="17.5546875"/>
    <col customWidth="1" min="5379" max="5379" style="64" width="17"/>
    <col customWidth="1" min="5380" max="5380" style="64" width="19.109375"/>
    <col customWidth="1" min="5381" max="5381" style="64" width="16.33203125"/>
    <col bestFit="1" customWidth="1" min="5382" max="5382" style="64" width="11.6640625"/>
    <col bestFit="1" customWidth="1" min="5383" max="5384" style="64" width="10.44140625"/>
    <col customWidth="1" min="5385" max="5385" style="64" width="12.109375"/>
    <col min="5386" max="5632" style="64" width="9.109375"/>
    <col customWidth="1" min="5633" max="5633" style="64" width="28.5546875"/>
    <col customWidth="1" min="5634" max="5634" style="64" width="17.5546875"/>
    <col customWidth="1" min="5635" max="5635" style="64" width="17"/>
    <col customWidth="1" min="5636" max="5636" style="64" width="19.109375"/>
    <col customWidth="1" min="5637" max="5637" style="64" width="16.33203125"/>
    <col bestFit="1" customWidth="1" min="5638" max="5638" style="64" width="11.6640625"/>
    <col bestFit="1" customWidth="1" min="5639" max="5640" style="64" width="10.44140625"/>
    <col customWidth="1" min="5641" max="5641" style="64" width="12.109375"/>
    <col min="5642" max="5888" style="64" width="9.109375"/>
    <col customWidth="1" min="5889" max="5889" style="64" width="28.5546875"/>
    <col customWidth="1" min="5890" max="5890" style="64" width="17.5546875"/>
    <col customWidth="1" min="5891" max="5891" style="64" width="17"/>
    <col customWidth="1" min="5892" max="5892" style="64" width="19.109375"/>
    <col customWidth="1" min="5893" max="5893" style="64" width="16.33203125"/>
    <col bestFit="1" customWidth="1" min="5894" max="5894" style="64" width="11.6640625"/>
    <col bestFit="1" customWidth="1" min="5895" max="5896" style="64" width="10.44140625"/>
    <col customWidth="1" min="5897" max="5897" style="64" width="12.109375"/>
    <col min="5898" max="6144" style="64" width="9.109375"/>
    <col customWidth="1" min="6145" max="6145" style="64" width="28.5546875"/>
    <col customWidth="1" min="6146" max="6146" style="64" width="17.5546875"/>
    <col customWidth="1" min="6147" max="6147" style="64" width="17"/>
    <col customWidth="1" min="6148" max="6148" style="64" width="19.109375"/>
    <col customWidth="1" min="6149" max="6149" style="64" width="16.33203125"/>
    <col bestFit="1" customWidth="1" min="6150" max="6150" style="64" width="11.6640625"/>
    <col bestFit="1" customWidth="1" min="6151" max="6152" style="64" width="10.44140625"/>
    <col customWidth="1" min="6153" max="6153" style="64" width="12.109375"/>
    <col min="6154" max="6400" style="64" width="9.109375"/>
    <col customWidth="1" min="6401" max="6401" style="64" width="28.5546875"/>
    <col customWidth="1" min="6402" max="6402" style="64" width="17.5546875"/>
    <col customWidth="1" min="6403" max="6403" style="64" width="17"/>
    <col customWidth="1" min="6404" max="6404" style="64" width="19.109375"/>
    <col customWidth="1" min="6405" max="6405" style="64" width="16.33203125"/>
    <col bestFit="1" customWidth="1" min="6406" max="6406" style="64" width="11.6640625"/>
    <col bestFit="1" customWidth="1" min="6407" max="6408" style="64" width="10.44140625"/>
    <col customWidth="1" min="6409" max="6409" style="64" width="12.109375"/>
    <col min="6410" max="6656" style="64" width="9.109375"/>
    <col customWidth="1" min="6657" max="6657" style="64" width="28.5546875"/>
    <col customWidth="1" min="6658" max="6658" style="64" width="17.5546875"/>
    <col customWidth="1" min="6659" max="6659" style="64" width="17"/>
    <col customWidth="1" min="6660" max="6660" style="64" width="19.109375"/>
    <col customWidth="1" min="6661" max="6661" style="64" width="16.33203125"/>
    <col bestFit="1" customWidth="1" min="6662" max="6662" style="64" width="11.6640625"/>
    <col bestFit="1" customWidth="1" min="6663" max="6664" style="64" width="10.44140625"/>
    <col customWidth="1" min="6665" max="6665" style="64" width="12.109375"/>
    <col min="6666" max="6912" style="64" width="9.109375"/>
    <col customWidth="1" min="6913" max="6913" style="64" width="28.5546875"/>
    <col customWidth="1" min="6914" max="6914" style="64" width="17.5546875"/>
    <col customWidth="1" min="6915" max="6915" style="64" width="17"/>
    <col customWidth="1" min="6916" max="6916" style="64" width="19.109375"/>
    <col customWidth="1" min="6917" max="6917" style="64" width="16.33203125"/>
    <col bestFit="1" customWidth="1" min="6918" max="6918" style="64" width="11.6640625"/>
    <col bestFit="1" customWidth="1" min="6919" max="6920" style="64" width="10.44140625"/>
    <col customWidth="1" min="6921" max="6921" style="64" width="12.109375"/>
    <col min="6922" max="7168" style="64" width="9.109375"/>
    <col customWidth="1" min="7169" max="7169" style="64" width="28.5546875"/>
    <col customWidth="1" min="7170" max="7170" style="64" width="17.5546875"/>
    <col customWidth="1" min="7171" max="7171" style="64" width="17"/>
    <col customWidth="1" min="7172" max="7172" style="64" width="19.109375"/>
    <col customWidth="1" min="7173" max="7173" style="64" width="16.33203125"/>
    <col bestFit="1" customWidth="1" min="7174" max="7174" style="64" width="11.6640625"/>
    <col bestFit="1" customWidth="1" min="7175" max="7176" style="64" width="10.44140625"/>
    <col customWidth="1" min="7177" max="7177" style="64" width="12.109375"/>
    <col min="7178" max="7424" style="64" width="9.109375"/>
    <col customWidth="1" min="7425" max="7425" style="64" width="28.5546875"/>
    <col customWidth="1" min="7426" max="7426" style="64" width="17.5546875"/>
    <col customWidth="1" min="7427" max="7427" style="64" width="17"/>
    <col customWidth="1" min="7428" max="7428" style="64" width="19.109375"/>
    <col customWidth="1" min="7429" max="7429" style="64" width="16.33203125"/>
    <col bestFit="1" customWidth="1" min="7430" max="7430" style="64" width="11.6640625"/>
    <col bestFit="1" customWidth="1" min="7431" max="7432" style="64" width="10.44140625"/>
    <col customWidth="1" min="7433" max="7433" style="64" width="12.109375"/>
    <col min="7434" max="7680" style="64" width="9.109375"/>
    <col customWidth="1" min="7681" max="7681" style="64" width="28.5546875"/>
    <col customWidth="1" min="7682" max="7682" style="64" width="17.5546875"/>
    <col customWidth="1" min="7683" max="7683" style="64" width="17"/>
    <col customWidth="1" min="7684" max="7684" style="64" width="19.109375"/>
    <col customWidth="1" min="7685" max="7685" style="64" width="16.33203125"/>
    <col bestFit="1" customWidth="1" min="7686" max="7686" style="64" width="11.6640625"/>
    <col bestFit="1" customWidth="1" min="7687" max="7688" style="64" width="10.44140625"/>
    <col customWidth="1" min="7689" max="7689" style="64" width="12.109375"/>
    <col min="7690" max="7936" style="64" width="9.109375"/>
    <col customWidth="1" min="7937" max="7937" style="64" width="28.5546875"/>
    <col customWidth="1" min="7938" max="7938" style="64" width="17.5546875"/>
    <col customWidth="1" min="7939" max="7939" style="64" width="17"/>
    <col customWidth="1" min="7940" max="7940" style="64" width="19.109375"/>
    <col customWidth="1" min="7941" max="7941" style="64" width="16.33203125"/>
    <col bestFit="1" customWidth="1" min="7942" max="7942" style="64" width="11.6640625"/>
    <col bestFit="1" customWidth="1" min="7943" max="7944" style="64" width="10.44140625"/>
    <col customWidth="1" min="7945" max="7945" style="64" width="12.109375"/>
    <col min="7946" max="8192" style="64" width="9.109375"/>
    <col customWidth="1" min="8193" max="8193" style="64" width="28.5546875"/>
    <col customWidth="1" min="8194" max="8194" style="64" width="17.5546875"/>
    <col customWidth="1" min="8195" max="8195" style="64" width="17"/>
    <col customWidth="1" min="8196" max="8196" style="64" width="19.109375"/>
    <col customWidth="1" min="8197" max="8197" style="64" width="16.33203125"/>
    <col bestFit="1" customWidth="1" min="8198" max="8198" style="64" width="11.6640625"/>
    <col bestFit="1" customWidth="1" min="8199" max="8200" style="64" width="10.44140625"/>
    <col customWidth="1" min="8201" max="8201" style="64" width="12.109375"/>
    <col min="8202" max="8448" style="64" width="9.109375"/>
    <col customWidth="1" min="8449" max="8449" style="64" width="28.5546875"/>
    <col customWidth="1" min="8450" max="8450" style="64" width="17.5546875"/>
    <col customWidth="1" min="8451" max="8451" style="64" width="17"/>
    <col customWidth="1" min="8452" max="8452" style="64" width="19.109375"/>
    <col customWidth="1" min="8453" max="8453" style="64" width="16.33203125"/>
    <col bestFit="1" customWidth="1" min="8454" max="8454" style="64" width="11.6640625"/>
    <col bestFit="1" customWidth="1" min="8455" max="8456" style="64" width="10.44140625"/>
    <col customWidth="1" min="8457" max="8457" style="64" width="12.109375"/>
    <col min="8458" max="8704" style="64" width="9.109375"/>
    <col customWidth="1" min="8705" max="8705" style="64" width="28.5546875"/>
    <col customWidth="1" min="8706" max="8706" style="64" width="17.5546875"/>
    <col customWidth="1" min="8707" max="8707" style="64" width="17"/>
    <col customWidth="1" min="8708" max="8708" style="64" width="19.109375"/>
    <col customWidth="1" min="8709" max="8709" style="64" width="16.33203125"/>
    <col bestFit="1" customWidth="1" min="8710" max="8710" style="64" width="11.6640625"/>
    <col bestFit="1" customWidth="1" min="8711" max="8712" style="64" width="10.44140625"/>
    <col customWidth="1" min="8713" max="8713" style="64" width="12.109375"/>
    <col min="8714" max="8960" style="64" width="9.109375"/>
    <col customWidth="1" min="8961" max="8961" style="64" width="28.5546875"/>
    <col customWidth="1" min="8962" max="8962" style="64" width="17.5546875"/>
    <col customWidth="1" min="8963" max="8963" style="64" width="17"/>
    <col customWidth="1" min="8964" max="8964" style="64" width="19.109375"/>
    <col customWidth="1" min="8965" max="8965" style="64" width="16.33203125"/>
    <col bestFit="1" customWidth="1" min="8966" max="8966" style="64" width="11.6640625"/>
    <col bestFit="1" customWidth="1" min="8967" max="8968" style="64" width="10.44140625"/>
    <col customWidth="1" min="8969" max="8969" style="64" width="12.109375"/>
    <col min="8970" max="9216" style="64" width="9.109375"/>
    <col customWidth="1" min="9217" max="9217" style="64" width="28.5546875"/>
    <col customWidth="1" min="9218" max="9218" style="64" width="17.5546875"/>
    <col customWidth="1" min="9219" max="9219" style="64" width="17"/>
    <col customWidth="1" min="9220" max="9220" style="64" width="19.109375"/>
    <col customWidth="1" min="9221" max="9221" style="64" width="16.33203125"/>
    <col bestFit="1" customWidth="1" min="9222" max="9222" style="64" width="11.6640625"/>
    <col bestFit="1" customWidth="1" min="9223" max="9224" style="64" width="10.44140625"/>
    <col customWidth="1" min="9225" max="9225" style="64" width="12.109375"/>
    <col min="9226" max="9472" style="64" width="9.109375"/>
    <col customWidth="1" min="9473" max="9473" style="64" width="28.5546875"/>
    <col customWidth="1" min="9474" max="9474" style="64" width="17.5546875"/>
    <col customWidth="1" min="9475" max="9475" style="64" width="17"/>
    <col customWidth="1" min="9476" max="9476" style="64" width="19.109375"/>
    <col customWidth="1" min="9477" max="9477" style="64" width="16.33203125"/>
    <col bestFit="1" customWidth="1" min="9478" max="9478" style="64" width="11.6640625"/>
    <col bestFit="1" customWidth="1" min="9479" max="9480" style="64" width="10.44140625"/>
    <col customWidth="1" min="9481" max="9481" style="64" width="12.109375"/>
    <col min="9482" max="9728" style="64" width="9.109375"/>
    <col customWidth="1" min="9729" max="9729" style="64" width="28.5546875"/>
    <col customWidth="1" min="9730" max="9730" style="64" width="17.5546875"/>
    <col customWidth="1" min="9731" max="9731" style="64" width="17"/>
    <col customWidth="1" min="9732" max="9732" style="64" width="19.109375"/>
    <col customWidth="1" min="9733" max="9733" style="64" width="16.33203125"/>
    <col bestFit="1" customWidth="1" min="9734" max="9734" style="64" width="11.6640625"/>
    <col bestFit="1" customWidth="1" min="9735" max="9736" style="64" width="10.44140625"/>
    <col customWidth="1" min="9737" max="9737" style="64" width="12.109375"/>
    <col min="9738" max="9984" style="64" width="9.109375"/>
    <col customWidth="1" min="9985" max="9985" style="64" width="28.5546875"/>
    <col customWidth="1" min="9986" max="9986" style="64" width="17.5546875"/>
    <col customWidth="1" min="9987" max="9987" style="64" width="17"/>
    <col customWidth="1" min="9988" max="9988" style="64" width="19.109375"/>
    <col customWidth="1" min="9989" max="9989" style="64" width="16.33203125"/>
    <col bestFit="1" customWidth="1" min="9990" max="9990" style="64" width="11.6640625"/>
    <col bestFit="1" customWidth="1" min="9991" max="9992" style="64" width="10.44140625"/>
    <col customWidth="1" min="9993" max="9993" style="64" width="12.109375"/>
    <col min="9994" max="10240" style="64" width="9.109375"/>
    <col customWidth="1" min="10241" max="10241" style="64" width="28.5546875"/>
    <col customWidth="1" min="10242" max="10242" style="64" width="17.5546875"/>
    <col customWidth="1" min="10243" max="10243" style="64" width="17"/>
    <col customWidth="1" min="10244" max="10244" style="64" width="19.109375"/>
    <col customWidth="1" min="10245" max="10245" style="64" width="16.33203125"/>
    <col bestFit="1" customWidth="1" min="10246" max="10246" style="64" width="11.6640625"/>
    <col bestFit="1" customWidth="1" min="10247" max="10248" style="64" width="10.44140625"/>
    <col customWidth="1" min="10249" max="10249" style="64" width="12.109375"/>
    <col min="10250" max="10496" style="64" width="9.109375"/>
    <col customWidth="1" min="10497" max="10497" style="64" width="28.5546875"/>
    <col customWidth="1" min="10498" max="10498" style="64" width="17.5546875"/>
    <col customWidth="1" min="10499" max="10499" style="64" width="17"/>
    <col customWidth="1" min="10500" max="10500" style="64" width="19.109375"/>
    <col customWidth="1" min="10501" max="10501" style="64" width="16.33203125"/>
    <col bestFit="1" customWidth="1" min="10502" max="10502" style="64" width="11.6640625"/>
    <col bestFit="1" customWidth="1" min="10503" max="10504" style="64" width="10.44140625"/>
    <col customWidth="1" min="10505" max="10505" style="64" width="12.109375"/>
    <col min="10506" max="10752" style="64" width="9.109375"/>
    <col customWidth="1" min="10753" max="10753" style="64" width="28.5546875"/>
    <col customWidth="1" min="10754" max="10754" style="64" width="17.5546875"/>
    <col customWidth="1" min="10755" max="10755" style="64" width="17"/>
    <col customWidth="1" min="10756" max="10756" style="64" width="19.109375"/>
    <col customWidth="1" min="10757" max="10757" style="64" width="16.33203125"/>
    <col bestFit="1" customWidth="1" min="10758" max="10758" style="64" width="11.6640625"/>
    <col bestFit="1" customWidth="1" min="10759" max="10760" style="64" width="10.44140625"/>
    <col customWidth="1" min="10761" max="10761" style="64" width="12.109375"/>
    <col min="10762" max="11008" style="64" width="9.109375"/>
    <col customWidth="1" min="11009" max="11009" style="64" width="28.5546875"/>
    <col customWidth="1" min="11010" max="11010" style="64" width="17.5546875"/>
    <col customWidth="1" min="11011" max="11011" style="64" width="17"/>
    <col customWidth="1" min="11012" max="11012" style="64" width="19.109375"/>
    <col customWidth="1" min="11013" max="11013" style="64" width="16.33203125"/>
    <col bestFit="1" customWidth="1" min="11014" max="11014" style="64" width="11.6640625"/>
    <col bestFit="1" customWidth="1" min="11015" max="11016" style="64" width="10.44140625"/>
    <col customWidth="1" min="11017" max="11017" style="64" width="12.109375"/>
    <col min="11018" max="11264" style="64" width="9.109375"/>
    <col customWidth="1" min="11265" max="11265" style="64" width="28.5546875"/>
    <col customWidth="1" min="11266" max="11266" style="64" width="17.5546875"/>
    <col customWidth="1" min="11267" max="11267" style="64" width="17"/>
    <col customWidth="1" min="11268" max="11268" style="64" width="19.109375"/>
    <col customWidth="1" min="11269" max="11269" style="64" width="16.33203125"/>
    <col bestFit="1" customWidth="1" min="11270" max="11270" style="64" width="11.6640625"/>
    <col bestFit="1" customWidth="1" min="11271" max="11272" style="64" width="10.44140625"/>
    <col customWidth="1" min="11273" max="11273" style="64" width="12.109375"/>
    <col min="11274" max="11520" style="64" width="9.109375"/>
    <col customWidth="1" min="11521" max="11521" style="64" width="28.5546875"/>
    <col customWidth="1" min="11522" max="11522" style="64" width="17.5546875"/>
    <col customWidth="1" min="11523" max="11523" style="64" width="17"/>
    <col customWidth="1" min="11524" max="11524" style="64" width="19.109375"/>
    <col customWidth="1" min="11525" max="11525" style="64" width="16.33203125"/>
    <col bestFit="1" customWidth="1" min="11526" max="11526" style="64" width="11.6640625"/>
    <col bestFit="1" customWidth="1" min="11527" max="11528" style="64" width="10.44140625"/>
    <col customWidth="1" min="11529" max="11529" style="64" width="12.109375"/>
    <col min="11530" max="11776" style="64" width="9.109375"/>
    <col customWidth="1" min="11777" max="11777" style="64" width="28.5546875"/>
    <col customWidth="1" min="11778" max="11778" style="64" width="17.5546875"/>
    <col customWidth="1" min="11779" max="11779" style="64" width="17"/>
    <col customWidth="1" min="11780" max="11780" style="64" width="19.109375"/>
    <col customWidth="1" min="11781" max="11781" style="64" width="16.33203125"/>
    <col bestFit="1" customWidth="1" min="11782" max="11782" style="64" width="11.6640625"/>
    <col bestFit="1" customWidth="1" min="11783" max="11784" style="64" width="10.44140625"/>
    <col customWidth="1" min="11785" max="11785" style="64" width="12.109375"/>
    <col min="11786" max="12032" style="64" width="9.109375"/>
    <col customWidth="1" min="12033" max="12033" style="64" width="28.5546875"/>
    <col customWidth="1" min="12034" max="12034" style="64" width="17.5546875"/>
    <col customWidth="1" min="12035" max="12035" style="64" width="17"/>
    <col customWidth="1" min="12036" max="12036" style="64" width="19.109375"/>
    <col customWidth="1" min="12037" max="12037" style="64" width="16.33203125"/>
    <col bestFit="1" customWidth="1" min="12038" max="12038" style="64" width="11.6640625"/>
    <col bestFit="1" customWidth="1" min="12039" max="12040" style="64" width="10.44140625"/>
    <col customWidth="1" min="12041" max="12041" style="64" width="12.109375"/>
    <col min="12042" max="12288" style="64" width="9.109375"/>
    <col customWidth="1" min="12289" max="12289" style="64" width="28.5546875"/>
    <col customWidth="1" min="12290" max="12290" style="64" width="17.5546875"/>
    <col customWidth="1" min="12291" max="12291" style="64" width="17"/>
    <col customWidth="1" min="12292" max="12292" style="64" width="19.109375"/>
    <col customWidth="1" min="12293" max="12293" style="64" width="16.33203125"/>
    <col bestFit="1" customWidth="1" min="12294" max="12294" style="64" width="11.6640625"/>
    <col bestFit="1" customWidth="1" min="12295" max="12296" style="64" width="10.44140625"/>
    <col customWidth="1" min="12297" max="12297" style="64" width="12.109375"/>
    <col min="12298" max="12544" style="64" width="9.109375"/>
    <col customWidth="1" min="12545" max="12545" style="64" width="28.5546875"/>
    <col customWidth="1" min="12546" max="12546" style="64" width="17.5546875"/>
    <col customWidth="1" min="12547" max="12547" style="64" width="17"/>
    <col customWidth="1" min="12548" max="12548" style="64" width="19.109375"/>
    <col customWidth="1" min="12549" max="12549" style="64" width="16.33203125"/>
    <col bestFit="1" customWidth="1" min="12550" max="12550" style="64" width="11.6640625"/>
    <col bestFit="1" customWidth="1" min="12551" max="12552" style="64" width="10.44140625"/>
    <col customWidth="1" min="12553" max="12553" style="64" width="12.109375"/>
    <col min="12554" max="12800" style="64" width="9.109375"/>
    <col customWidth="1" min="12801" max="12801" style="64" width="28.5546875"/>
    <col customWidth="1" min="12802" max="12802" style="64" width="17.5546875"/>
    <col customWidth="1" min="12803" max="12803" style="64" width="17"/>
    <col customWidth="1" min="12804" max="12804" style="64" width="19.109375"/>
    <col customWidth="1" min="12805" max="12805" style="64" width="16.33203125"/>
    <col bestFit="1" customWidth="1" min="12806" max="12806" style="64" width="11.6640625"/>
    <col bestFit="1" customWidth="1" min="12807" max="12808" style="64" width="10.44140625"/>
    <col customWidth="1" min="12809" max="12809" style="64" width="12.109375"/>
    <col min="12810" max="13056" style="64" width="9.109375"/>
    <col customWidth="1" min="13057" max="13057" style="64" width="28.5546875"/>
    <col customWidth="1" min="13058" max="13058" style="64" width="17.5546875"/>
    <col customWidth="1" min="13059" max="13059" style="64" width="17"/>
    <col customWidth="1" min="13060" max="13060" style="64" width="19.109375"/>
    <col customWidth="1" min="13061" max="13061" style="64" width="16.33203125"/>
    <col bestFit="1" customWidth="1" min="13062" max="13062" style="64" width="11.6640625"/>
    <col bestFit="1" customWidth="1" min="13063" max="13064" style="64" width="10.44140625"/>
    <col customWidth="1" min="13065" max="13065" style="64" width="12.109375"/>
    <col min="13066" max="13312" style="64" width="9.109375"/>
    <col customWidth="1" min="13313" max="13313" style="64" width="28.5546875"/>
    <col customWidth="1" min="13314" max="13314" style="64" width="17.5546875"/>
    <col customWidth="1" min="13315" max="13315" style="64" width="17"/>
    <col customWidth="1" min="13316" max="13316" style="64" width="19.109375"/>
    <col customWidth="1" min="13317" max="13317" style="64" width="16.33203125"/>
    <col bestFit="1" customWidth="1" min="13318" max="13318" style="64" width="11.6640625"/>
    <col bestFit="1" customWidth="1" min="13319" max="13320" style="64" width="10.44140625"/>
    <col customWidth="1" min="13321" max="13321" style="64" width="12.109375"/>
    <col min="13322" max="13568" style="64" width="9.109375"/>
    <col customWidth="1" min="13569" max="13569" style="64" width="28.5546875"/>
    <col customWidth="1" min="13570" max="13570" style="64" width="17.5546875"/>
    <col customWidth="1" min="13571" max="13571" style="64" width="17"/>
    <col customWidth="1" min="13572" max="13572" style="64" width="19.109375"/>
    <col customWidth="1" min="13573" max="13573" style="64" width="16.33203125"/>
    <col bestFit="1" customWidth="1" min="13574" max="13574" style="64" width="11.6640625"/>
    <col bestFit="1" customWidth="1" min="13575" max="13576" style="64" width="10.44140625"/>
    <col customWidth="1" min="13577" max="13577" style="64" width="12.109375"/>
    <col min="13578" max="13824" style="64" width="9.109375"/>
    <col customWidth="1" min="13825" max="13825" style="64" width="28.5546875"/>
    <col customWidth="1" min="13826" max="13826" style="64" width="17.5546875"/>
    <col customWidth="1" min="13827" max="13827" style="64" width="17"/>
    <col customWidth="1" min="13828" max="13828" style="64" width="19.109375"/>
    <col customWidth="1" min="13829" max="13829" style="64" width="16.33203125"/>
    <col bestFit="1" customWidth="1" min="13830" max="13830" style="64" width="11.6640625"/>
    <col bestFit="1" customWidth="1" min="13831" max="13832" style="64" width="10.44140625"/>
    <col customWidth="1" min="13833" max="13833" style="64" width="12.109375"/>
    <col min="13834" max="14080" style="64" width="9.109375"/>
    <col customWidth="1" min="14081" max="14081" style="64" width="28.5546875"/>
    <col customWidth="1" min="14082" max="14082" style="64" width="17.5546875"/>
    <col customWidth="1" min="14083" max="14083" style="64" width="17"/>
    <col customWidth="1" min="14084" max="14084" style="64" width="19.109375"/>
    <col customWidth="1" min="14085" max="14085" style="64" width="16.33203125"/>
    <col bestFit="1" customWidth="1" min="14086" max="14086" style="64" width="11.6640625"/>
    <col bestFit="1" customWidth="1" min="14087" max="14088" style="64" width="10.44140625"/>
    <col customWidth="1" min="14089" max="14089" style="64" width="12.109375"/>
    <col min="14090" max="14336" style="64" width="9.109375"/>
    <col customWidth="1" min="14337" max="14337" style="64" width="28.5546875"/>
    <col customWidth="1" min="14338" max="14338" style="64" width="17.5546875"/>
    <col customWidth="1" min="14339" max="14339" style="64" width="17"/>
    <col customWidth="1" min="14340" max="14340" style="64" width="19.109375"/>
    <col customWidth="1" min="14341" max="14341" style="64" width="16.33203125"/>
    <col bestFit="1" customWidth="1" min="14342" max="14342" style="64" width="11.6640625"/>
    <col bestFit="1" customWidth="1" min="14343" max="14344" style="64" width="10.44140625"/>
    <col customWidth="1" min="14345" max="14345" style="64" width="12.109375"/>
    <col min="14346" max="14592" style="64" width="9.109375"/>
    <col customWidth="1" min="14593" max="14593" style="64" width="28.5546875"/>
    <col customWidth="1" min="14594" max="14594" style="64" width="17.5546875"/>
    <col customWidth="1" min="14595" max="14595" style="64" width="17"/>
    <col customWidth="1" min="14596" max="14596" style="64" width="19.109375"/>
    <col customWidth="1" min="14597" max="14597" style="64" width="16.33203125"/>
    <col bestFit="1" customWidth="1" min="14598" max="14598" style="64" width="11.6640625"/>
    <col bestFit="1" customWidth="1" min="14599" max="14600" style="64" width="10.44140625"/>
    <col customWidth="1" min="14601" max="14601" style="64" width="12.109375"/>
    <col min="14602" max="14848" style="64" width="9.109375"/>
    <col customWidth="1" min="14849" max="14849" style="64" width="28.5546875"/>
    <col customWidth="1" min="14850" max="14850" style="64" width="17.5546875"/>
    <col customWidth="1" min="14851" max="14851" style="64" width="17"/>
    <col customWidth="1" min="14852" max="14852" style="64" width="19.109375"/>
    <col customWidth="1" min="14853" max="14853" style="64" width="16.33203125"/>
    <col bestFit="1" customWidth="1" min="14854" max="14854" style="64" width="11.6640625"/>
    <col bestFit="1" customWidth="1" min="14855" max="14856" style="64" width="10.44140625"/>
    <col customWidth="1" min="14857" max="14857" style="64" width="12.109375"/>
    <col min="14858" max="15104" style="64" width="9.109375"/>
    <col customWidth="1" min="15105" max="15105" style="64" width="28.5546875"/>
    <col customWidth="1" min="15106" max="15106" style="64" width="17.5546875"/>
    <col customWidth="1" min="15107" max="15107" style="64" width="17"/>
    <col customWidth="1" min="15108" max="15108" style="64" width="19.109375"/>
    <col customWidth="1" min="15109" max="15109" style="64" width="16.33203125"/>
    <col bestFit="1" customWidth="1" min="15110" max="15110" style="64" width="11.6640625"/>
    <col bestFit="1" customWidth="1" min="15111" max="15112" style="64" width="10.44140625"/>
    <col customWidth="1" min="15113" max="15113" style="64" width="12.109375"/>
    <col min="15114" max="15360" style="64" width="9.109375"/>
    <col customWidth="1" min="15361" max="15361" style="64" width="28.5546875"/>
    <col customWidth="1" min="15362" max="15362" style="64" width="17.5546875"/>
    <col customWidth="1" min="15363" max="15363" style="64" width="17"/>
    <col customWidth="1" min="15364" max="15364" style="64" width="19.109375"/>
    <col customWidth="1" min="15365" max="15365" style="64" width="16.33203125"/>
    <col bestFit="1" customWidth="1" min="15366" max="15366" style="64" width="11.6640625"/>
    <col bestFit="1" customWidth="1" min="15367" max="15368" style="64" width="10.44140625"/>
    <col customWidth="1" min="15369" max="15369" style="64" width="12.109375"/>
    <col min="15370" max="15616" style="64" width="9.109375"/>
    <col customWidth="1" min="15617" max="15617" style="64" width="28.5546875"/>
    <col customWidth="1" min="15618" max="15618" style="64" width="17.5546875"/>
    <col customWidth="1" min="15619" max="15619" style="64" width="17"/>
    <col customWidth="1" min="15620" max="15620" style="64" width="19.109375"/>
    <col customWidth="1" min="15621" max="15621" style="64" width="16.33203125"/>
    <col bestFit="1" customWidth="1" min="15622" max="15622" style="64" width="11.6640625"/>
    <col bestFit="1" customWidth="1" min="15623" max="15624" style="64" width="10.44140625"/>
    <col customWidth="1" min="15625" max="15625" style="64" width="12.109375"/>
    <col min="15626" max="15872" style="64" width="9.109375"/>
    <col customWidth="1" min="15873" max="15873" style="64" width="28.5546875"/>
    <col customWidth="1" min="15874" max="15874" style="64" width="17.5546875"/>
    <col customWidth="1" min="15875" max="15875" style="64" width="17"/>
    <col customWidth="1" min="15876" max="15876" style="64" width="19.109375"/>
    <col customWidth="1" min="15877" max="15877" style="64" width="16.33203125"/>
    <col bestFit="1" customWidth="1" min="15878" max="15878" style="64" width="11.6640625"/>
    <col bestFit="1" customWidth="1" min="15879" max="15880" style="64" width="10.44140625"/>
    <col customWidth="1" min="15881" max="15881" style="64" width="12.109375"/>
    <col min="15882" max="16128" style="64" width="9.109375"/>
    <col customWidth="1" min="16129" max="16129" style="64" width="28.5546875"/>
    <col customWidth="1" min="16130" max="16130" style="64" width="17.5546875"/>
    <col customWidth="1" min="16131" max="16131" style="64" width="17"/>
    <col customWidth="1" min="16132" max="16132" style="64" width="19.109375"/>
    <col customWidth="1" min="16133" max="16133" style="64" width="16.33203125"/>
    <col bestFit="1" customWidth="1" min="16134" max="16134" style="64" width="11.6640625"/>
    <col bestFit="1" customWidth="1" min="16135" max="16136" style="64" width="10.44140625"/>
    <col customWidth="1" min="16137" max="16137" style="64" width="12.109375"/>
    <col min="16138" max="16384" style="64" width="9.109375"/>
  </cols>
  <sheetData>
    <row r="1">
      <c r="A1" s="66" t="s">
        <v>675</v>
      </c>
      <c r="B1" s="189"/>
      <c r="C1" s="189"/>
      <c r="D1" s="189"/>
      <c r="E1" s="189"/>
      <c r="F1" s="189"/>
      <c r="G1" s="189"/>
      <c r="H1" s="189"/>
    </row>
    <row r="2" s="434" customFormat="1">
      <c r="A2" s="435" t="s">
        <v>676</v>
      </c>
      <c r="B2" s="436"/>
      <c r="C2" s="436"/>
      <c r="D2" s="436"/>
      <c r="E2" s="436"/>
      <c r="F2" s="436"/>
      <c r="G2" s="436"/>
      <c r="H2" s="436"/>
    </row>
    <row r="3" s="434" customFormat="1">
      <c r="A3" s="435"/>
      <c r="B3" s="436"/>
      <c r="C3" s="436"/>
      <c r="D3" s="436"/>
      <c r="E3" s="436"/>
      <c r="F3" s="436"/>
      <c r="G3" s="436"/>
      <c r="H3" s="436"/>
    </row>
    <row r="4">
      <c r="A4" s="66" t="s">
        <v>677</v>
      </c>
      <c r="B4" s="65"/>
    </row>
    <row r="5">
      <c r="A5" s="66" t="s">
        <v>678</v>
      </c>
      <c r="B5" s="65"/>
    </row>
    <row r="6">
      <c r="A6" s="437" t="s">
        <v>177</v>
      </c>
      <c r="B6" s="438" t="str">
        <f>аб!C23</f>
        <v xml:space="preserve">2019 год</v>
      </c>
      <c r="C6" s="438" t="str">
        <f>аб!D23</f>
        <v xml:space="preserve">2018 год</v>
      </c>
      <c r="D6" s="438" t="str">
        <f>аб!E23</f>
        <v xml:space="preserve">2017 год</v>
      </c>
      <c r="E6" s="438" t="str">
        <f>аб!F23</f>
        <v xml:space="preserve">2016 год</v>
      </c>
      <c r="F6" s="438" t="str">
        <f>аб!G23</f>
        <v xml:space="preserve">2015 год</v>
      </c>
      <c r="G6" s="438" t="str">
        <f>аб!H23</f>
        <v xml:space="preserve">2014 год</v>
      </c>
      <c r="H6" s="438" t="str">
        <f>аб!I23</f>
        <v xml:space="preserve">2013 год</v>
      </c>
    </row>
    <row r="7">
      <c r="A7" s="439" t="s">
        <v>96</v>
      </c>
      <c r="B7" s="80"/>
      <c r="C7" s="80"/>
      <c r="D7" s="80"/>
      <c r="E7" s="80"/>
      <c r="F7" s="80"/>
      <c r="G7" s="80"/>
      <c r="H7" s="80"/>
    </row>
    <row r="8">
      <c r="A8" s="439" t="s">
        <v>679</v>
      </c>
      <c r="B8" s="80"/>
      <c r="C8" s="163"/>
      <c r="D8" s="80"/>
      <c r="E8" s="163"/>
      <c r="F8" s="80"/>
      <c r="G8" s="163"/>
      <c r="H8" s="80"/>
    </row>
    <row r="9">
      <c r="A9" s="439" t="s">
        <v>680</v>
      </c>
      <c r="B9" s="80"/>
      <c r="C9" s="80"/>
      <c r="D9" s="80"/>
      <c r="E9" s="80"/>
      <c r="F9" s="80"/>
      <c r="G9" s="80"/>
      <c r="H9" s="80"/>
    </row>
    <row r="10">
      <c r="A10" s="439" t="s">
        <v>681</v>
      </c>
      <c r="B10" s="440"/>
      <c r="C10" s="440"/>
      <c r="D10" s="440"/>
      <c r="E10" s="440"/>
      <c r="F10" s="440"/>
      <c r="G10" s="440"/>
      <c r="H10" s="440"/>
    </row>
    <row r="11">
      <c r="A11" s="441" t="s">
        <v>682</v>
      </c>
      <c r="B11" s="442"/>
      <c r="C11" s="442"/>
      <c r="D11" s="442"/>
      <c r="E11" s="442"/>
      <c r="F11" s="442"/>
      <c r="G11" s="442"/>
      <c r="H11" s="442"/>
    </row>
    <row r="12">
      <c r="A12" s="443" t="s">
        <v>683</v>
      </c>
      <c r="B12" s="444"/>
      <c r="C12" s="444"/>
      <c r="D12" s="444"/>
      <c r="E12" s="444"/>
      <c r="F12" s="444"/>
      <c r="G12" s="444"/>
      <c r="H12" s="444"/>
      <c r="I12" s="445"/>
      <c r="J12" s="445"/>
      <c r="K12" s="445"/>
    </row>
    <row r="13">
      <c r="A13" s="439" t="s">
        <v>684</v>
      </c>
      <c r="B13" s="446"/>
      <c r="C13" s="446"/>
      <c r="D13" s="446"/>
      <c r="E13" s="446"/>
      <c r="F13" s="446"/>
      <c r="G13" s="446"/>
      <c r="H13" s="446"/>
    </row>
    <row r="14">
      <c r="A14" s="439" t="s">
        <v>685</v>
      </c>
      <c r="B14" s="446"/>
      <c r="C14" s="446"/>
      <c r="D14" s="446"/>
      <c r="E14" s="446"/>
      <c r="F14" s="446"/>
      <c r="G14" s="446"/>
      <c r="H14" s="446"/>
    </row>
    <row r="15">
      <c r="A15" s="439" t="s">
        <v>686</v>
      </c>
      <c r="B15" s="446"/>
      <c r="C15" s="446"/>
      <c r="D15" s="446"/>
      <c r="E15" s="446"/>
      <c r="F15" s="446"/>
      <c r="G15" s="446"/>
      <c r="H15" s="446"/>
    </row>
    <row r="16">
      <c r="A16" s="439" t="s">
        <v>687</v>
      </c>
      <c r="B16" s="446"/>
      <c r="C16" s="446"/>
      <c r="D16" s="446"/>
      <c r="E16" s="446"/>
      <c r="F16" s="446"/>
      <c r="G16" s="446"/>
      <c r="H16" s="446"/>
    </row>
    <row r="17">
      <c r="A17" s="447" t="s">
        <v>688</v>
      </c>
      <c r="B17" s="448"/>
      <c r="C17" s="448"/>
      <c r="D17" s="448"/>
      <c r="E17" s="448"/>
      <c r="F17" s="448"/>
      <c r="G17" s="448"/>
      <c r="H17" s="448"/>
    </row>
    <row r="18" ht="31.199999999999999">
      <c r="A18" s="449" t="s">
        <v>689</v>
      </c>
      <c r="B18" s="446"/>
      <c r="C18" s="446"/>
      <c r="D18" s="446"/>
      <c r="E18" s="446"/>
      <c r="F18" s="446"/>
      <c r="G18" s="446"/>
      <c r="H18" s="446"/>
    </row>
    <row r="19" ht="31.199999999999999">
      <c r="A19" s="449" t="s">
        <v>690</v>
      </c>
      <c r="B19" s="446"/>
      <c r="C19" s="446"/>
      <c r="D19" s="446"/>
      <c r="E19" s="446"/>
      <c r="F19" s="446"/>
      <c r="G19" s="446"/>
      <c r="H19" s="446"/>
    </row>
    <row r="20" ht="31.199999999999999">
      <c r="A20" s="449" t="s">
        <v>691</v>
      </c>
      <c r="B20" s="446"/>
      <c r="C20" s="446"/>
      <c r="D20" s="446"/>
      <c r="E20" s="446"/>
      <c r="F20" s="446"/>
      <c r="G20" s="446"/>
      <c r="H20" s="446"/>
    </row>
    <row r="21" ht="31.199999999999999">
      <c r="A21" s="439" t="s">
        <v>692</v>
      </c>
      <c r="B21" s="446"/>
      <c r="C21" s="446"/>
      <c r="D21" s="446"/>
      <c r="E21" s="446"/>
      <c r="F21" s="446"/>
      <c r="G21" s="446"/>
      <c r="H21" s="446"/>
    </row>
    <row r="22">
      <c r="A22" s="439" t="s">
        <v>693</v>
      </c>
      <c r="B22" s="446"/>
      <c r="C22" s="446"/>
      <c r="D22" s="446"/>
      <c r="E22" s="446"/>
      <c r="F22" s="446"/>
      <c r="G22" s="446"/>
      <c r="H22" s="446"/>
    </row>
    <row r="23">
      <c r="A23" s="441" t="s">
        <v>694</v>
      </c>
      <c r="B23" s="450"/>
      <c r="C23" s="450"/>
      <c r="D23" s="450"/>
      <c r="E23" s="450"/>
      <c r="F23" s="450"/>
      <c r="G23" s="450"/>
      <c r="H23" s="450"/>
    </row>
    <row r="24">
      <c r="A24" s="66" t="s">
        <v>562</v>
      </c>
    </row>
    <row r="25">
      <c r="A25" s="66"/>
    </row>
    <row r="26">
      <c r="A26" s="437" t="s">
        <v>177</v>
      </c>
      <c r="B26" s="438" t="str">
        <f>B6</f>
        <v xml:space="preserve">2019 год</v>
      </c>
      <c r="C26" s="438" t="str">
        <f t="shared" ref="C26:H26" si="341">C6</f>
        <v xml:space="preserve">2018 год</v>
      </c>
      <c r="D26" s="438" t="str">
        <f t="shared" si="341"/>
        <v xml:space="preserve">2017 год</v>
      </c>
      <c r="E26" s="438" t="str">
        <f t="shared" si="341"/>
        <v xml:space="preserve">2016 год</v>
      </c>
      <c r="F26" s="438" t="str">
        <f t="shared" si="341"/>
        <v xml:space="preserve">2015 год</v>
      </c>
      <c r="G26" s="438" t="str">
        <f t="shared" si="341"/>
        <v xml:space="preserve">2014 год</v>
      </c>
      <c r="H26" s="438" t="str">
        <f t="shared" si="341"/>
        <v xml:space="preserve">2013 год</v>
      </c>
    </row>
    <row r="27">
      <c r="A27" s="439" t="s">
        <v>695</v>
      </c>
      <c r="B27" s="440"/>
      <c r="C27" s="440"/>
      <c r="D27" s="440"/>
      <c r="E27" s="440"/>
      <c r="F27" s="440"/>
      <c r="G27" s="440"/>
      <c r="H27" s="440"/>
    </row>
    <row r="28">
      <c r="A28" s="439" t="s">
        <v>696</v>
      </c>
      <c r="B28" s="440"/>
      <c r="C28" s="440"/>
      <c r="D28" s="440"/>
      <c r="E28" s="440"/>
      <c r="F28" s="440"/>
      <c r="G28" s="440"/>
      <c r="H28" s="440"/>
    </row>
    <row r="29">
      <c r="A29" s="439" t="s">
        <v>697</v>
      </c>
      <c r="B29" s="440"/>
      <c r="C29" s="440"/>
      <c r="D29" s="440"/>
      <c r="E29" s="440"/>
      <c r="F29" s="440"/>
      <c r="G29" s="440"/>
      <c r="H29" s="440"/>
    </row>
    <row r="30">
      <c r="A30" s="439" t="s">
        <v>698</v>
      </c>
      <c r="B30" s="440"/>
      <c r="C30" s="440"/>
      <c r="D30" s="440"/>
      <c r="E30" s="440"/>
      <c r="F30" s="440"/>
      <c r="G30" s="440"/>
      <c r="H30" s="440"/>
    </row>
    <row r="31" s="66" customFormat="1">
      <c r="A31" s="439" t="s">
        <v>699</v>
      </c>
      <c r="B31" s="440"/>
      <c r="C31" s="440"/>
      <c r="D31" s="440"/>
      <c r="E31" s="440"/>
      <c r="F31" s="440"/>
      <c r="G31" s="440"/>
      <c r="H31" s="440"/>
    </row>
    <row r="32">
      <c r="A32" s="439" t="s">
        <v>700</v>
      </c>
      <c r="B32" s="440"/>
      <c r="C32" s="440"/>
      <c r="D32" s="440"/>
      <c r="E32" s="440"/>
      <c r="F32" s="440"/>
      <c r="G32" s="440"/>
      <c r="H32" s="440"/>
    </row>
    <row r="33">
      <c r="A33" s="439" t="s">
        <v>701</v>
      </c>
      <c r="B33" s="440"/>
      <c r="C33" s="440"/>
      <c r="D33" s="440"/>
      <c r="E33" s="440"/>
      <c r="F33" s="440"/>
      <c r="G33" s="440"/>
      <c r="H33" s="440"/>
    </row>
    <row r="34">
      <c r="A34" s="439" t="s">
        <v>702</v>
      </c>
      <c r="B34" s="440"/>
      <c r="C34" s="440"/>
      <c r="D34" s="440"/>
      <c r="E34" s="440"/>
      <c r="F34" s="440"/>
      <c r="G34" s="440"/>
      <c r="H34" s="440"/>
    </row>
    <row r="35">
      <c r="A35" s="439" t="s">
        <v>703</v>
      </c>
      <c r="B35" s="440"/>
      <c r="C35" s="440"/>
      <c r="D35" s="440"/>
      <c r="E35" s="440"/>
      <c r="F35" s="440"/>
      <c r="G35" s="440"/>
      <c r="H35" s="440"/>
    </row>
    <row r="36">
      <c r="A36" s="439" t="s">
        <v>396</v>
      </c>
      <c r="B36" s="440"/>
      <c r="C36" s="440"/>
      <c r="D36" s="440"/>
      <c r="E36" s="440"/>
      <c r="F36" s="440"/>
      <c r="G36" s="440"/>
      <c r="H36" s="440"/>
    </row>
    <row r="37">
      <c r="A37" s="439" t="s">
        <v>704</v>
      </c>
      <c r="B37" s="440"/>
      <c r="C37" s="440"/>
      <c r="D37" s="440"/>
      <c r="E37" s="440"/>
      <c r="F37" s="440"/>
      <c r="G37" s="440"/>
      <c r="H37" s="440"/>
    </row>
    <row r="38">
      <c r="A38" s="439" t="s">
        <v>705</v>
      </c>
      <c r="B38" s="440"/>
      <c r="C38" s="440"/>
      <c r="D38" s="440"/>
      <c r="E38" s="440"/>
      <c r="F38" s="440"/>
      <c r="G38" s="440"/>
      <c r="H38" s="440"/>
    </row>
    <row r="40">
      <c r="A40" s="66" t="s">
        <v>706</v>
      </c>
    </row>
    <row r="41" s="66" customFormat="1">
      <c r="A41" s="451" t="s">
        <v>177</v>
      </c>
      <c r="B41" s="451" t="str">
        <f>B6</f>
        <v xml:space="preserve">2019 год</v>
      </c>
      <c r="C41" s="451" t="str">
        <f t="shared" ref="C41:H41" si="342">C6</f>
        <v xml:space="preserve">2018 год</v>
      </c>
      <c r="D41" s="451" t="str">
        <f t="shared" si="342"/>
        <v xml:space="preserve">2017 год</v>
      </c>
      <c r="E41" s="451" t="str">
        <f t="shared" si="342"/>
        <v xml:space="preserve">2016 год</v>
      </c>
      <c r="F41" s="451" t="str">
        <f t="shared" si="342"/>
        <v xml:space="preserve">2015 год</v>
      </c>
      <c r="G41" s="451" t="str">
        <f t="shared" si="342"/>
        <v xml:space="preserve">2014 год</v>
      </c>
      <c r="H41" s="451" t="str">
        <f t="shared" si="342"/>
        <v xml:space="preserve">2013 год</v>
      </c>
    </row>
    <row r="42">
      <c r="A42" s="346" t="s">
        <v>396</v>
      </c>
      <c r="B42" s="452"/>
      <c r="C42" s="452"/>
      <c r="D42" s="452"/>
      <c r="E42" s="452"/>
      <c r="F42" s="452"/>
      <c r="G42" s="452"/>
      <c r="H42" s="452"/>
    </row>
    <row r="43" s="66" customFormat="1">
      <c r="A43" s="451" t="s">
        <v>466</v>
      </c>
      <c r="B43" s="84"/>
      <c r="C43" s="84"/>
      <c r="D43" s="84"/>
      <c r="E43" s="84"/>
      <c r="F43" s="84"/>
      <c r="G43" s="84"/>
      <c r="H43" s="84"/>
    </row>
    <row r="44" ht="31.199999999999999">
      <c r="A44" s="346" t="s">
        <v>707</v>
      </c>
      <c r="B44" s="79"/>
      <c r="C44" s="79"/>
      <c r="D44" s="79"/>
      <c r="E44" s="79"/>
      <c r="F44" s="79"/>
      <c r="G44" s="79"/>
      <c r="H44" s="79"/>
    </row>
    <row r="45" s="66" customFormat="1">
      <c r="A45" s="451" t="s">
        <v>466</v>
      </c>
      <c r="B45" s="84"/>
      <c r="C45" s="84"/>
      <c r="D45" s="84"/>
      <c r="E45" s="84"/>
      <c r="F45" s="84"/>
      <c r="G45" s="84"/>
      <c r="H45" s="84"/>
    </row>
    <row r="46" ht="31.199999999999999">
      <c r="A46" s="346" t="s">
        <v>708</v>
      </c>
      <c r="B46" s="413"/>
      <c r="C46" s="413"/>
      <c r="D46" s="413"/>
      <c r="E46" s="413"/>
      <c r="F46" s="413"/>
      <c r="G46" s="413"/>
      <c r="H46" s="413"/>
    </row>
    <row r="47" s="66" customFormat="1">
      <c r="A47" s="451" t="s">
        <v>466</v>
      </c>
      <c r="B47" s="84"/>
      <c r="C47" s="84"/>
      <c r="D47" s="84"/>
      <c r="E47" s="84"/>
      <c r="F47" s="84"/>
      <c r="G47" s="84"/>
      <c r="H47" s="84"/>
    </row>
    <row r="48">
      <c r="A48" s="346" t="s">
        <v>709</v>
      </c>
      <c r="B48" s="413"/>
      <c r="C48" s="413"/>
      <c r="D48" s="413"/>
      <c r="E48" s="413"/>
      <c r="F48" s="413"/>
      <c r="G48" s="413"/>
      <c r="H48" s="413"/>
    </row>
    <row r="49" s="66" customFormat="1">
      <c r="A49" s="451" t="s">
        <v>466</v>
      </c>
      <c r="B49" s="84"/>
      <c r="C49" s="84"/>
      <c r="D49" s="84"/>
      <c r="E49" s="84"/>
      <c r="F49" s="84"/>
      <c r="G49" s="84"/>
      <c r="H49" s="84"/>
    </row>
    <row r="50" ht="31.199999999999999">
      <c r="A50" s="453" t="s">
        <v>710</v>
      </c>
      <c r="B50" s="454"/>
      <c r="C50" s="454"/>
      <c r="D50" s="454"/>
      <c r="E50" s="454"/>
      <c r="F50" s="454"/>
      <c r="G50" s="454"/>
      <c r="H50" s="454"/>
    </row>
    <row r="51">
      <c r="A51" s="451" t="s">
        <v>466</v>
      </c>
      <c r="B51" s="84"/>
      <c r="C51" s="84"/>
      <c r="D51" s="84"/>
      <c r="E51" s="84"/>
      <c r="F51" s="84"/>
      <c r="G51" s="84"/>
      <c r="H51" s="84"/>
    </row>
    <row r="52">
      <c r="A52" s="346" t="s">
        <v>512</v>
      </c>
      <c r="B52" s="452"/>
      <c r="C52" s="452"/>
      <c r="D52" s="452"/>
      <c r="E52" s="452"/>
      <c r="F52" s="452"/>
      <c r="G52" s="452"/>
      <c r="H52" s="452"/>
    </row>
    <row r="53" s="66" customFormat="1">
      <c r="A53" s="451" t="s">
        <v>466</v>
      </c>
      <c r="B53" s="84"/>
      <c r="C53" s="84"/>
      <c r="D53" s="84"/>
      <c r="E53" s="84"/>
      <c r="F53" s="84"/>
      <c r="G53" s="84"/>
      <c r="H53" s="84"/>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4">
    <tabColor indexed="45"/>
    <outlinePr applyStyles="0" summaryBelow="1" summaryRight="1" showOutlineSymbols="1"/>
    <pageSetUpPr autoPageBreaks="1" fitToPage="1"/>
  </sheetPr>
  <sheetViews>
    <sheetView zoomScale="75" workbookViewId="0">
      <pane xSplit="1" topLeftCell="B1" activePane="topRight" state="frozen"/>
      <selection activeCell="A1" activeCellId="0" sqref="A1"/>
    </sheetView>
  </sheetViews>
  <sheetFormatPr defaultColWidth="17" defaultRowHeight="15.6"/>
  <cols>
    <col customWidth="1" min="1" max="1" style="31" width="39.44140625"/>
    <col min="2" max="2" style="31" width="17"/>
    <col customWidth="1" min="3" max="3" style="32" width="21.44140625"/>
    <col customWidth="1" min="4" max="4" style="33" width="21.44140625"/>
    <col customWidth="1" min="5" max="9" style="31" width="21.44140625"/>
    <col min="10" max="16384" style="31" width="17"/>
  </cols>
  <sheetData>
    <row r="1">
      <c r="A1" s="31" t="s">
        <v>0</v>
      </c>
    </row>
    <row r="2">
      <c r="A2" s="6" t="str">
        <f>'1'!A2</f>
        <v xml:space="preserve">ПАО "ДОРОГОБУЖ" </v>
      </c>
      <c r="B2" s="7"/>
    </row>
    <row r="3" ht="16.199999999999999">
      <c r="A3" s="34" t="s">
        <v>56</v>
      </c>
      <c r="B3" s="35" t="str">
        <f>'1'!B3</f>
        <v xml:space="preserve">2013-2019 годы </v>
      </c>
      <c r="E3" s="36"/>
    </row>
    <row r="4" ht="16.199999999999999">
      <c r="A4" s="37" t="s">
        <v>4</v>
      </c>
      <c r="B4" s="38" t="s">
        <v>5</v>
      </c>
    </row>
    <row r="5" s="37" customFormat="1" ht="31.199999999999999">
      <c r="A5" s="39" t="s">
        <v>57</v>
      </c>
      <c r="B5" s="40" t="s">
        <v>58</v>
      </c>
      <c r="C5" s="12" t="s">
        <v>59</v>
      </c>
      <c r="D5" s="12" t="s">
        <v>60</v>
      </c>
      <c r="E5" s="12" t="s">
        <v>61</v>
      </c>
      <c r="F5" s="12" t="s">
        <v>62</v>
      </c>
      <c r="G5" s="12" t="s">
        <v>63</v>
      </c>
      <c r="H5" s="12" t="s">
        <v>64</v>
      </c>
      <c r="I5" s="12" t="s">
        <v>65</v>
      </c>
    </row>
    <row r="6" ht="12.75" customHeight="1">
      <c r="A6" s="39" t="s">
        <v>66</v>
      </c>
      <c r="B6" s="41"/>
      <c r="C6" s="42"/>
      <c r="D6" s="42"/>
      <c r="E6" s="42"/>
      <c r="F6" s="42"/>
      <c r="G6" s="42"/>
      <c r="H6" s="42"/>
      <c r="I6" s="42"/>
    </row>
    <row r="7" s="33" customFormat="1">
      <c r="A7" s="43" t="s">
        <v>67</v>
      </c>
      <c r="B7" s="44">
        <v>2110</v>
      </c>
      <c r="C7" s="44">
        <v>21650314</v>
      </c>
      <c r="D7" s="44">
        <v>27154819</v>
      </c>
      <c r="E7" s="44">
        <v>24000677</v>
      </c>
      <c r="F7" s="44">
        <v>23253619</v>
      </c>
      <c r="G7" s="44">
        <v>26654915</v>
      </c>
      <c r="H7" s="44">
        <v>16131092</v>
      </c>
      <c r="I7" s="44">
        <v>17359621</v>
      </c>
    </row>
    <row r="8">
      <c r="A8" s="45" t="s">
        <v>68</v>
      </c>
      <c r="B8" s="44">
        <v>2120</v>
      </c>
      <c r="C8" s="44">
        <v>-13418367</v>
      </c>
      <c r="D8" s="44">
        <v>-14616025</v>
      </c>
      <c r="E8" s="44">
        <v>-12781114</v>
      </c>
      <c r="F8" s="44">
        <v>-12937806</v>
      </c>
      <c r="G8" s="44">
        <v>-11257301</v>
      </c>
      <c r="H8" s="44">
        <v>-8937073</v>
      </c>
      <c r="I8" s="44">
        <v>-9560909</v>
      </c>
    </row>
    <row r="9" s="37" customFormat="1">
      <c r="A9" s="46" t="s">
        <v>69</v>
      </c>
      <c r="B9" s="47">
        <v>2100</v>
      </c>
      <c r="C9" s="47">
        <f t="shared" ref="C9:I9" si="10">C7+C8</f>
        <v>8231947</v>
      </c>
      <c r="D9" s="47">
        <f t="shared" si="10"/>
        <v>12538794</v>
      </c>
      <c r="E9" s="47">
        <f t="shared" si="10"/>
        <v>11219563</v>
      </c>
      <c r="F9" s="47">
        <f t="shared" si="10"/>
        <v>10315813</v>
      </c>
      <c r="G9" s="47">
        <f t="shared" si="10"/>
        <v>15397614</v>
      </c>
      <c r="H9" s="47">
        <f t="shared" si="10"/>
        <v>7194019</v>
      </c>
      <c r="I9" s="47">
        <f t="shared" si="10"/>
        <v>7798712</v>
      </c>
    </row>
    <row r="10">
      <c r="A10" s="45" t="s">
        <v>70</v>
      </c>
      <c r="B10" s="44">
        <v>2210</v>
      </c>
      <c r="C10" s="44">
        <v>-2751252</v>
      </c>
      <c r="D10" s="44">
        <v>-3080637</v>
      </c>
      <c r="E10" s="44">
        <v>-2719112</v>
      </c>
      <c r="F10" s="44">
        <v>-2388888</v>
      </c>
      <c r="G10" s="44">
        <v>-2064941</v>
      </c>
      <c r="H10" s="44">
        <v>-1715664</v>
      </c>
      <c r="I10" s="44">
        <v>-2082936</v>
      </c>
    </row>
    <row r="11">
      <c r="A11" s="45" t="s">
        <v>71</v>
      </c>
      <c r="B11" s="44">
        <v>2220</v>
      </c>
      <c r="C11" s="44">
        <v>-2173083</v>
      </c>
      <c r="D11" s="44">
        <v>-2047745</v>
      </c>
      <c r="E11" s="44">
        <v>-1814290</v>
      </c>
      <c r="F11" s="44">
        <v>-2227779</v>
      </c>
      <c r="G11" s="44">
        <v>-1712792</v>
      </c>
      <c r="H11" s="44">
        <v>-1391250</v>
      </c>
      <c r="I11" s="44">
        <v>-1250271</v>
      </c>
    </row>
    <row r="12" s="37" customFormat="1">
      <c r="A12" s="46" t="s">
        <v>72</v>
      </c>
      <c r="B12" s="47">
        <v>2200</v>
      </c>
      <c r="C12" s="47">
        <f t="shared" ref="C12:I12" si="11">C9+C10+C11</f>
        <v>3307612</v>
      </c>
      <c r="D12" s="47">
        <f t="shared" si="11"/>
        <v>7410412</v>
      </c>
      <c r="E12" s="47">
        <f t="shared" si="11"/>
        <v>6686161</v>
      </c>
      <c r="F12" s="47">
        <f t="shared" si="11"/>
        <v>5699146</v>
      </c>
      <c r="G12" s="47">
        <f t="shared" si="11"/>
        <v>11619881</v>
      </c>
      <c r="H12" s="47">
        <f t="shared" si="11"/>
        <v>4087105</v>
      </c>
      <c r="I12" s="47">
        <f t="shared" si="11"/>
        <v>4465505</v>
      </c>
    </row>
    <row r="13">
      <c r="A13" s="39" t="s">
        <v>73</v>
      </c>
      <c r="B13" s="44"/>
      <c r="C13" s="44"/>
      <c r="D13" s="44"/>
      <c r="E13" s="44"/>
      <c r="F13" s="44"/>
      <c r="G13" s="44"/>
      <c r="H13" s="44"/>
      <c r="I13" s="44"/>
    </row>
    <row r="14" ht="31.199999999999999">
      <c r="A14" s="45" t="s">
        <v>74</v>
      </c>
      <c r="B14" s="44">
        <v>2310</v>
      </c>
      <c r="C14" s="44">
        <v>813755</v>
      </c>
      <c r="D14" s="44">
        <v>476987</v>
      </c>
      <c r="E14" s="44">
        <v>289688</v>
      </c>
      <c r="F14" s="44">
        <v>160729</v>
      </c>
      <c r="G14" s="44">
        <v>51224</v>
      </c>
      <c r="H14" s="44"/>
      <c r="I14" s="44">
        <v>1088</v>
      </c>
    </row>
    <row r="15">
      <c r="A15" s="45" t="s">
        <v>75</v>
      </c>
      <c r="B15" s="44">
        <v>2320</v>
      </c>
      <c r="C15" s="44">
        <v>1578176</v>
      </c>
      <c r="D15" s="44">
        <v>2026212</v>
      </c>
      <c r="E15" s="44">
        <v>3097686</v>
      </c>
      <c r="F15" s="44">
        <v>3730206</v>
      </c>
      <c r="G15" s="44">
        <v>3530157</v>
      </c>
      <c r="H15" s="44">
        <v>2116170</v>
      </c>
      <c r="I15" s="44">
        <v>1721971</v>
      </c>
    </row>
    <row r="16">
      <c r="A16" s="45" t="s">
        <v>76</v>
      </c>
      <c r="B16" s="44">
        <v>2330</v>
      </c>
      <c r="C16" s="44"/>
      <c r="D16" s="44">
        <v>-45991</v>
      </c>
      <c r="E16" s="44">
        <v>-329136</v>
      </c>
      <c r="F16" s="44">
        <v>-774458</v>
      </c>
      <c r="G16" s="44">
        <v>-877327</v>
      </c>
      <c r="H16" s="44">
        <v>-430471</v>
      </c>
      <c r="I16" s="44">
        <v>-419765</v>
      </c>
    </row>
    <row r="17">
      <c r="A17" s="45" t="s">
        <v>77</v>
      </c>
      <c r="B17" s="44">
        <v>2340</v>
      </c>
      <c r="C17" s="44">
        <v>898216</v>
      </c>
      <c r="D17" s="44">
        <v>14716570</v>
      </c>
      <c r="E17" s="44">
        <v>1089682</v>
      </c>
      <c r="F17" s="44">
        <v>1951065</v>
      </c>
      <c r="G17" s="44">
        <v>982583</v>
      </c>
      <c r="H17" s="44">
        <v>986800</v>
      </c>
      <c r="I17" s="44">
        <v>2657807</v>
      </c>
      <c r="J17" s="48"/>
      <c r="K17" s="48"/>
      <c r="L17" s="49"/>
    </row>
    <row r="18">
      <c r="A18" s="45" t="s">
        <v>78</v>
      </c>
      <c r="B18" s="44">
        <v>2350</v>
      </c>
      <c r="C18" s="44">
        <v>-2130237</v>
      </c>
      <c r="D18" s="44">
        <v>-17398570</v>
      </c>
      <c r="E18" s="44">
        <v>-792416</v>
      </c>
      <c r="F18" s="44">
        <v>-1377711</v>
      </c>
      <c r="G18" s="44">
        <v>-3912599</v>
      </c>
      <c r="H18" s="44">
        <v>-6194082</v>
      </c>
      <c r="I18" s="44">
        <v>-3331305</v>
      </c>
    </row>
    <row r="19" s="37" customFormat="1" ht="31.199999999999999">
      <c r="A19" s="46" t="s">
        <v>79</v>
      </c>
      <c r="B19" s="47">
        <v>2300</v>
      </c>
      <c r="C19" s="47">
        <f t="shared" ref="C19:I19" si="12">C12+C14+C15+C16+C17+C18</f>
        <v>4467522</v>
      </c>
      <c r="D19" s="47">
        <f t="shared" si="12"/>
        <v>7185620</v>
      </c>
      <c r="E19" s="47">
        <f t="shared" si="12"/>
        <v>10041665</v>
      </c>
      <c r="F19" s="47">
        <f t="shared" si="12"/>
        <v>9388977</v>
      </c>
      <c r="G19" s="47">
        <f t="shared" si="12"/>
        <v>11393919</v>
      </c>
      <c r="H19" s="47">
        <f t="shared" si="12"/>
        <v>565522</v>
      </c>
      <c r="I19" s="47">
        <f t="shared" si="12"/>
        <v>5095301</v>
      </c>
    </row>
    <row r="20">
      <c r="A20" s="45" t="s">
        <v>80</v>
      </c>
      <c r="B20" s="50">
        <v>2410</v>
      </c>
      <c r="C20" s="51">
        <v>-655018</v>
      </c>
      <c r="D20" s="51">
        <v>-2302336</v>
      </c>
      <c r="E20" s="51">
        <v>-1823795</v>
      </c>
      <c r="F20" s="51">
        <v>-1959181</v>
      </c>
      <c r="G20" s="51">
        <v>-2218641</v>
      </c>
      <c r="H20" s="51">
        <v>-190864</v>
      </c>
      <c r="I20" s="51">
        <v>-1066641</v>
      </c>
    </row>
    <row r="21" ht="31.199999999999999">
      <c r="A21" s="45" t="s">
        <v>81</v>
      </c>
      <c r="B21" s="50">
        <v>2421</v>
      </c>
      <c r="C21" s="51">
        <v>-110315</v>
      </c>
      <c r="D21" s="51">
        <v>1005937</v>
      </c>
      <c r="E21" s="51">
        <v>-18381</v>
      </c>
      <c r="F21" s="51">
        <v>57475</v>
      </c>
      <c r="G21" s="51">
        <v>42824</v>
      </c>
      <c r="H21" s="51">
        <v>39720</v>
      </c>
      <c r="I21" s="51">
        <v>45380</v>
      </c>
    </row>
    <row r="22" ht="31.199999999999999">
      <c r="A22" s="45" t="s">
        <v>82</v>
      </c>
      <c r="B22" s="50">
        <v>2430</v>
      </c>
      <c r="C22" s="51">
        <v>-130663</v>
      </c>
      <c r="D22" s="51">
        <v>-132207</v>
      </c>
      <c r="E22" s="51">
        <v>-158331</v>
      </c>
      <c r="F22" s="51">
        <v>13955</v>
      </c>
      <c r="G22" s="51">
        <v>-113768</v>
      </c>
      <c r="H22" s="51">
        <v>-37221</v>
      </c>
      <c r="I22" s="51">
        <v>-11228</v>
      </c>
    </row>
    <row r="23" ht="31.199999999999999">
      <c r="A23" s="45" t="s">
        <v>83</v>
      </c>
      <c r="B23" s="50">
        <v>2450</v>
      </c>
      <c r="C23" s="51">
        <v>2492</v>
      </c>
      <c r="D23" s="51">
        <v>-8518</v>
      </c>
      <c r="E23" s="51">
        <v>-7826</v>
      </c>
      <c r="F23" s="51">
        <v>9955</v>
      </c>
      <c r="G23" s="51">
        <v>10801</v>
      </c>
      <c r="H23" s="51">
        <v>75260</v>
      </c>
      <c r="I23" s="51">
        <v>11107</v>
      </c>
    </row>
    <row r="24">
      <c r="A24" s="41" t="s">
        <v>84</v>
      </c>
      <c r="B24" s="41">
        <v>2460</v>
      </c>
      <c r="C24" s="50">
        <v>3650</v>
      </c>
      <c r="D24" s="50">
        <v>3421</v>
      </c>
      <c r="E24" s="50">
        <v>4594</v>
      </c>
      <c r="F24" s="50">
        <v>5292</v>
      </c>
      <c r="G24" s="50">
        <v>2083</v>
      </c>
      <c r="H24" s="50">
        <v>-209</v>
      </c>
      <c r="I24" s="50">
        <v>-99</v>
      </c>
    </row>
    <row r="25" s="37" customFormat="1">
      <c r="A25" s="46" t="s">
        <v>85</v>
      </c>
      <c r="B25" s="40">
        <v>2400</v>
      </c>
      <c r="C25" s="52">
        <f>C19+C20+C22+C23+C24</f>
        <v>3687983</v>
      </c>
      <c r="D25" s="52">
        <f t="shared" ref="D25:I25" si="13">D19+D20+D22+D23+D24</f>
        <v>4745980</v>
      </c>
      <c r="E25" s="52">
        <f t="shared" si="13"/>
        <v>8056307</v>
      </c>
      <c r="F25" s="52">
        <f t="shared" si="13"/>
        <v>7458998</v>
      </c>
      <c r="G25" s="52">
        <f t="shared" si="13"/>
        <v>9074394</v>
      </c>
      <c r="H25" s="52">
        <f t="shared" si="13"/>
        <v>412488</v>
      </c>
      <c r="I25" s="52">
        <f t="shared" si="13"/>
        <v>4028440</v>
      </c>
    </row>
    <row r="26">
      <c r="C26" s="31"/>
      <c r="D26" s="31"/>
    </row>
    <row r="27">
      <c r="C27" s="31"/>
      <c r="D27" s="31"/>
      <c r="G27" s="53"/>
      <c r="H27" s="53"/>
    </row>
    <row r="28">
      <c r="C28" s="31"/>
      <c r="D28" s="31"/>
    </row>
    <row r="29" ht="31.199999999999999">
      <c r="A29" s="39" t="s">
        <v>86</v>
      </c>
      <c r="B29" s="40" t="s">
        <v>58</v>
      </c>
      <c r="C29" s="54" t="str">
        <f t="shared" ref="C29:I29" si="14">C5</f>
        <v xml:space="preserve">за январь-декабрь 2019 года</v>
      </c>
      <c r="D29" s="54" t="str">
        <f t="shared" si="14"/>
        <v xml:space="preserve">за январь-декабрь 2018 года</v>
      </c>
      <c r="E29" s="54" t="str">
        <f t="shared" si="14"/>
        <v xml:space="preserve">за январь-декабрь 2017 года</v>
      </c>
      <c r="F29" s="54" t="str">
        <f t="shared" si="14"/>
        <v xml:space="preserve">за январь-декабрь 2016 года</v>
      </c>
      <c r="G29" s="54" t="str">
        <f t="shared" si="14"/>
        <v xml:space="preserve">за январь-декабрь 2015 года</v>
      </c>
      <c r="H29" s="54" t="str">
        <f t="shared" si="14"/>
        <v xml:space="preserve">за январь-декабрь 2014 года</v>
      </c>
      <c r="I29" s="54" t="str">
        <f t="shared" si="14"/>
        <v xml:space="preserve">за январь-декабрь 2013 года</v>
      </c>
    </row>
    <row r="30">
      <c r="A30" s="55" t="s">
        <v>87</v>
      </c>
      <c r="B30" s="56"/>
      <c r="C30" s="57"/>
      <c r="D30" s="57"/>
      <c r="E30" s="57"/>
      <c r="F30" s="57"/>
      <c r="G30" s="57"/>
      <c r="H30" s="57"/>
      <c r="I30" s="57"/>
    </row>
    <row r="31" ht="53.25" customHeight="1">
      <c r="A31" s="45" t="s">
        <v>88</v>
      </c>
      <c r="B31" s="50">
        <v>2510</v>
      </c>
      <c r="C31" s="58"/>
      <c r="D31" s="58"/>
      <c r="E31" s="58"/>
      <c r="F31" s="58"/>
      <c r="G31" s="58"/>
      <c r="H31" s="58"/>
      <c r="I31" s="58"/>
    </row>
    <row r="32" ht="46.799999999999997">
      <c r="A32" s="45" t="s">
        <v>89</v>
      </c>
      <c r="B32" s="50">
        <v>2520</v>
      </c>
      <c r="C32" s="59"/>
      <c r="D32" s="59"/>
      <c r="E32" s="59"/>
      <c r="F32" s="59"/>
      <c r="G32" s="59"/>
      <c r="H32" s="59"/>
      <c r="I32" s="59"/>
      <c r="J32" s="60"/>
      <c r="K32" s="60"/>
      <c r="L32" s="60"/>
    </row>
    <row r="33" ht="31.199999999999999">
      <c r="A33" s="45" t="s">
        <v>90</v>
      </c>
      <c r="B33" s="41">
        <v>2500</v>
      </c>
      <c r="C33" s="61">
        <v>3687983</v>
      </c>
      <c r="D33" s="61">
        <v>4745980</v>
      </c>
      <c r="E33" s="61">
        <v>8056307</v>
      </c>
      <c r="F33" s="61">
        <v>7458998</v>
      </c>
      <c r="G33" s="61">
        <v>9074394</v>
      </c>
      <c r="H33" s="61">
        <v>412488</v>
      </c>
      <c r="I33" s="61">
        <v>4028440</v>
      </c>
    </row>
    <row r="34" ht="31.199999999999999">
      <c r="A34" s="45" t="s">
        <v>91</v>
      </c>
      <c r="B34" s="41">
        <v>2900</v>
      </c>
      <c r="C34" s="62">
        <v>0.0042100000000000002</v>
      </c>
      <c r="D34" s="62">
        <v>0.0054200000000000003</v>
      </c>
      <c r="E34" s="62">
        <v>0.0091999999999999998</v>
      </c>
      <c r="F34" s="62">
        <v>0.0085299999999999994</v>
      </c>
      <c r="G34" s="62">
        <v>0.01133</v>
      </c>
      <c r="H34" s="63"/>
      <c r="I34" s="63"/>
    </row>
    <row r="35" ht="31.199999999999999">
      <c r="A35" s="45" t="s">
        <v>92</v>
      </c>
      <c r="B35" s="41">
        <v>2910</v>
      </c>
      <c r="C35" s="63"/>
      <c r="D35" s="63"/>
      <c r="E35" s="63"/>
      <c r="F35" s="62"/>
      <c r="G35" s="62">
        <v>0.010370000000000001</v>
      </c>
      <c r="H35" s="63"/>
      <c r="I35" s="63"/>
    </row>
  </sheetData>
  <printOptions headings="0" gridLines="0"/>
  <pageMargins left="0.75" right="0.75" top="0.51000000000000023" bottom="0.51000000000000023" header="0.5" footer="0.5"/>
  <pageSetup paperSize="9" scale="38" fitToWidth="1" fitToHeight="1" pageOrder="downThenOver" orientation="portrait" usePrinterDefaults="1" blackAndWhite="0" draft="0" cellComments="none" useFirstPageNumber="0" errors="displayed" horizontalDpi="4294967293"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5">
    <tabColor indexed="45"/>
    <outlinePr applyStyles="0" summaryBelow="1" summaryRight="1" showOutlineSymbols="1"/>
    <pageSetUpPr autoPageBreaks="1" fitToPage="1"/>
  </sheetPr>
  <sheetViews>
    <sheetView topLeftCell="A124" zoomScale="75" workbookViewId="0">
      <selection activeCell="G147" activeCellId="0" sqref="G147"/>
    </sheetView>
  </sheetViews>
  <sheetFormatPr defaultColWidth="9.109375" defaultRowHeight="15.6"/>
  <cols>
    <col customWidth="1" min="1" max="1" style="64" width="44"/>
    <col min="2" max="2" style="65" width="9.109375"/>
    <col customWidth="1" min="3" max="7" style="65" width="15.44140625"/>
    <col customWidth="1" min="8" max="9" style="64" width="15.44140625"/>
    <col customWidth="1" min="10" max="10" style="64" width="15.5546875"/>
    <col customWidth="1" min="11" max="13" style="64" width="12.5546875"/>
    <col min="14" max="16384" style="64" width="9.109375"/>
  </cols>
  <sheetData>
    <row r="1">
      <c r="A1" s="64" t="s">
        <v>0</v>
      </c>
      <c r="F1" s="64"/>
      <c r="G1" s="64"/>
    </row>
    <row r="2">
      <c r="A2" s="6" t="str">
        <f>'1'!A2</f>
        <v xml:space="preserve">ПАО "ДОРОГОБУЖ" </v>
      </c>
      <c r="B2" s="7"/>
      <c r="C2" s="33"/>
      <c r="D2" s="33"/>
      <c r="E2" s="31"/>
      <c r="F2" s="64"/>
      <c r="G2" s="64"/>
    </row>
    <row r="3">
      <c r="A3" s="66" t="s">
        <v>93</v>
      </c>
      <c r="B3" s="67" t="str">
        <f>'1'!B3</f>
        <v xml:space="preserve">2013-2019 годы </v>
      </c>
    </row>
    <row r="4" ht="16.199999999999999">
      <c r="A4" s="37" t="s">
        <v>4</v>
      </c>
      <c r="B4" s="8" t="s">
        <v>5</v>
      </c>
    </row>
    <row r="5">
      <c r="A5" s="66"/>
      <c r="B5" s="68" t="s">
        <v>94</v>
      </c>
    </row>
    <row r="6" s="33" customFormat="1" ht="78.75" customHeight="1">
      <c r="A6" s="50" t="s">
        <v>57</v>
      </c>
      <c r="B6" s="50" t="s">
        <v>95</v>
      </c>
      <c r="C6" s="69" t="s">
        <v>96</v>
      </c>
      <c r="D6" s="69" t="s">
        <v>39</v>
      </c>
      <c r="E6" s="69" t="s">
        <v>97</v>
      </c>
      <c r="F6" s="69" t="s">
        <v>42</v>
      </c>
      <c r="G6" s="69" t="s">
        <v>43</v>
      </c>
      <c r="H6" s="69" t="s">
        <v>98</v>
      </c>
    </row>
    <row r="7" s="70" customFormat="1">
      <c r="A7" s="46" t="s">
        <v>99</v>
      </c>
      <c r="B7" s="71">
        <v>3100</v>
      </c>
      <c r="C7" s="46">
        <v>218860</v>
      </c>
      <c r="D7" s="47"/>
      <c r="E7" s="46">
        <v>647922</v>
      </c>
      <c r="F7" s="46">
        <v>32829</v>
      </c>
      <c r="G7" s="46">
        <v>21162720</v>
      </c>
      <c r="H7" s="47">
        <f t="shared" ref="H7:H8" si="15">C7+D7+E7+F7+G7</f>
        <v>22062331</v>
      </c>
    </row>
    <row r="8" s="72" customFormat="1">
      <c r="A8" s="73" t="s">
        <v>100</v>
      </c>
      <c r="B8" s="74"/>
      <c r="C8" s="75"/>
      <c r="D8" s="75"/>
      <c r="E8" s="75"/>
      <c r="F8" s="75"/>
      <c r="G8" s="45"/>
      <c r="H8" s="44">
        <f t="shared" si="15"/>
        <v>0</v>
      </c>
    </row>
    <row r="9" s="70" customFormat="1">
      <c r="A9" s="76" t="s">
        <v>101</v>
      </c>
      <c r="B9" s="71">
        <v>3210</v>
      </c>
      <c r="C9" s="54"/>
      <c r="D9" s="54">
        <v>0</v>
      </c>
      <c r="E9" s="54">
        <f>E11</f>
        <v>0</v>
      </c>
      <c r="F9" s="54" t="s">
        <v>102</v>
      </c>
      <c r="G9" s="54">
        <f>G10+G11</f>
        <v>4028859</v>
      </c>
      <c r="H9" s="47">
        <f>C9+D9+E9+G9</f>
        <v>4028859</v>
      </c>
      <c r="J9" s="72"/>
    </row>
    <row r="10" s="72" customFormat="1">
      <c r="A10" s="45" t="s">
        <v>103</v>
      </c>
      <c r="B10" s="74">
        <v>3211</v>
      </c>
      <c r="C10" s="75" t="s">
        <v>102</v>
      </c>
      <c r="D10" s="75" t="s">
        <v>102</v>
      </c>
      <c r="E10" s="75" t="s">
        <v>102</v>
      </c>
      <c r="F10" s="75" t="s">
        <v>102</v>
      </c>
      <c r="G10" s="75">
        <v>4028859</v>
      </c>
      <c r="H10" s="47">
        <f>G10</f>
        <v>4028859</v>
      </c>
    </row>
    <row r="11" s="72" customFormat="1">
      <c r="A11" s="45" t="s">
        <v>104</v>
      </c>
      <c r="B11" s="74">
        <v>3212</v>
      </c>
      <c r="C11" s="75" t="s">
        <v>102</v>
      </c>
      <c r="D11" s="75" t="s">
        <v>102</v>
      </c>
      <c r="E11" s="75"/>
      <c r="F11" s="75" t="s">
        <v>102</v>
      </c>
      <c r="G11" s="45"/>
      <c r="H11" s="44"/>
    </row>
    <row r="12" s="72" customFormat="1" ht="31.199999999999999">
      <c r="A12" s="45" t="s">
        <v>105</v>
      </c>
      <c r="B12" s="74">
        <v>3213</v>
      </c>
      <c r="C12" s="75" t="s">
        <v>102</v>
      </c>
      <c r="D12" s="75" t="s">
        <v>102</v>
      </c>
      <c r="E12" s="75"/>
      <c r="F12" s="75" t="s">
        <v>102</v>
      </c>
      <c r="G12" s="75">
        <v>419</v>
      </c>
      <c r="H12" s="44">
        <f>E12+G12</f>
        <v>419</v>
      </c>
    </row>
    <row r="13" s="72" customFormat="1">
      <c r="A13" s="45" t="s">
        <v>106</v>
      </c>
      <c r="B13" s="74">
        <v>3214</v>
      </c>
      <c r="C13" s="44"/>
      <c r="D13" s="44"/>
      <c r="E13" s="44"/>
      <c r="F13" s="75" t="s">
        <v>102</v>
      </c>
      <c r="G13" s="75" t="s">
        <v>102</v>
      </c>
      <c r="H13" s="44">
        <f>C13+D13+E13</f>
        <v>0</v>
      </c>
    </row>
    <row r="14" s="72" customFormat="1" ht="17.25" customHeight="1">
      <c r="A14" s="45" t="s">
        <v>107</v>
      </c>
      <c r="B14" s="74">
        <v>3215</v>
      </c>
      <c r="C14" s="44"/>
      <c r="D14" s="44"/>
      <c r="E14" s="44"/>
      <c r="F14" s="75" t="s">
        <v>102</v>
      </c>
      <c r="G14" s="75" t="s">
        <v>108</v>
      </c>
      <c r="H14" s="44" t="s">
        <v>102</v>
      </c>
    </row>
    <row r="15" s="72" customFormat="1">
      <c r="A15" s="45" t="s">
        <v>109</v>
      </c>
      <c r="B15" s="74">
        <v>3216</v>
      </c>
      <c r="C15" s="75"/>
      <c r="D15" s="75"/>
      <c r="E15" s="75"/>
      <c r="F15" s="75"/>
      <c r="G15" s="75"/>
      <c r="H15" s="44">
        <f>C15+D15+E15+F15+G15</f>
        <v>0</v>
      </c>
    </row>
    <row r="16" s="77" customFormat="1">
      <c r="A16" s="76" t="s">
        <v>110</v>
      </c>
      <c r="B16" s="71">
        <v>3220</v>
      </c>
      <c r="C16" s="54"/>
      <c r="D16" s="54">
        <v>0</v>
      </c>
      <c r="E16" s="54">
        <f>E18</f>
        <v>0</v>
      </c>
      <c r="F16" s="54" t="s">
        <v>102</v>
      </c>
      <c r="G16" s="54">
        <f>G19+G23</f>
        <v>-185108</v>
      </c>
      <c r="H16" s="47">
        <f>C16+D16+E16+G16</f>
        <v>-185108</v>
      </c>
    </row>
    <row r="17" s="78" customFormat="1">
      <c r="A17" s="45" t="s">
        <v>111</v>
      </c>
      <c r="B17" s="74">
        <v>3221</v>
      </c>
      <c r="C17" s="75" t="s">
        <v>102</v>
      </c>
      <c r="D17" s="75" t="s">
        <v>102</v>
      </c>
      <c r="E17" s="75" t="s">
        <v>102</v>
      </c>
      <c r="F17" s="75" t="s">
        <v>102</v>
      </c>
      <c r="G17" s="75"/>
      <c r="H17" s="44">
        <f>G17</f>
        <v>0</v>
      </c>
    </row>
    <row r="18" s="78" customFormat="1">
      <c r="A18" s="45" t="s">
        <v>104</v>
      </c>
      <c r="B18" s="74">
        <v>3222</v>
      </c>
      <c r="C18" s="75" t="s">
        <v>102</v>
      </c>
      <c r="D18" s="75" t="s">
        <v>102</v>
      </c>
      <c r="E18" s="75"/>
      <c r="F18" s="75" t="s">
        <v>102</v>
      </c>
      <c r="G18" s="45"/>
      <c r="H18" s="44">
        <f>E18+G18</f>
        <v>0</v>
      </c>
    </row>
    <row r="19" s="78" customFormat="1" ht="31.199999999999999">
      <c r="A19" s="45" t="s">
        <v>112</v>
      </c>
      <c r="B19" s="74">
        <v>3223</v>
      </c>
      <c r="C19" s="75" t="s">
        <v>102</v>
      </c>
      <c r="D19" s="75" t="s">
        <v>102</v>
      </c>
      <c r="E19" s="75"/>
      <c r="F19" s="75" t="s">
        <v>102</v>
      </c>
      <c r="G19" s="75">
        <v>0</v>
      </c>
      <c r="H19" s="44">
        <f>G19</f>
        <v>0</v>
      </c>
    </row>
    <row r="20" s="78" customFormat="1" ht="20.25" customHeight="1">
      <c r="A20" s="45" t="s">
        <v>113</v>
      </c>
      <c r="B20" s="74">
        <v>3224</v>
      </c>
      <c r="C20" s="75"/>
      <c r="D20" s="75"/>
      <c r="E20" s="75"/>
      <c r="F20" s="75"/>
      <c r="G20" s="75"/>
      <c r="H20" s="44"/>
    </row>
    <row r="21" s="78" customFormat="1">
      <c r="A21" s="45" t="s">
        <v>114</v>
      </c>
      <c r="B21" s="74">
        <v>3225</v>
      </c>
      <c r="C21" s="44"/>
      <c r="D21" s="44"/>
      <c r="E21" s="44"/>
      <c r="F21" s="75" t="s">
        <v>102</v>
      </c>
      <c r="G21" s="75" t="s">
        <v>102</v>
      </c>
      <c r="H21" s="44">
        <f>C21+D21+E21</f>
        <v>0</v>
      </c>
    </row>
    <row r="22" s="78" customFormat="1">
      <c r="A22" s="45" t="s">
        <v>109</v>
      </c>
      <c r="B22" s="74">
        <v>3226</v>
      </c>
      <c r="C22" s="75"/>
      <c r="D22" s="75"/>
      <c r="E22" s="75"/>
      <c r="F22" s="75"/>
      <c r="G22" s="75"/>
      <c r="H22" s="44">
        <f>C22+D22+E22+F22+G22</f>
        <v>0</v>
      </c>
    </row>
    <row r="23" s="78" customFormat="1">
      <c r="A23" s="79" t="s">
        <v>115</v>
      </c>
      <c r="B23" s="74">
        <v>3227</v>
      </c>
      <c r="C23" s="80"/>
      <c r="D23" s="80"/>
      <c r="E23" s="80"/>
      <c r="F23" s="81"/>
      <c r="G23" s="81">
        <v>-185108</v>
      </c>
      <c r="H23" s="44">
        <f>G23</f>
        <v>-185108</v>
      </c>
    </row>
    <row r="24" s="78" customFormat="1">
      <c r="A24" s="79" t="s">
        <v>116</v>
      </c>
      <c r="B24" s="82">
        <v>3230</v>
      </c>
      <c r="C24" s="80"/>
      <c r="D24" s="80"/>
      <c r="E24" s="80">
        <v>-20801</v>
      </c>
      <c r="F24" s="80"/>
      <c r="G24" s="80">
        <f>-E24</f>
        <v>20801</v>
      </c>
      <c r="H24" s="80" t="s">
        <v>102</v>
      </c>
    </row>
    <row r="25" s="78" customFormat="1">
      <c r="A25" s="79" t="s">
        <v>117</v>
      </c>
      <c r="B25" s="82">
        <v>3240</v>
      </c>
      <c r="C25" s="80"/>
      <c r="D25" s="80"/>
      <c r="E25" s="80"/>
      <c r="F25" s="80"/>
      <c r="G25" s="80"/>
      <c r="H25" s="83"/>
    </row>
    <row r="26" s="78" customFormat="1">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78" customFormat="1">
      <c r="A27" s="73" t="s">
        <v>119</v>
      </c>
      <c r="B27" s="74"/>
      <c r="C27" s="75"/>
      <c r="D27" s="75"/>
      <c r="E27" s="75"/>
      <c r="F27" s="75"/>
      <c r="G27" s="45"/>
      <c r="H27" s="44">
        <f>C27+D27+E27+F27+G27</f>
        <v>0</v>
      </c>
    </row>
    <row r="28" s="77" customFormat="1">
      <c r="A28" s="76" t="s">
        <v>101</v>
      </c>
      <c r="B28" s="71">
        <v>3310</v>
      </c>
      <c r="C28" s="54"/>
      <c r="D28" s="54"/>
      <c r="E28" s="54">
        <f>SUM(E29:E33)</f>
        <v>0</v>
      </c>
      <c r="F28" s="54" t="s">
        <v>102</v>
      </c>
      <c r="G28" s="54">
        <f>SUM(G29:G33)</f>
        <v>414506</v>
      </c>
      <c r="H28" s="47">
        <f>C28+D28+E28+G28</f>
        <v>414506</v>
      </c>
      <c r="K28" s="86"/>
    </row>
    <row r="29" s="78" customFormat="1">
      <c r="A29" s="45" t="s">
        <v>103</v>
      </c>
      <c r="B29" s="74">
        <v>3311</v>
      </c>
      <c r="C29" s="75" t="s">
        <v>102</v>
      </c>
      <c r="D29" s="75" t="s">
        <v>102</v>
      </c>
      <c r="E29" s="75" t="s">
        <v>102</v>
      </c>
      <c r="F29" s="75" t="s">
        <v>102</v>
      </c>
      <c r="G29" s="75">
        <v>412488</v>
      </c>
      <c r="H29" s="44">
        <f>G29</f>
        <v>412488</v>
      </c>
    </row>
    <row r="30" s="78" customFormat="1">
      <c r="A30" s="45" t="s">
        <v>104</v>
      </c>
      <c r="B30" s="74">
        <v>3312</v>
      </c>
      <c r="C30" s="75" t="s">
        <v>102</v>
      </c>
      <c r="D30" s="75" t="s">
        <v>102</v>
      </c>
      <c r="E30" s="75"/>
      <c r="F30" s="75" t="s">
        <v>102</v>
      </c>
      <c r="G30" s="45">
        <v>0</v>
      </c>
      <c r="H30" s="44">
        <f t="shared" ref="H30:H31" si="16">SUM(C30:G30)</f>
        <v>0</v>
      </c>
    </row>
    <row r="31" s="78" customFormat="1" ht="31.199999999999999">
      <c r="A31" s="45" t="s">
        <v>105</v>
      </c>
      <c r="B31" s="74">
        <v>3313</v>
      </c>
      <c r="C31" s="75" t="s">
        <v>102</v>
      </c>
      <c r="D31" s="75" t="s">
        <v>102</v>
      </c>
      <c r="E31" s="75"/>
      <c r="F31" s="75" t="s">
        <v>102</v>
      </c>
      <c r="G31" s="75">
        <v>2018</v>
      </c>
      <c r="H31" s="44">
        <f t="shared" si="16"/>
        <v>2018</v>
      </c>
    </row>
    <row r="32" s="78" customFormat="1">
      <c r="A32" s="45" t="s">
        <v>106</v>
      </c>
      <c r="B32" s="74">
        <v>3314</v>
      </c>
      <c r="C32" s="44"/>
      <c r="D32" s="44"/>
      <c r="E32" s="44"/>
      <c r="F32" s="75" t="s">
        <v>102</v>
      </c>
      <c r="G32" s="75" t="s">
        <v>102</v>
      </c>
      <c r="H32" s="44">
        <f>C32+D32+E32</f>
        <v>0</v>
      </c>
    </row>
    <row r="33" s="78" customFormat="1">
      <c r="A33" s="45" t="s">
        <v>109</v>
      </c>
      <c r="B33" s="74">
        <v>3315</v>
      </c>
      <c r="C33" s="75"/>
      <c r="D33" s="75"/>
      <c r="E33" s="75"/>
      <c r="F33" s="75"/>
      <c r="G33" s="75"/>
      <c r="H33" s="44">
        <f>C33+D33+E33+F33+G33</f>
        <v>0</v>
      </c>
      <c r="K33" s="87"/>
    </row>
    <row r="34" s="77" customFormat="1">
      <c r="A34" s="76" t="s">
        <v>110</v>
      </c>
      <c r="B34" s="71">
        <v>3320</v>
      </c>
      <c r="C34" s="54">
        <v>0</v>
      </c>
      <c r="D34" s="54">
        <v>0</v>
      </c>
      <c r="E34" s="54">
        <v>0</v>
      </c>
      <c r="F34" s="54">
        <v>0</v>
      </c>
      <c r="G34" s="54">
        <f>SUM(G35:G41)</f>
        <v>-185108</v>
      </c>
      <c r="H34" s="47">
        <f>C34+D34+E34+G34</f>
        <v>-185108</v>
      </c>
    </row>
    <row r="35" s="78" customFormat="1">
      <c r="A35" s="45" t="s">
        <v>111</v>
      </c>
      <c r="B35" s="74">
        <v>3321</v>
      </c>
      <c r="C35" s="75" t="s">
        <v>102</v>
      </c>
      <c r="D35" s="75" t="s">
        <v>102</v>
      </c>
      <c r="E35" s="75" t="s">
        <v>102</v>
      </c>
      <c r="F35" s="75" t="s">
        <v>102</v>
      </c>
      <c r="G35" s="75"/>
      <c r="H35" s="44">
        <f t="shared" ref="H35:H36" si="17">G35</f>
        <v>0</v>
      </c>
      <c r="J35" s="87"/>
      <c r="K35" s="87"/>
    </row>
    <row r="36" s="78" customFormat="1">
      <c r="A36" s="45" t="s">
        <v>104</v>
      </c>
      <c r="B36" s="74">
        <v>3322</v>
      </c>
      <c r="C36" s="75" t="s">
        <v>102</v>
      </c>
      <c r="D36" s="75" t="s">
        <v>102</v>
      </c>
      <c r="E36" s="75">
        <v>0</v>
      </c>
      <c r="F36" s="75" t="s">
        <v>102</v>
      </c>
      <c r="G36" s="45"/>
      <c r="H36" s="44">
        <f t="shared" si="17"/>
        <v>0</v>
      </c>
    </row>
    <row r="37" s="78" customFormat="1" ht="31.199999999999999">
      <c r="A37" s="45" t="s">
        <v>112</v>
      </c>
      <c r="B37" s="74">
        <v>3323</v>
      </c>
      <c r="C37" s="75" t="s">
        <v>102</v>
      </c>
      <c r="D37" s="75" t="s">
        <v>102</v>
      </c>
      <c r="E37" s="75"/>
      <c r="F37" s="75" t="s">
        <v>102</v>
      </c>
      <c r="G37" s="75">
        <v>0</v>
      </c>
      <c r="H37" s="44">
        <f>SUM(C37:G37)</f>
        <v>0</v>
      </c>
    </row>
    <row r="38" s="78" customFormat="1" ht="31.199999999999999">
      <c r="A38" s="45" t="s">
        <v>113</v>
      </c>
      <c r="B38" s="74">
        <v>3324</v>
      </c>
      <c r="C38" s="75"/>
      <c r="D38" s="75"/>
      <c r="E38" s="75"/>
      <c r="F38" s="75"/>
      <c r="G38" s="75"/>
      <c r="H38" s="44"/>
    </row>
    <row r="39" s="78" customFormat="1">
      <c r="A39" s="45" t="s">
        <v>114</v>
      </c>
      <c r="B39" s="74">
        <v>3325</v>
      </c>
      <c r="C39" s="44">
        <v>0</v>
      </c>
      <c r="D39" s="44">
        <v>0</v>
      </c>
      <c r="E39" s="44"/>
      <c r="F39" s="75" t="s">
        <v>102</v>
      </c>
      <c r="G39" s="75" t="s">
        <v>102</v>
      </c>
      <c r="H39" s="44">
        <f>C39+D39+E39</f>
        <v>0</v>
      </c>
    </row>
    <row r="40" s="78" customFormat="1">
      <c r="A40" s="45" t="s">
        <v>109</v>
      </c>
      <c r="B40" s="74">
        <v>3326</v>
      </c>
      <c r="C40" s="75"/>
      <c r="D40" s="75"/>
      <c r="E40" s="75"/>
      <c r="F40" s="75"/>
      <c r="G40" s="75">
        <v>0</v>
      </c>
      <c r="H40" s="44">
        <f>C40+D40+E40+F40+G40</f>
        <v>0</v>
      </c>
    </row>
    <row r="41" s="78" customFormat="1">
      <c r="A41" s="79" t="s">
        <v>115</v>
      </c>
      <c r="B41" s="74">
        <v>3327</v>
      </c>
      <c r="C41" s="80"/>
      <c r="D41" s="80"/>
      <c r="E41" s="80"/>
      <c r="F41" s="81"/>
      <c r="G41" s="81">
        <v>-185108</v>
      </c>
      <c r="H41" s="44">
        <f>G41</f>
        <v>-185108</v>
      </c>
    </row>
    <row r="42" s="78" customFormat="1">
      <c r="A42" s="79" t="s">
        <v>116</v>
      </c>
      <c r="B42" s="82">
        <v>3330</v>
      </c>
      <c r="C42" s="80"/>
      <c r="D42" s="80"/>
      <c r="E42" s="80">
        <v>-11568</v>
      </c>
      <c r="F42" s="80"/>
      <c r="G42" s="80">
        <f>-E42</f>
        <v>11568</v>
      </c>
      <c r="H42" s="80" t="s">
        <v>102</v>
      </c>
    </row>
    <row r="43" s="78" customFormat="1">
      <c r="A43" s="79" t="s">
        <v>117</v>
      </c>
      <c r="B43" s="82">
        <v>3340</v>
      </c>
      <c r="C43" s="80"/>
      <c r="D43" s="80"/>
      <c r="E43" s="80"/>
      <c r="F43" s="80"/>
      <c r="G43" s="80"/>
      <c r="H43" s="80" t="s">
        <v>102</v>
      </c>
    </row>
    <row r="44" s="77" customFormat="1">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78" customFormat="1">
      <c r="A45" s="73" t="s">
        <v>121</v>
      </c>
      <c r="B45" s="74"/>
      <c r="C45" s="75"/>
      <c r="D45" s="75"/>
      <c r="E45" s="75"/>
      <c r="F45" s="75"/>
      <c r="G45" s="45"/>
      <c r="H45" s="44">
        <f>C45+D45+E45+F45+G45</f>
        <v>0</v>
      </c>
    </row>
    <row r="46" s="77" customFormat="1">
      <c r="A46" s="76" t="s">
        <v>101</v>
      </c>
      <c r="B46" s="71">
        <v>3310</v>
      </c>
      <c r="C46" s="54"/>
      <c r="D46" s="54"/>
      <c r="E46" s="54">
        <f>SUM(E47:E51)</f>
        <v>0</v>
      </c>
      <c r="F46" s="54" t="s">
        <v>102</v>
      </c>
      <c r="G46" s="54">
        <f>SUM(G47:G51)</f>
        <v>9076359</v>
      </c>
      <c r="H46" s="47">
        <f>C46+D46+E46+G46</f>
        <v>9076359</v>
      </c>
      <c r="K46" s="86"/>
    </row>
    <row r="47" s="78" customFormat="1">
      <c r="A47" s="45" t="s">
        <v>103</v>
      </c>
      <c r="B47" s="74">
        <v>3311</v>
      </c>
      <c r="C47" s="75" t="s">
        <v>102</v>
      </c>
      <c r="D47" s="75" t="s">
        <v>102</v>
      </c>
      <c r="E47" s="75" t="s">
        <v>102</v>
      </c>
      <c r="F47" s="75" t="s">
        <v>102</v>
      </c>
      <c r="G47" s="75">
        <v>9074394</v>
      </c>
      <c r="H47" s="44">
        <f>G47</f>
        <v>9074394</v>
      </c>
    </row>
    <row r="48" s="78" customFormat="1">
      <c r="A48" s="45" t="s">
        <v>104</v>
      </c>
      <c r="B48" s="74">
        <v>3312</v>
      </c>
      <c r="C48" s="75" t="s">
        <v>102</v>
      </c>
      <c r="D48" s="75" t="s">
        <v>102</v>
      </c>
      <c r="E48" s="75"/>
      <c r="F48" s="75" t="s">
        <v>102</v>
      </c>
      <c r="G48" s="45">
        <v>0</v>
      </c>
      <c r="H48" s="44">
        <f t="shared" ref="H48:H49" si="18">SUM(C48:G48)</f>
        <v>0</v>
      </c>
    </row>
    <row r="49" s="78" customFormat="1" ht="31.199999999999999">
      <c r="A49" s="45" t="s">
        <v>105</v>
      </c>
      <c r="B49" s="74">
        <v>3313</v>
      </c>
      <c r="C49" s="75" t="s">
        <v>102</v>
      </c>
      <c r="D49" s="75" t="s">
        <v>102</v>
      </c>
      <c r="E49" s="75"/>
      <c r="F49" s="75" t="s">
        <v>102</v>
      </c>
      <c r="G49" s="75">
        <v>1965</v>
      </c>
      <c r="H49" s="44">
        <f t="shared" si="18"/>
        <v>1965</v>
      </c>
    </row>
    <row r="50" s="78" customFormat="1">
      <c r="A50" s="45" t="s">
        <v>106</v>
      </c>
      <c r="B50" s="74">
        <v>3314</v>
      </c>
      <c r="C50" s="44"/>
      <c r="D50" s="44"/>
      <c r="E50" s="44"/>
      <c r="F50" s="75" t="s">
        <v>102</v>
      </c>
      <c r="G50" s="75" t="s">
        <v>102</v>
      </c>
      <c r="H50" s="44">
        <f>C50+D50+E50</f>
        <v>0</v>
      </c>
    </row>
    <row r="51" s="78" customFormat="1">
      <c r="A51" s="45" t="s">
        <v>109</v>
      </c>
      <c r="B51" s="74">
        <v>3315</v>
      </c>
      <c r="C51" s="75"/>
      <c r="D51" s="75"/>
      <c r="E51" s="75"/>
      <c r="F51" s="75"/>
      <c r="G51" s="75"/>
      <c r="H51" s="44">
        <f>C51+D51+E51+F51+G51</f>
        <v>0</v>
      </c>
      <c r="K51" s="87"/>
    </row>
    <row r="52" s="77" customFormat="1">
      <c r="A52" s="76" t="s">
        <v>110</v>
      </c>
      <c r="B52" s="71">
        <v>3320</v>
      </c>
      <c r="C52" s="54">
        <f>SUM(C53:C61)</f>
        <v>0</v>
      </c>
      <c r="D52" s="54">
        <f>SUM(D53:D61)</f>
        <v>-20847</v>
      </c>
      <c r="E52" s="54"/>
      <c r="F52" s="54">
        <v>0</v>
      </c>
      <c r="G52" s="54">
        <f>SUM(G53:G59)</f>
        <v>-280140</v>
      </c>
      <c r="H52" s="47">
        <f>C52+D52+E52+G52</f>
        <v>-300987</v>
      </c>
    </row>
    <row r="53" s="78" customFormat="1">
      <c r="A53" s="45" t="s">
        <v>111</v>
      </c>
      <c r="B53" s="74">
        <v>3321</v>
      </c>
      <c r="C53" s="75" t="s">
        <v>102</v>
      </c>
      <c r="D53" s="75" t="s">
        <v>102</v>
      </c>
      <c r="E53" s="75" t="s">
        <v>102</v>
      </c>
      <c r="F53" s="75" t="s">
        <v>102</v>
      </c>
      <c r="G53" s="75"/>
      <c r="H53" s="44">
        <f t="shared" ref="H53:H54" si="19">G53</f>
        <v>0</v>
      </c>
      <c r="J53" s="87"/>
      <c r="K53" s="87"/>
    </row>
    <row r="54" s="78" customFormat="1">
      <c r="A54" s="45" t="s">
        <v>104</v>
      </c>
      <c r="B54" s="74">
        <v>3322</v>
      </c>
      <c r="C54" s="75" t="s">
        <v>102</v>
      </c>
      <c r="D54" s="75" t="s">
        <v>102</v>
      </c>
      <c r="E54" s="75">
        <v>0</v>
      </c>
      <c r="F54" s="75" t="s">
        <v>102</v>
      </c>
      <c r="G54" s="45"/>
      <c r="H54" s="44">
        <f t="shared" si="19"/>
        <v>0</v>
      </c>
    </row>
    <row r="55" s="78" customFormat="1" ht="31.199999999999999">
      <c r="A55" s="45" t="s">
        <v>112</v>
      </c>
      <c r="B55" s="74">
        <v>3323</v>
      </c>
      <c r="C55" s="75" t="s">
        <v>102</v>
      </c>
      <c r="D55" s="75" t="s">
        <v>102</v>
      </c>
      <c r="E55" s="75"/>
      <c r="F55" s="75" t="s">
        <v>102</v>
      </c>
      <c r="G55" s="75">
        <v>0</v>
      </c>
      <c r="H55" s="44">
        <f>SUM(C55:G55)</f>
        <v>0</v>
      </c>
    </row>
    <row r="56" s="78" customFormat="1" ht="31.199999999999999">
      <c r="A56" s="45" t="s">
        <v>113</v>
      </c>
      <c r="B56" s="74">
        <v>3324</v>
      </c>
      <c r="C56" s="75"/>
      <c r="D56" s="75"/>
      <c r="E56" s="75"/>
      <c r="F56" s="75"/>
      <c r="G56" s="75"/>
      <c r="H56" s="44"/>
    </row>
    <row r="57" s="78" customFormat="1">
      <c r="A57" s="45" t="s">
        <v>114</v>
      </c>
      <c r="B57" s="74">
        <v>3325</v>
      </c>
      <c r="C57" s="44">
        <v>0</v>
      </c>
      <c r="D57" s="44">
        <v>-20847</v>
      </c>
      <c r="E57" s="44"/>
      <c r="F57" s="75" t="s">
        <v>102</v>
      </c>
      <c r="G57" s="75" t="s">
        <v>102</v>
      </c>
      <c r="H57" s="44">
        <f>C57+D57+E57</f>
        <v>-20847</v>
      </c>
    </row>
    <row r="58" s="78" customFormat="1">
      <c r="A58" s="45" t="s">
        <v>109</v>
      </c>
      <c r="B58" s="74">
        <v>3326</v>
      </c>
      <c r="C58" s="75"/>
      <c r="D58" s="75"/>
      <c r="E58" s="75"/>
      <c r="F58" s="75"/>
      <c r="G58" s="75">
        <v>0</v>
      </c>
      <c r="H58" s="44">
        <f>C58+D58+E58+F58+G58</f>
        <v>0</v>
      </c>
    </row>
    <row r="59" s="78" customFormat="1">
      <c r="A59" s="79" t="s">
        <v>115</v>
      </c>
      <c r="B59" s="74">
        <v>3327</v>
      </c>
      <c r="C59" s="80"/>
      <c r="D59" s="80"/>
      <c r="E59" s="80"/>
      <c r="F59" s="81"/>
      <c r="G59" s="81">
        <v>-280140</v>
      </c>
      <c r="H59" s="44">
        <f>G59</f>
        <v>-280140</v>
      </c>
    </row>
    <row r="60" s="78" customFormat="1">
      <c r="A60" s="79" t="s">
        <v>116</v>
      </c>
      <c r="B60" s="82">
        <v>3330</v>
      </c>
      <c r="C60" s="80"/>
      <c r="D60" s="80"/>
      <c r="E60" s="80">
        <v>-13343</v>
      </c>
      <c r="F60" s="80"/>
      <c r="G60" s="80">
        <v>13343</v>
      </c>
      <c r="H60" s="83"/>
    </row>
    <row r="61" s="78" customFormat="1">
      <c r="A61" s="79" t="s">
        <v>117</v>
      </c>
      <c r="B61" s="82">
        <v>3340</v>
      </c>
      <c r="C61" s="80"/>
      <c r="D61" s="80"/>
      <c r="E61" s="80"/>
      <c r="F61" s="80"/>
      <c r="G61" s="80"/>
      <c r="H61" s="83"/>
    </row>
    <row r="62" s="77" customFormat="1">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78" customFormat="1">
      <c r="A63" s="73" t="s">
        <v>123</v>
      </c>
      <c r="B63" s="74"/>
      <c r="C63" s="75"/>
      <c r="D63" s="75"/>
      <c r="E63" s="75"/>
      <c r="F63" s="75"/>
      <c r="G63" s="45"/>
      <c r="H63" s="44">
        <f>C63+D63+E63+F63+G63</f>
        <v>0</v>
      </c>
    </row>
    <row r="64" s="77" customFormat="1">
      <c r="A64" s="76" t="s">
        <v>101</v>
      </c>
      <c r="B64" s="71">
        <v>3310</v>
      </c>
      <c r="C64" s="54"/>
      <c r="D64" s="54">
        <v>20847</v>
      </c>
      <c r="E64" s="54">
        <f>SUM(E65:E69)</f>
        <v>0</v>
      </c>
      <c r="F64" s="54" t="s">
        <v>102</v>
      </c>
      <c r="G64" s="54">
        <f>SUM(G65:G69)</f>
        <v>7460823</v>
      </c>
      <c r="H64" s="47">
        <f>C64+D64+E64+G64</f>
        <v>7481670</v>
      </c>
      <c r="K64" s="86"/>
    </row>
    <row r="65" s="78" customFormat="1">
      <c r="A65" s="45" t="s">
        <v>103</v>
      </c>
      <c r="B65" s="74">
        <v>3311</v>
      </c>
      <c r="C65" s="75" t="s">
        <v>102</v>
      </c>
      <c r="D65" s="75" t="s">
        <v>102</v>
      </c>
      <c r="E65" s="75" t="s">
        <v>102</v>
      </c>
      <c r="F65" s="75" t="s">
        <v>102</v>
      </c>
      <c r="G65" s="75">
        <v>7458998</v>
      </c>
      <c r="H65" s="44">
        <f>G65</f>
        <v>7458998</v>
      </c>
    </row>
    <row r="66" s="78" customFormat="1">
      <c r="A66" s="45" t="s">
        <v>104</v>
      </c>
      <c r="B66" s="74">
        <v>3312</v>
      </c>
      <c r="C66" s="75" t="s">
        <v>102</v>
      </c>
      <c r="D66" s="75" t="s">
        <v>102</v>
      </c>
      <c r="E66" s="75"/>
      <c r="F66" s="75" t="s">
        <v>102</v>
      </c>
      <c r="G66" s="45">
        <v>0</v>
      </c>
      <c r="H66" s="44">
        <f t="shared" ref="H66:H67" si="20">SUM(C66:G66)</f>
        <v>0</v>
      </c>
    </row>
    <row r="67" s="78" customFormat="1" ht="31.199999999999999">
      <c r="A67" s="45" t="s">
        <v>105</v>
      </c>
      <c r="B67" s="74">
        <v>3313</v>
      </c>
      <c r="C67" s="75" t="s">
        <v>102</v>
      </c>
      <c r="D67" s="75">
        <v>20847</v>
      </c>
      <c r="E67" s="75"/>
      <c r="F67" s="75" t="s">
        <v>102</v>
      </c>
      <c r="G67" s="75">
        <v>1825</v>
      </c>
      <c r="H67" s="44">
        <f t="shared" si="20"/>
        <v>22672</v>
      </c>
    </row>
    <row r="68" s="78" customFormat="1">
      <c r="A68" s="45" t="s">
        <v>106</v>
      </c>
      <c r="B68" s="74">
        <v>3314</v>
      </c>
      <c r="C68" s="44"/>
      <c r="D68" s="44"/>
      <c r="E68" s="44"/>
      <c r="F68" s="75" t="s">
        <v>102</v>
      </c>
      <c r="G68" s="75" t="s">
        <v>102</v>
      </c>
      <c r="H68" s="44">
        <f>C68+D68+E68</f>
        <v>0</v>
      </c>
    </row>
    <row r="69" s="78" customFormat="1">
      <c r="A69" s="45" t="s">
        <v>109</v>
      </c>
      <c r="B69" s="74">
        <v>3315</v>
      </c>
      <c r="C69" s="75"/>
      <c r="D69" s="75"/>
      <c r="E69" s="75"/>
      <c r="F69" s="75"/>
      <c r="G69" s="75"/>
      <c r="H69" s="44">
        <f>C69+D69+E69+F69+G69</f>
        <v>0</v>
      </c>
      <c r="K69" s="87"/>
    </row>
    <row r="70" s="77" customFormat="1">
      <c r="A70" s="76" t="s">
        <v>110</v>
      </c>
      <c r="B70" s="71">
        <v>3320</v>
      </c>
      <c r="C70" s="54">
        <f>SUM(C71:C79)</f>
        <v>0</v>
      </c>
      <c r="D70" s="54">
        <f>SUM(D71:D79)</f>
        <v>0</v>
      </c>
      <c r="E70" s="54">
        <v>0</v>
      </c>
      <c r="F70" s="54">
        <v>0</v>
      </c>
      <c r="G70" s="54">
        <f>SUM(G71:G77)</f>
        <v>-1136768</v>
      </c>
      <c r="H70" s="47">
        <f>C70+D70+E70+G70</f>
        <v>-1136768</v>
      </c>
    </row>
    <row r="71" s="78" customFormat="1">
      <c r="A71" s="45" t="s">
        <v>111</v>
      </c>
      <c r="B71" s="74">
        <v>3321</v>
      </c>
      <c r="C71" s="75" t="s">
        <v>102</v>
      </c>
      <c r="D71" s="75" t="s">
        <v>102</v>
      </c>
      <c r="E71" s="75" t="s">
        <v>102</v>
      </c>
      <c r="F71" s="75" t="s">
        <v>102</v>
      </c>
      <c r="G71" s="75"/>
      <c r="H71" s="44">
        <f t="shared" ref="H71:H72" si="21">G71</f>
        <v>0</v>
      </c>
      <c r="J71" s="87"/>
      <c r="K71" s="87"/>
    </row>
    <row r="72" s="78" customFormat="1">
      <c r="A72" s="45" t="s">
        <v>104</v>
      </c>
      <c r="B72" s="74">
        <v>3322</v>
      </c>
      <c r="C72" s="75" t="s">
        <v>102</v>
      </c>
      <c r="D72" s="75" t="s">
        <v>102</v>
      </c>
      <c r="E72" s="75">
        <v>0</v>
      </c>
      <c r="F72" s="75" t="s">
        <v>102</v>
      </c>
      <c r="G72" s="45"/>
      <c r="H72" s="44">
        <f t="shared" si="21"/>
        <v>0</v>
      </c>
    </row>
    <row r="73" s="78" customFormat="1" ht="31.199999999999999">
      <c r="A73" s="45" t="s">
        <v>112</v>
      </c>
      <c r="B73" s="74">
        <v>3323</v>
      </c>
      <c r="C73" s="75" t="s">
        <v>102</v>
      </c>
      <c r="D73" s="75" t="s">
        <v>102</v>
      </c>
      <c r="E73" s="75"/>
      <c r="F73" s="75" t="s">
        <v>102</v>
      </c>
      <c r="G73" s="75">
        <v>0</v>
      </c>
      <c r="H73" s="44">
        <f>SUM(C73:G73)</f>
        <v>0</v>
      </c>
    </row>
    <row r="74" s="78" customFormat="1" ht="31.199999999999999">
      <c r="A74" s="45" t="s">
        <v>113</v>
      </c>
      <c r="B74" s="74">
        <v>3324</v>
      </c>
      <c r="C74" s="75"/>
      <c r="D74" s="75"/>
      <c r="E74" s="75"/>
      <c r="F74" s="75"/>
      <c r="G74" s="75"/>
      <c r="H74" s="44"/>
    </row>
    <row r="75" s="78" customFormat="1">
      <c r="A75" s="45" t="s">
        <v>114</v>
      </c>
      <c r="B75" s="74">
        <v>3325</v>
      </c>
      <c r="C75" s="44">
        <v>0</v>
      </c>
      <c r="D75" s="44">
        <v>0</v>
      </c>
      <c r="E75" s="44"/>
      <c r="F75" s="75" t="s">
        <v>102</v>
      </c>
      <c r="G75" s="75" t="s">
        <v>102</v>
      </c>
      <c r="H75" s="44">
        <f>C75+D75+E75</f>
        <v>0</v>
      </c>
    </row>
    <row r="76" s="78" customFormat="1">
      <c r="A76" s="45" t="s">
        <v>109</v>
      </c>
      <c r="B76" s="74">
        <v>3326</v>
      </c>
      <c r="C76" s="75"/>
      <c r="D76" s="75"/>
      <c r="E76" s="75"/>
      <c r="F76" s="75"/>
      <c r="G76" s="75">
        <v>0</v>
      </c>
      <c r="H76" s="44">
        <f>C76+D76+E76+F76+G76</f>
        <v>0</v>
      </c>
    </row>
    <row r="77" s="78" customFormat="1">
      <c r="A77" s="79" t="s">
        <v>115</v>
      </c>
      <c r="B77" s="74">
        <v>3327</v>
      </c>
      <c r="C77" s="80"/>
      <c r="D77" s="80"/>
      <c r="E77" s="80"/>
      <c r="F77" s="81"/>
      <c r="G77" s="81">
        <v>-1136768</v>
      </c>
      <c r="H77" s="44">
        <f>G77</f>
        <v>-1136768</v>
      </c>
    </row>
    <row r="78" s="78" customFormat="1">
      <c r="A78" s="79" t="s">
        <v>116</v>
      </c>
      <c r="B78" s="82">
        <v>3330</v>
      </c>
      <c r="C78" s="80"/>
      <c r="D78" s="80"/>
      <c r="E78" s="80">
        <v>-33419</v>
      </c>
      <c r="F78" s="80"/>
      <c r="G78" s="80">
        <v>33419</v>
      </c>
      <c r="H78" s="83"/>
    </row>
    <row r="79" s="78" customFormat="1">
      <c r="A79" s="79" t="s">
        <v>117</v>
      </c>
      <c r="B79" s="82">
        <v>3340</v>
      </c>
      <c r="C79" s="80"/>
      <c r="D79" s="80"/>
      <c r="E79" s="80"/>
      <c r="F79" s="80"/>
      <c r="G79" s="80"/>
      <c r="H79" s="83"/>
    </row>
    <row r="80" s="77" customFormat="1">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78" customFormat="1">
      <c r="A81" s="73" t="s">
        <v>125</v>
      </c>
      <c r="B81" s="74"/>
      <c r="C81" s="75"/>
      <c r="D81" s="75"/>
      <c r="E81" s="75"/>
      <c r="F81" s="75"/>
      <c r="G81" s="45"/>
      <c r="H81" s="44">
        <f>C81+D81+E81+F81+G81</f>
        <v>0</v>
      </c>
    </row>
    <row r="82" s="77" customFormat="1">
      <c r="A82" s="76" t="s">
        <v>101</v>
      </c>
      <c r="B82" s="71">
        <v>3310</v>
      </c>
      <c r="C82" s="54"/>
      <c r="D82" s="54"/>
      <c r="E82" s="54">
        <f>SUM(E83:E87)</f>
        <v>0</v>
      </c>
      <c r="F82" s="54" t="s">
        <v>102</v>
      </c>
      <c r="G82" s="54">
        <f>SUM(G83:G87)</f>
        <v>8058125</v>
      </c>
      <c r="H82" s="47">
        <f>C82+D82+E82+G82</f>
        <v>8058125</v>
      </c>
      <c r="K82" s="86"/>
    </row>
    <row r="83" s="78" customFormat="1">
      <c r="A83" s="45" t="s">
        <v>103</v>
      </c>
      <c r="B83" s="74">
        <v>3311</v>
      </c>
      <c r="C83" s="75" t="s">
        <v>102</v>
      </c>
      <c r="D83" s="75" t="s">
        <v>102</v>
      </c>
      <c r="E83" s="75" t="s">
        <v>102</v>
      </c>
      <c r="F83" s="75" t="s">
        <v>102</v>
      </c>
      <c r="G83" s="75">
        <v>8056307</v>
      </c>
      <c r="H83" s="44">
        <f>G83</f>
        <v>8056307</v>
      </c>
    </row>
    <row r="84" s="78" customFormat="1">
      <c r="A84" s="45" t="s">
        <v>104</v>
      </c>
      <c r="B84" s="74">
        <v>3312</v>
      </c>
      <c r="C84" s="75" t="s">
        <v>102</v>
      </c>
      <c r="D84" s="75" t="s">
        <v>102</v>
      </c>
      <c r="E84" s="75"/>
      <c r="F84" s="75" t="s">
        <v>102</v>
      </c>
      <c r="G84" s="45">
        <v>0</v>
      </c>
      <c r="H84" s="44">
        <f t="shared" ref="H84:H85" si="22">SUM(C84:G84)</f>
        <v>0</v>
      </c>
    </row>
    <row r="85" s="78" customFormat="1" ht="31.199999999999999">
      <c r="A85" s="45" t="s">
        <v>105</v>
      </c>
      <c r="B85" s="74">
        <v>3313</v>
      </c>
      <c r="C85" s="75" t="s">
        <v>102</v>
      </c>
      <c r="D85" s="75" t="s">
        <v>102</v>
      </c>
      <c r="E85" s="75"/>
      <c r="F85" s="75" t="s">
        <v>102</v>
      </c>
      <c r="G85" s="75">
        <v>1818</v>
      </c>
      <c r="H85" s="44">
        <f t="shared" si="22"/>
        <v>1818</v>
      </c>
    </row>
    <row r="86" s="78" customFormat="1">
      <c r="A86" s="45" t="s">
        <v>106</v>
      </c>
      <c r="B86" s="74">
        <v>3314</v>
      </c>
      <c r="C86" s="44"/>
      <c r="D86" s="44"/>
      <c r="E86" s="44"/>
      <c r="F86" s="75" t="s">
        <v>102</v>
      </c>
      <c r="G86" s="75" t="s">
        <v>102</v>
      </c>
      <c r="H86" s="44">
        <f>C86+D86+E86</f>
        <v>0</v>
      </c>
    </row>
    <row r="87" s="78" customFormat="1">
      <c r="A87" s="45" t="s">
        <v>109</v>
      </c>
      <c r="B87" s="74">
        <v>3315</v>
      </c>
      <c r="C87" s="75"/>
      <c r="D87" s="75"/>
      <c r="E87" s="75"/>
      <c r="F87" s="75"/>
      <c r="G87" s="75"/>
      <c r="H87" s="44">
        <f>C87+D87+E87+F87+G87</f>
        <v>0</v>
      </c>
      <c r="K87" s="87"/>
    </row>
    <row r="88" s="77" customFormat="1">
      <c r="A88" s="76" t="s">
        <v>110</v>
      </c>
      <c r="B88" s="71">
        <v>3320</v>
      </c>
      <c r="C88" s="54">
        <f>SUM(C89:C97)</f>
        <v>0</v>
      </c>
      <c r="D88" s="54">
        <f>SUM(D89:D97)</f>
        <v>-96647</v>
      </c>
      <c r="E88" s="54">
        <v>0</v>
      </c>
      <c r="F88" s="54">
        <v>0</v>
      </c>
      <c r="G88" s="54">
        <f>SUM(G89:G95)</f>
        <v>-2188598</v>
      </c>
      <c r="H88" s="47">
        <f>C88+D88+E88+G88</f>
        <v>-2285245</v>
      </c>
    </row>
    <row r="89" s="78" customFormat="1">
      <c r="A89" s="45" t="s">
        <v>111</v>
      </c>
      <c r="B89" s="74">
        <v>3321</v>
      </c>
      <c r="C89" s="75" t="s">
        <v>102</v>
      </c>
      <c r="D89" s="75" t="s">
        <v>102</v>
      </c>
      <c r="E89" s="75" t="s">
        <v>102</v>
      </c>
      <c r="F89" s="75" t="s">
        <v>102</v>
      </c>
      <c r="G89" s="75"/>
      <c r="H89" s="44">
        <f t="shared" ref="H89:H90" si="23">G89</f>
        <v>0</v>
      </c>
      <c r="J89" s="87"/>
      <c r="K89" s="87"/>
    </row>
    <row r="90" s="78" customFormat="1">
      <c r="A90" s="45" t="s">
        <v>104</v>
      </c>
      <c r="B90" s="74">
        <v>3322</v>
      </c>
      <c r="C90" s="75" t="s">
        <v>102</v>
      </c>
      <c r="D90" s="75" t="s">
        <v>102</v>
      </c>
      <c r="E90" s="75">
        <v>0</v>
      </c>
      <c r="F90" s="75" t="s">
        <v>102</v>
      </c>
      <c r="G90" s="45"/>
      <c r="H90" s="44">
        <f t="shared" si="23"/>
        <v>0</v>
      </c>
    </row>
    <row r="91" s="78" customFormat="1" ht="31.199999999999999">
      <c r="A91" s="45" t="s">
        <v>112</v>
      </c>
      <c r="B91" s="74">
        <v>3323</v>
      </c>
      <c r="C91" s="75" t="s">
        <v>102</v>
      </c>
      <c r="D91" s="75">
        <v>-96647</v>
      </c>
      <c r="E91" s="75">
        <v>0</v>
      </c>
      <c r="F91" s="75" t="s">
        <v>102</v>
      </c>
      <c r="G91" s="75">
        <v>0</v>
      </c>
      <c r="H91" s="44">
        <f>SUM(C91:G91)</f>
        <v>-96647</v>
      </c>
    </row>
    <row r="92" s="78" customFormat="1" ht="31.199999999999999">
      <c r="A92" s="45" t="s">
        <v>113</v>
      </c>
      <c r="B92" s="74">
        <v>3324</v>
      </c>
      <c r="C92" s="75"/>
      <c r="D92" s="75"/>
      <c r="E92" s="75"/>
      <c r="F92" s="75"/>
      <c r="G92" s="75"/>
      <c r="H92" s="44"/>
    </row>
    <row r="93" s="78" customFormat="1">
      <c r="A93" s="45" t="s">
        <v>114</v>
      </c>
      <c r="B93" s="74">
        <v>3325</v>
      </c>
      <c r="C93" s="44">
        <v>0</v>
      </c>
      <c r="D93" s="44">
        <v>0</v>
      </c>
      <c r="E93" s="44"/>
      <c r="F93" s="75" t="s">
        <v>102</v>
      </c>
      <c r="G93" s="75" t="s">
        <v>102</v>
      </c>
      <c r="H93" s="44">
        <f>C93+D93+E93</f>
        <v>0</v>
      </c>
    </row>
    <row r="94" s="78" customFormat="1">
      <c r="A94" s="45" t="s">
        <v>109</v>
      </c>
      <c r="B94" s="74">
        <v>3326</v>
      </c>
      <c r="C94" s="75"/>
      <c r="D94" s="75"/>
      <c r="E94" s="75"/>
      <c r="F94" s="75"/>
      <c r="G94" s="75">
        <v>0</v>
      </c>
      <c r="H94" s="44">
        <f>C94+D94+E94+F94+G94</f>
        <v>0</v>
      </c>
    </row>
    <row r="95" s="78" customFormat="1">
      <c r="A95" s="79" t="s">
        <v>115</v>
      </c>
      <c r="B95" s="74">
        <v>3327</v>
      </c>
      <c r="C95" s="80"/>
      <c r="D95" s="80"/>
      <c r="E95" s="80"/>
      <c r="F95" s="81"/>
      <c r="G95" s="81">
        <v>-2188598</v>
      </c>
      <c r="H95" s="44">
        <f>G95</f>
        <v>-2188598</v>
      </c>
    </row>
    <row r="96" s="78" customFormat="1">
      <c r="A96" s="79" t="s">
        <v>116</v>
      </c>
      <c r="B96" s="82">
        <v>3330</v>
      </c>
      <c r="C96" s="80"/>
      <c r="D96" s="80"/>
      <c r="E96" s="80">
        <v>-64105</v>
      </c>
      <c r="F96" s="80"/>
      <c r="G96" s="80">
        <v>64105</v>
      </c>
      <c r="H96" s="83"/>
    </row>
    <row r="97" s="78" customFormat="1">
      <c r="A97" s="79" t="s">
        <v>117</v>
      </c>
      <c r="B97" s="82">
        <v>3340</v>
      </c>
      <c r="C97" s="80"/>
      <c r="D97" s="80"/>
      <c r="E97" s="80"/>
      <c r="F97" s="80"/>
      <c r="G97" s="80"/>
      <c r="H97" s="83"/>
    </row>
    <row r="98" s="77" customFormat="1">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78" customFormat="1">
      <c r="A99" s="73" t="s">
        <v>127</v>
      </c>
      <c r="B99" s="74"/>
      <c r="C99" s="75"/>
      <c r="D99" s="75"/>
      <c r="E99" s="75"/>
      <c r="F99" s="75"/>
      <c r="G99" s="45"/>
      <c r="H99" s="44">
        <f>C99+D99+E99+F99+G99</f>
        <v>0</v>
      </c>
    </row>
    <row r="100" s="77" customFormat="1">
      <c r="A100" s="76" t="s">
        <v>101</v>
      </c>
      <c r="B100" s="71">
        <v>3310</v>
      </c>
      <c r="C100" s="54"/>
      <c r="D100" s="54">
        <f>SUM(D101:D105)</f>
        <v>96647</v>
      </c>
      <c r="E100" s="54">
        <f>SUM(E101:E105)</f>
        <v>0</v>
      </c>
      <c r="F100" s="54" t="s">
        <v>102</v>
      </c>
      <c r="G100" s="54">
        <f>SUM(G101:G105)</f>
        <v>4746828</v>
      </c>
      <c r="H100" s="47">
        <f>C100+D100+E100+G100</f>
        <v>4843475</v>
      </c>
      <c r="K100" s="86"/>
    </row>
    <row r="101" s="78" customFormat="1">
      <c r="A101" s="45" t="s">
        <v>103</v>
      </c>
      <c r="B101" s="74">
        <v>3311</v>
      </c>
      <c r="C101" s="75" t="s">
        <v>102</v>
      </c>
      <c r="D101" s="75" t="s">
        <v>102</v>
      </c>
      <c r="E101" s="75" t="s">
        <v>102</v>
      </c>
      <c r="F101" s="75" t="s">
        <v>102</v>
      </c>
      <c r="G101" s="75">
        <v>4745980</v>
      </c>
      <c r="H101" s="44">
        <f>G101</f>
        <v>4745980</v>
      </c>
    </row>
    <row r="102" s="78" customFormat="1">
      <c r="A102" s="45" t="s">
        <v>104</v>
      </c>
      <c r="B102" s="74">
        <v>3312</v>
      </c>
      <c r="C102" s="75" t="s">
        <v>102</v>
      </c>
      <c r="D102" s="75" t="s">
        <v>102</v>
      </c>
      <c r="E102" s="75"/>
      <c r="F102" s="75" t="s">
        <v>102</v>
      </c>
      <c r="G102" s="45">
        <v>0</v>
      </c>
      <c r="H102" s="44">
        <f t="shared" ref="H102:H103" si="24">SUM(C102:G102)</f>
        <v>0</v>
      </c>
    </row>
    <row r="103" s="78" customFormat="1" ht="31.199999999999999">
      <c r="A103" s="45" t="s">
        <v>105</v>
      </c>
      <c r="B103" s="74">
        <v>3313</v>
      </c>
      <c r="C103" s="75" t="s">
        <v>102</v>
      </c>
      <c r="D103" s="75">
        <v>96647</v>
      </c>
      <c r="E103" s="75"/>
      <c r="F103" s="75" t="s">
        <v>102</v>
      </c>
      <c r="G103" s="75">
        <v>848</v>
      </c>
      <c r="H103" s="44">
        <f t="shared" si="24"/>
        <v>97495</v>
      </c>
    </row>
    <row r="104" s="78" customFormat="1">
      <c r="A104" s="45" t="s">
        <v>106</v>
      </c>
      <c r="B104" s="74">
        <v>3314</v>
      </c>
      <c r="C104" s="44"/>
      <c r="D104" s="44"/>
      <c r="E104" s="44"/>
      <c r="F104" s="75" t="s">
        <v>102</v>
      </c>
      <c r="G104" s="75" t="s">
        <v>102</v>
      </c>
      <c r="H104" s="44">
        <f>C104+D104+E104</f>
        <v>0</v>
      </c>
    </row>
    <row r="105" s="78" customFormat="1">
      <c r="A105" s="45" t="s">
        <v>109</v>
      </c>
      <c r="B105" s="74">
        <v>3315</v>
      </c>
      <c r="C105" s="75"/>
      <c r="D105" s="75"/>
      <c r="E105" s="75"/>
      <c r="F105" s="75"/>
      <c r="G105" s="75"/>
      <c r="H105" s="44">
        <f>C105+D105+E105+F105+G105</f>
        <v>0</v>
      </c>
      <c r="K105" s="87"/>
    </row>
    <row r="106" s="77" customFormat="1">
      <c r="A106" s="76" t="s">
        <v>110</v>
      </c>
      <c r="B106" s="71">
        <v>3320</v>
      </c>
      <c r="C106" s="54">
        <f>SUM(C107:C115)</f>
        <v>0</v>
      </c>
      <c r="D106" s="54">
        <f>SUM(D107:D115)</f>
        <v>0</v>
      </c>
      <c r="E106" s="54">
        <v>0</v>
      </c>
      <c r="F106" s="54">
        <v>0</v>
      </c>
      <c r="G106" s="54">
        <f>SUM(G107:G113)</f>
        <v>-6128075</v>
      </c>
      <c r="H106" s="47">
        <f>C106+D106+E106+G106</f>
        <v>-6128075</v>
      </c>
    </row>
    <row r="107" s="78" customFormat="1">
      <c r="A107" s="45" t="s">
        <v>111</v>
      </c>
      <c r="B107" s="74">
        <v>3321</v>
      </c>
      <c r="C107" s="75" t="s">
        <v>102</v>
      </c>
      <c r="D107" s="75" t="s">
        <v>102</v>
      </c>
      <c r="E107" s="75" t="s">
        <v>102</v>
      </c>
      <c r="F107" s="75" t="s">
        <v>102</v>
      </c>
      <c r="G107" s="75"/>
      <c r="H107" s="44">
        <f t="shared" ref="H107:H108" si="25">G107</f>
        <v>0</v>
      </c>
      <c r="J107" s="87"/>
      <c r="K107" s="87"/>
    </row>
    <row r="108" s="78" customFormat="1">
      <c r="A108" s="45" t="s">
        <v>104</v>
      </c>
      <c r="B108" s="74">
        <v>3322</v>
      </c>
      <c r="C108" s="75" t="s">
        <v>102</v>
      </c>
      <c r="D108" s="75" t="s">
        <v>102</v>
      </c>
      <c r="E108" s="75">
        <v>0</v>
      </c>
      <c r="F108" s="75" t="s">
        <v>102</v>
      </c>
      <c r="G108" s="45"/>
      <c r="H108" s="44">
        <f t="shared" si="25"/>
        <v>0</v>
      </c>
    </row>
    <row r="109" s="78" customFormat="1" ht="31.199999999999999">
      <c r="A109" s="45" t="s">
        <v>112</v>
      </c>
      <c r="B109" s="74">
        <v>3323</v>
      </c>
      <c r="C109" s="75" t="s">
        <v>102</v>
      </c>
      <c r="D109" s="75" t="s">
        <v>102</v>
      </c>
      <c r="E109" s="75"/>
      <c r="F109" s="75" t="s">
        <v>102</v>
      </c>
      <c r="G109" s="75">
        <v>0</v>
      </c>
      <c r="H109" s="44">
        <f>SUM(C109:G109)</f>
        <v>0</v>
      </c>
    </row>
    <row r="110" s="78" customFormat="1" ht="31.199999999999999">
      <c r="A110" s="45" t="s">
        <v>113</v>
      </c>
      <c r="B110" s="74">
        <v>3324</v>
      </c>
      <c r="C110" s="75"/>
      <c r="D110" s="75"/>
      <c r="E110" s="75"/>
      <c r="F110" s="75"/>
      <c r="G110" s="75"/>
      <c r="H110" s="44"/>
    </row>
    <row r="111" s="78" customFormat="1">
      <c r="A111" s="45" t="s">
        <v>114</v>
      </c>
      <c r="B111" s="74">
        <v>3325</v>
      </c>
      <c r="C111" s="44">
        <v>0</v>
      </c>
      <c r="D111" s="44">
        <v>0</v>
      </c>
      <c r="E111" s="44"/>
      <c r="F111" s="75" t="s">
        <v>102</v>
      </c>
      <c r="G111" s="75" t="s">
        <v>102</v>
      </c>
      <c r="H111" s="44">
        <f>C111+D111+E111</f>
        <v>0</v>
      </c>
    </row>
    <row r="112" s="78" customFormat="1">
      <c r="A112" s="45" t="s">
        <v>109</v>
      </c>
      <c r="B112" s="74">
        <v>3326</v>
      </c>
      <c r="C112" s="75"/>
      <c r="D112" s="75"/>
      <c r="E112" s="75"/>
      <c r="F112" s="75"/>
      <c r="G112" s="75">
        <v>0</v>
      </c>
      <c r="H112" s="44">
        <f>C112+D112+E112+F112+G112</f>
        <v>0</v>
      </c>
    </row>
    <row r="113" s="78" customFormat="1">
      <c r="A113" s="79" t="s">
        <v>115</v>
      </c>
      <c r="B113" s="74">
        <v>3327</v>
      </c>
      <c r="C113" s="80"/>
      <c r="D113" s="80"/>
      <c r="E113" s="80"/>
      <c r="F113" s="81"/>
      <c r="G113" s="81">
        <v>-6128075</v>
      </c>
      <c r="H113" s="44">
        <f>G113</f>
        <v>-6128075</v>
      </c>
    </row>
    <row r="114" s="78" customFormat="1">
      <c r="A114" s="79" t="s">
        <v>116</v>
      </c>
      <c r="B114" s="82">
        <v>3330</v>
      </c>
      <c r="C114" s="80"/>
      <c r="D114" s="80"/>
      <c r="E114" s="80">
        <v>-1826</v>
      </c>
      <c r="F114" s="80"/>
      <c r="G114" s="80">
        <v>1826</v>
      </c>
      <c r="H114" s="83"/>
    </row>
    <row r="115" s="78" customFormat="1">
      <c r="A115" s="79" t="s">
        <v>117</v>
      </c>
      <c r="B115" s="82">
        <v>3340</v>
      </c>
      <c r="C115" s="80"/>
      <c r="D115" s="80"/>
      <c r="E115" s="80"/>
      <c r="F115" s="80"/>
      <c r="G115" s="80"/>
      <c r="H115" s="83"/>
    </row>
    <row r="116" s="77" customFormat="1">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78" customFormat="1">
      <c r="A117" s="73" t="s">
        <v>129</v>
      </c>
      <c r="B117" s="74"/>
      <c r="C117" s="75"/>
      <c r="D117" s="75"/>
      <c r="E117" s="75"/>
      <c r="F117" s="75"/>
      <c r="G117" s="45"/>
      <c r="H117" s="44">
        <f>C117+D117+E117+F117+G117</f>
        <v>0</v>
      </c>
    </row>
    <row r="118" s="77" customFormat="1">
      <c r="A118" s="76" t="s">
        <v>101</v>
      </c>
      <c r="B118" s="71">
        <v>3310</v>
      </c>
      <c r="C118" s="54"/>
      <c r="D118" s="54"/>
      <c r="E118" s="54">
        <f>SUM(E119:E123)</f>
        <v>0</v>
      </c>
      <c r="F118" s="54" t="s">
        <v>102</v>
      </c>
      <c r="G118" s="54">
        <f>SUM(G119:G123)</f>
        <v>3691682</v>
      </c>
      <c r="H118" s="47">
        <f>C118+D118+E118+G118</f>
        <v>3691682</v>
      </c>
      <c r="K118" s="86"/>
    </row>
    <row r="119" s="78" customFormat="1">
      <c r="A119" s="45" t="s">
        <v>103</v>
      </c>
      <c r="B119" s="74">
        <v>3311</v>
      </c>
      <c r="C119" s="75" t="s">
        <v>102</v>
      </c>
      <c r="D119" s="75" t="s">
        <v>102</v>
      </c>
      <c r="E119" s="75" t="s">
        <v>102</v>
      </c>
      <c r="F119" s="75" t="s">
        <v>102</v>
      </c>
      <c r="G119" s="75">
        <v>3687983</v>
      </c>
      <c r="H119" s="44">
        <f>G119</f>
        <v>3687983</v>
      </c>
    </row>
    <row r="120" s="78" customFormat="1">
      <c r="A120" s="45" t="s">
        <v>104</v>
      </c>
      <c r="B120" s="74">
        <v>3312</v>
      </c>
      <c r="C120" s="75" t="s">
        <v>102</v>
      </c>
      <c r="D120" s="75" t="s">
        <v>102</v>
      </c>
      <c r="E120" s="75"/>
      <c r="F120" s="75" t="s">
        <v>102</v>
      </c>
      <c r="G120" s="45">
        <v>0</v>
      </c>
      <c r="H120" s="44">
        <f t="shared" ref="H120:H121" si="26">SUM(C120:G120)</f>
        <v>0</v>
      </c>
    </row>
    <row r="121" s="78" customFormat="1" ht="31.199999999999999">
      <c r="A121" s="45" t="s">
        <v>105</v>
      </c>
      <c r="B121" s="74">
        <v>3313</v>
      </c>
      <c r="C121" s="75" t="s">
        <v>102</v>
      </c>
      <c r="D121" s="75" t="s">
        <v>102</v>
      </c>
      <c r="E121" s="75"/>
      <c r="F121" s="75" t="s">
        <v>102</v>
      </c>
      <c r="G121" s="75">
        <v>3699</v>
      </c>
      <c r="H121" s="44">
        <f t="shared" si="26"/>
        <v>3699</v>
      </c>
    </row>
    <row r="122" s="78" customFormat="1">
      <c r="A122" s="45" t="s">
        <v>106</v>
      </c>
      <c r="B122" s="74">
        <v>3314</v>
      </c>
      <c r="C122" s="44"/>
      <c r="D122" s="44"/>
      <c r="E122" s="44"/>
      <c r="F122" s="75" t="s">
        <v>102</v>
      </c>
      <c r="G122" s="75" t="s">
        <v>102</v>
      </c>
      <c r="H122" s="44">
        <f>C122+D122+E122</f>
        <v>0</v>
      </c>
    </row>
    <row r="123" s="78" customFormat="1">
      <c r="A123" s="45" t="s">
        <v>109</v>
      </c>
      <c r="B123" s="74">
        <v>3315</v>
      </c>
      <c r="C123" s="75"/>
      <c r="D123" s="75"/>
      <c r="E123" s="75"/>
      <c r="F123" s="75"/>
      <c r="G123" s="75"/>
      <c r="H123" s="44">
        <f>C123+D123+E123+F123+G123</f>
        <v>0</v>
      </c>
      <c r="K123" s="87"/>
    </row>
    <row r="124" s="77" customFormat="1">
      <c r="A124" s="76" t="s">
        <v>110</v>
      </c>
      <c r="B124" s="71">
        <v>3320</v>
      </c>
      <c r="C124" s="54">
        <f>SUM(C125:C133)</f>
        <v>0</v>
      </c>
      <c r="D124" s="54">
        <f>SUM(D125:D133)</f>
        <v>0</v>
      </c>
      <c r="E124" s="54">
        <v>0</v>
      </c>
      <c r="F124" s="54">
        <v>0</v>
      </c>
      <c r="G124" s="54">
        <f>SUM(G125:G131)</f>
        <v>-9017024</v>
      </c>
      <c r="H124" s="47">
        <f>C124+D124+E124+G124</f>
        <v>-9017024</v>
      </c>
    </row>
    <row r="125" s="78" customFormat="1">
      <c r="A125" s="45" t="s">
        <v>111</v>
      </c>
      <c r="B125" s="74">
        <v>3321</v>
      </c>
      <c r="C125" s="75" t="s">
        <v>102</v>
      </c>
      <c r="D125" s="75" t="s">
        <v>102</v>
      </c>
      <c r="E125" s="75" t="s">
        <v>102</v>
      </c>
      <c r="F125" s="75" t="s">
        <v>102</v>
      </c>
      <c r="G125" s="75"/>
      <c r="H125" s="44">
        <f t="shared" ref="H125:H126" si="27">G125</f>
        <v>0</v>
      </c>
      <c r="J125" s="87"/>
      <c r="K125" s="87"/>
    </row>
    <row r="126" s="78" customFormat="1">
      <c r="A126" s="45" t="s">
        <v>104</v>
      </c>
      <c r="B126" s="74">
        <v>3322</v>
      </c>
      <c r="C126" s="75" t="s">
        <v>102</v>
      </c>
      <c r="D126" s="75" t="s">
        <v>102</v>
      </c>
      <c r="E126" s="75">
        <v>0</v>
      </c>
      <c r="F126" s="75" t="s">
        <v>102</v>
      </c>
      <c r="G126" s="45"/>
      <c r="H126" s="44">
        <f t="shared" si="27"/>
        <v>0</v>
      </c>
    </row>
    <row r="127" s="78" customFormat="1" ht="31.199999999999999">
      <c r="A127" s="45" t="s">
        <v>112</v>
      </c>
      <c r="B127" s="74">
        <v>3323</v>
      </c>
      <c r="C127" s="75" t="s">
        <v>102</v>
      </c>
      <c r="D127" s="75" t="s">
        <v>102</v>
      </c>
      <c r="E127" s="75"/>
      <c r="F127" s="75" t="s">
        <v>102</v>
      </c>
      <c r="G127" s="75">
        <v>0</v>
      </c>
      <c r="H127" s="44">
        <f>SUM(C127:G127)</f>
        <v>0</v>
      </c>
    </row>
    <row r="128" s="78" customFormat="1" ht="31.199999999999999">
      <c r="A128" s="45" t="s">
        <v>113</v>
      </c>
      <c r="B128" s="74">
        <v>3324</v>
      </c>
      <c r="C128" s="75"/>
      <c r="D128" s="75"/>
      <c r="E128" s="75"/>
      <c r="F128" s="75"/>
      <c r="G128" s="75"/>
      <c r="H128" s="44"/>
    </row>
    <row r="129" s="78" customFormat="1">
      <c r="A129" s="45" t="s">
        <v>114</v>
      </c>
      <c r="B129" s="74">
        <v>3325</v>
      </c>
      <c r="C129" s="44">
        <v>0</v>
      </c>
      <c r="D129" s="44">
        <v>0</v>
      </c>
      <c r="E129" s="44"/>
      <c r="F129" s="75" t="s">
        <v>102</v>
      </c>
      <c r="G129" s="75" t="s">
        <v>102</v>
      </c>
      <c r="H129" s="44">
        <f>C129+D129+E129</f>
        <v>0</v>
      </c>
    </row>
    <row r="130" s="78" customFormat="1">
      <c r="A130" s="45" t="s">
        <v>109</v>
      </c>
      <c r="B130" s="74">
        <v>3326</v>
      </c>
      <c r="C130" s="75"/>
      <c r="D130" s="75"/>
      <c r="E130" s="75"/>
      <c r="F130" s="75"/>
      <c r="G130" s="75">
        <v>0</v>
      </c>
      <c r="H130" s="44">
        <f>C130+D130+E130+F130+G130</f>
        <v>0</v>
      </c>
    </row>
    <row r="131" s="78" customFormat="1">
      <c r="A131" s="79" t="s">
        <v>115</v>
      </c>
      <c r="B131" s="74">
        <v>3327</v>
      </c>
      <c r="C131" s="80"/>
      <c r="D131" s="80"/>
      <c r="E131" s="80"/>
      <c r="F131" s="81"/>
      <c r="G131" s="81">
        <v>-9017024</v>
      </c>
      <c r="H131" s="44">
        <f>G131</f>
        <v>-9017024</v>
      </c>
    </row>
    <row r="132" s="78" customFormat="1">
      <c r="A132" s="79" t="s">
        <v>116</v>
      </c>
      <c r="B132" s="82">
        <v>3330</v>
      </c>
      <c r="C132" s="80"/>
      <c r="D132" s="80"/>
      <c r="E132" s="80">
        <v>-1591</v>
      </c>
      <c r="F132" s="80"/>
      <c r="G132" s="80">
        <v>1591</v>
      </c>
      <c r="H132" s="75" t="s">
        <v>102</v>
      </c>
    </row>
    <row r="133" s="78" customFormat="1">
      <c r="A133" s="79" t="s">
        <v>117</v>
      </c>
      <c r="B133" s="82">
        <v>3340</v>
      </c>
      <c r="C133" s="80"/>
      <c r="D133" s="80"/>
      <c r="E133" s="80"/>
      <c r="F133" s="80"/>
      <c r="G133" s="80"/>
      <c r="H133" s="75" t="s">
        <v>102</v>
      </c>
    </row>
    <row r="134" s="77" customFormat="1">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77" customFormat="1">
      <c r="B135" s="89"/>
      <c r="C135" s="90"/>
      <c r="D135" s="90"/>
      <c r="E135" s="90"/>
      <c r="F135" s="90"/>
      <c r="G135" s="90"/>
      <c r="H135" s="90"/>
    </row>
    <row r="136" s="77" customFormat="1">
      <c r="B136" s="89"/>
      <c r="C136" s="90"/>
      <c r="D136" s="90"/>
      <c r="E136" s="90"/>
      <c r="F136" s="90"/>
      <c r="G136" s="90"/>
      <c r="H136" s="90"/>
    </row>
    <row r="137" s="77" customFormat="1">
      <c r="B137" s="89"/>
      <c r="C137" s="90"/>
      <c r="D137" s="90"/>
      <c r="E137" s="90"/>
      <c r="F137" s="90"/>
      <c r="G137" s="90"/>
      <c r="H137" s="90"/>
    </row>
    <row r="138" s="78" customFormat="1">
      <c r="B138" s="91"/>
      <c r="C138" s="92"/>
      <c r="D138" s="92"/>
      <c r="E138" s="92"/>
      <c r="F138" s="92"/>
      <c r="G138" s="92"/>
      <c r="H138" s="93"/>
    </row>
    <row r="141" ht="31.199999999999999">
      <c r="A141" s="50" t="s">
        <v>57</v>
      </c>
      <c r="B141" s="94" t="s">
        <v>7</v>
      </c>
      <c r="C141" s="94" t="str">
        <f>'1'!C5</f>
        <v xml:space="preserve">на 31 декабря 2019 года</v>
      </c>
      <c r="D141" s="94" t="str">
        <f>'1'!D5</f>
        <v xml:space="preserve">на 31 декабря 2018 года</v>
      </c>
      <c r="E141" s="94" t="str">
        <f>'1'!E5</f>
        <v xml:space="preserve">на 31 декабря 2017 года</v>
      </c>
      <c r="F141" s="94" t="str">
        <f>'1'!F5</f>
        <v xml:space="preserve">на 31 декабря 2016 года</v>
      </c>
      <c r="G141" s="94" t="str">
        <f>'1'!G5</f>
        <v xml:space="preserve">на 31 декабря 2015 года</v>
      </c>
      <c r="H141" s="94" t="str">
        <f>'1'!H5</f>
        <v xml:space="preserve">на 31 декабря 2014 года</v>
      </c>
      <c r="I141" s="94" t="str">
        <f>'1'!I5</f>
        <v xml:space="preserve">на 31 декабря 2013 года</v>
      </c>
      <c r="J141" s="94" t="str">
        <f>'1'!J5</f>
        <v xml:space="preserve">на 31 декабря 2012 года</v>
      </c>
    </row>
    <row r="142">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rintOptions headings="0" gridLines="0"/>
  <pageMargins left="0.75" right="0.75" top="0.52999999999999992" bottom="1" header="0.5" footer="0.5"/>
  <pageSetup paperSize="9" scale="50" fitToWidth="1" fitToHeight="1" pageOrder="downThenOver" orientation="portrait" usePrinterDefaults="1" blackAndWhite="0" draft="0" cellComments="none" useFirstPageNumber="0" errors="displayed" horizontalDpi="4294967293"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6">
    <tabColor indexed="45"/>
    <outlinePr applyStyles="0" summaryBelow="1" summaryRight="1" showOutlineSymbols="1"/>
    <pageSetUpPr autoPageBreaks="1" fitToPage="1"/>
  </sheetPr>
  <sheetViews>
    <sheetView zoomScale="75" workbookViewId="0">
      <pane xSplit="1" topLeftCell="B1" activePane="topRight" state="frozen"/>
      <selection activeCell="A1" activeCellId="0" sqref="A1"/>
    </sheetView>
  </sheetViews>
  <sheetFormatPr defaultColWidth="9.109375" defaultRowHeight="15.6"/>
  <cols>
    <col customWidth="1" min="1" max="1" style="64" width="44.6640625"/>
    <col bestFit="1" customWidth="1" min="2" max="2" style="64" width="9.44140625"/>
    <col customWidth="1" min="3" max="4" style="64" width="22.88671875"/>
    <col customWidth="1" min="5" max="5" style="32" width="22.88671875"/>
    <col customWidth="1" min="6" max="9" style="64" width="22.88671875"/>
    <col min="10" max="16384" style="64" width="9.109375"/>
  </cols>
  <sheetData>
    <row r="1">
      <c r="A1" s="64" t="s">
        <v>0</v>
      </c>
    </row>
    <row r="2">
      <c r="A2" s="6" t="str">
        <f>'1'!A2</f>
        <v xml:space="preserve">ПАО "ДОРОГОБУЖ" </v>
      </c>
      <c r="B2" s="7"/>
      <c r="C2" s="31"/>
      <c r="D2" s="33"/>
    </row>
    <row r="3">
      <c r="A3" s="66" t="s">
        <v>132</v>
      </c>
      <c r="B3" s="64" t="str">
        <f>'1'!B3</f>
        <v xml:space="preserve">2013-2019 годы </v>
      </c>
    </row>
    <row r="4" ht="16.199999999999999">
      <c r="A4" s="6" t="s">
        <v>4</v>
      </c>
      <c r="B4" s="8" t="s">
        <v>5</v>
      </c>
    </row>
    <row r="5" s="31" customFormat="1" ht="31.199999999999999">
      <c r="A5" s="46" t="s">
        <v>57</v>
      </c>
      <c r="B5" s="71" t="s">
        <v>58</v>
      </c>
      <c r="C5" s="54" t="str">
        <f>'2'!C5</f>
        <v xml:space="preserve">за январь-декабрь 2019 года</v>
      </c>
      <c r="D5" s="54" t="str">
        <f>'2'!D5</f>
        <v xml:space="preserve">за январь-декабрь 2018 года</v>
      </c>
      <c r="E5" s="54" t="str">
        <f>'2'!E5</f>
        <v xml:space="preserve">за январь-декабрь 2017 года</v>
      </c>
      <c r="F5" s="54" t="str">
        <f>'2'!F5</f>
        <v xml:space="preserve">за январь-декабрь 2016 года</v>
      </c>
      <c r="G5" s="54" t="str">
        <f>'2'!G5</f>
        <v xml:space="preserve">за январь-декабрь 2015 года</v>
      </c>
      <c r="H5" s="54" t="str">
        <f>'2'!H5</f>
        <v xml:space="preserve">за январь-декабрь 2014 года</v>
      </c>
      <c r="I5" s="54" t="str">
        <f>'2'!I5</f>
        <v xml:space="preserve">за январь-декабрь 2013 года</v>
      </c>
    </row>
    <row r="6" s="66" customFormat="1" ht="31.199999999999999">
      <c r="A6" s="96" t="s">
        <v>133</v>
      </c>
      <c r="B6" s="54"/>
      <c r="C6" s="54"/>
      <c r="D6" s="54"/>
      <c r="E6" s="54"/>
      <c r="F6" s="54"/>
      <c r="G6" s="54"/>
      <c r="H6" s="54"/>
      <c r="I6" s="54"/>
    </row>
    <row r="7" s="66" customFormat="1">
      <c r="A7" s="96" t="s">
        <v>134</v>
      </c>
      <c r="B7" s="54">
        <v>4110</v>
      </c>
      <c r="C7" s="54">
        <f t="shared" ref="C7:I7" si="28">SUM(C8:C12)</f>
        <v>29272727</v>
      </c>
      <c r="D7" s="54">
        <f t="shared" si="28"/>
        <v>29669046</v>
      </c>
      <c r="E7" s="54">
        <f t="shared" si="28"/>
        <v>26374758</v>
      </c>
      <c r="F7" s="54">
        <f t="shared" si="28"/>
        <v>27814767</v>
      </c>
      <c r="G7" s="54">
        <f t="shared" si="28"/>
        <v>31030098</v>
      </c>
      <c r="H7" s="54">
        <f t="shared" si="28"/>
        <v>18540838</v>
      </c>
      <c r="I7" s="54">
        <f t="shared" si="28"/>
        <v>21608846</v>
      </c>
    </row>
    <row r="8" ht="31.199999999999999">
      <c r="A8" s="83" t="s">
        <v>135</v>
      </c>
      <c r="B8" s="75">
        <v>4111</v>
      </c>
      <c r="C8" s="74">
        <v>27802945</v>
      </c>
      <c r="D8" s="74">
        <v>28638723</v>
      </c>
      <c r="E8" s="74">
        <v>24610781</v>
      </c>
      <c r="F8" s="74">
        <v>27005425</v>
      </c>
      <c r="G8" s="74">
        <v>28882651</v>
      </c>
      <c r="H8" s="74">
        <v>16153047</v>
      </c>
      <c r="I8" s="74">
        <v>19872625</v>
      </c>
      <c r="J8" s="97"/>
    </row>
    <row r="9" ht="46.799999999999997">
      <c r="A9" s="83" t="s">
        <v>136</v>
      </c>
      <c r="B9" s="75">
        <v>4112</v>
      </c>
      <c r="C9" s="74">
        <v>28051</v>
      </c>
      <c r="D9" s="74">
        <v>65112</v>
      </c>
      <c r="E9" s="74">
        <v>49396</v>
      </c>
      <c r="F9" s="74">
        <v>76165</v>
      </c>
      <c r="G9" s="74">
        <v>360</v>
      </c>
      <c r="H9" s="74">
        <v>44</v>
      </c>
      <c r="I9" s="74">
        <v>0</v>
      </c>
      <c r="J9" s="97"/>
    </row>
    <row r="10">
      <c r="A10" s="83"/>
      <c r="B10" s="75">
        <v>4113</v>
      </c>
      <c r="C10" s="75"/>
      <c r="D10" s="75"/>
      <c r="E10" s="75"/>
      <c r="F10" s="75"/>
      <c r="G10" s="75"/>
      <c r="H10" s="75"/>
      <c r="I10" s="75"/>
      <c r="J10" s="97"/>
    </row>
    <row r="11">
      <c r="A11" s="83"/>
      <c r="B11" s="75">
        <v>4114</v>
      </c>
      <c r="C11" s="75"/>
      <c r="D11" s="75"/>
      <c r="E11" s="75"/>
      <c r="F11" s="75"/>
      <c r="G11" s="75"/>
      <c r="H11" s="75"/>
      <c r="I11" s="75"/>
      <c r="J11" s="97"/>
    </row>
    <row r="12">
      <c r="A12" s="83" t="s">
        <v>137</v>
      </c>
      <c r="B12" s="75">
        <v>4119</v>
      </c>
      <c r="C12" s="74">
        <v>1441731</v>
      </c>
      <c r="D12" s="74">
        <v>965211</v>
      </c>
      <c r="E12" s="74">
        <v>1714581</v>
      </c>
      <c r="F12" s="74">
        <v>733177</v>
      </c>
      <c r="G12" s="74">
        <v>2147087</v>
      </c>
      <c r="H12" s="74">
        <v>2387747</v>
      </c>
      <c r="I12" s="74">
        <v>1736221</v>
      </c>
      <c r="J12" s="97"/>
    </row>
    <row r="13" s="66" customFormat="1">
      <c r="A13" s="96" t="s">
        <v>138</v>
      </c>
      <c r="B13" s="54">
        <v>4120</v>
      </c>
      <c r="C13" s="54">
        <f t="shared" ref="C13:I13" si="29">SUM(C14:C19)</f>
        <v>-23967215</v>
      </c>
      <c r="D13" s="54">
        <f t="shared" si="29"/>
        <v>-24956845</v>
      </c>
      <c r="E13" s="54">
        <f t="shared" si="29"/>
        <v>-22681861</v>
      </c>
      <c r="F13" s="54">
        <f t="shared" si="29"/>
        <v>-23308172</v>
      </c>
      <c r="G13" s="54">
        <f t="shared" si="29"/>
        <v>-21032022</v>
      </c>
      <c r="H13" s="54">
        <f t="shared" si="29"/>
        <v>-16629115</v>
      </c>
      <c r="I13" s="54">
        <f t="shared" si="29"/>
        <v>-16622008</v>
      </c>
    </row>
    <row r="14">
      <c r="A14" s="83" t="s">
        <v>139</v>
      </c>
      <c r="B14" s="75">
        <v>4121</v>
      </c>
      <c r="C14" s="74">
        <v>-19200628</v>
      </c>
      <c r="D14" s="74">
        <v>-19307188</v>
      </c>
      <c r="E14" s="74">
        <v>-17471589</v>
      </c>
      <c r="F14" s="74">
        <v>-16815290</v>
      </c>
      <c r="G14" s="74">
        <v>-15157150</v>
      </c>
      <c r="H14" s="74">
        <v>-12191219</v>
      </c>
      <c r="I14" s="74">
        <v>-12742470</v>
      </c>
    </row>
    <row r="15">
      <c r="A15" s="83" t="s">
        <v>140</v>
      </c>
      <c r="B15" s="75">
        <v>4122</v>
      </c>
      <c r="C15" s="74">
        <v>-3038380</v>
      </c>
      <c r="D15" s="74">
        <v>-2780007</v>
      </c>
      <c r="E15" s="74">
        <v>-2605539</v>
      </c>
      <c r="F15" s="74">
        <v>-2836303</v>
      </c>
      <c r="G15" s="74">
        <v>-1708937</v>
      </c>
      <c r="H15" s="74">
        <v>-1315387</v>
      </c>
      <c r="I15" s="74">
        <v>-1164412</v>
      </c>
    </row>
    <row r="16" ht="31.199999999999999">
      <c r="A16" s="83" t="s">
        <v>141</v>
      </c>
      <c r="B16" s="75">
        <v>4123</v>
      </c>
      <c r="C16" s="74">
        <v>0</v>
      </c>
      <c r="D16" s="74">
        <v>-47324</v>
      </c>
      <c r="E16" s="74">
        <v>-347984</v>
      </c>
      <c r="F16" s="74">
        <v>-757824</v>
      </c>
      <c r="G16" s="74">
        <v>-887570</v>
      </c>
      <c r="H16" s="74">
        <v>-443832</v>
      </c>
      <c r="I16" s="74">
        <v>-420212</v>
      </c>
    </row>
    <row r="17">
      <c r="A17" s="83" t="s">
        <v>142</v>
      </c>
      <c r="B17" s="75">
        <v>4124</v>
      </c>
      <c r="C17" s="74">
        <v>-1204253</v>
      </c>
      <c r="D17" s="74">
        <v>-2152383</v>
      </c>
      <c r="E17" s="74">
        <v>-1945566</v>
      </c>
      <c r="F17" s="74">
        <v>-1933528</v>
      </c>
      <c r="G17" s="74">
        <v>-1576844</v>
      </c>
      <c r="H17" s="74">
        <v>-753463</v>
      </c>
      <c r="I17" s="74">
        <v>-1127412</v>
      </c>
    </row>
    <row r="18">
      <c r="A18" s="83"/>
      <c r="B18" s="75">
        <v>4125</v>
      </c>
      <c r="C18" s="98"/>
      <c r="D18" s="98"/>
      <c r="E18" s="98"/>
      <c r="F18" s="98"/>
      <c r="G18" s="98"/>
      <c r="H18" s="98"/>
      <c r="I18" s="98"/>
    </row>
    <row r="19">
      <c r="A19" s="83" t="s">
        <v>143</v>
      </c>
      <c r="B19" s="75">
        <v>4129</v>
      </c>
      <c r="C19" s="74">
        <v>-523954</v>
      </c>
      <c r="D19" s="74">
        <v>-669943</v>
      </c>
      <c r="E19" s="74">
        <v>-311183</v>
      </c>
      <c r="F19" s="74">
        <v>-965227</v>
      </c>
      <c r="G19" s="74">
        <v>-1701521</v>
      </c>
      <c r="H19" s="74">
        <v>-1925214</v>
      </c>
      <c r="I19" s="74">
        <v>-1167502</v>
      </c>
    </row>
    <row r="20" ht="31.199999999999999">
      <c r="A20" s="96" t="s">
        <v>144</v>
      </c>
      <c r="B20" s="54">
        <v>4100</v>
      </c>
      <c r="C20" s="54">
        <f t="shared" ref="C20:I20" si="30">C7+C13</f>
        <v>5305512</v>
      </c>
      <c r="D20" s="54">
        <f t="shared" si="30"/>
        <v>4712201</v>
      </c>
      <c r="E20" s="54">
        <f t="shared" si="30"/>
        <v>3692897</v>
      </c>
      <c r="F20" s="54">
        <f t="shared" si="30"/>
        <v>4506595</v>
      </c>
      <c r="G20" s="54">
        <f t="shared" si="30"/>
        <v>9998076</v>
      </c>
      <c r="H20" s="54">
        <f t="shared" si="30"/>
        <v>1911723</v>
      </c>
      <c r="I20" s="54">
        <f t="shared" si="30"/>
        <v>4986838</v>
      </c>
    </row>
    <row r="21" s="66" customFormat="1" ht="31.199999999999999">
      <c r="A21" s="96" t="s">
        <v>145</v>
      </c>
      <c r="B21" s="54"/>
      <c r="C21" s="54"/>
      <c r="D21" s="54"/>
      <c r="E21" s="54"/>
      <c r="F21" s="54"/>
      <c r="G21" s="54"/>
      <c r="H21" s="54"/>
      <c r="I21" s="54"/>
    </row>
    <row r="22">
      <c r="A22" s="83" t="s">
        <v>146</v>
      </c>
      <c r="B22" s="75">
        <v>4210</v>
      </c>
      <c r="C22" s="99">
        <f t="shared" ref="C22:I22" si="31">SUM(C23:C28)</f>
        <v>21317015</v>
      </c>
      <c r="D22" s="99">
        <f t="shared" si="31"/>
        <v>29838119</v>
      </c>
      <c r="E22" s="99">
        <f t="shared" si="31"/>
        <v>22000613</v>
      </c>
      <c r="F22" s="99">
        <f t="shared" si="31"/>
        <v>7623125</v>
      </c>
      <c r="G22" s="99">
        <f t="shared" si="31"/>
        <v>26729089</v>
      </c>
      <c r="H22" s="99">
        <f t="shared" si="31"/>
        <v>5001488</v>
      </c>
      <c r="I22" s="99">
        <f t="shared" si="31"/>
        <v>5714295</v>
      </c>
    </row>
    <row r="23" ht="31.199999999999999">
      <c r="A23" s="83" t="s">
        <v>147</v>
      </c>
      <c r="B23" s="75">
        <v>4211</v>
      </c>
      <c r="C23" s="74">
        <v>21169</v>
      </c>
      <c r="D23" s="74">
        <v>572776</v>
      </c>
      <c r="E23" s="74">
        <v>7617</v>
      </c>
      <c r="F23" s="74">
        <v>2797</v>
      </c>
      <c r="G23" s="74">
        <v>47115</v>
      </c>
      <c r="H23" s="74">
        <v>3625</v>
      </c>
      <c r="I23" s="74">
        <v>2843</v>
      </c>
    </row>
    <row r="24" ht="31.199999999999999">
      <c r="A24" s="83" t="s">
        <v>148</v>
      </c>
      <c r="B24" s="75">
        <v>4212</v>
      </c>
      <c r="C24" s="98">
        <v>0</v>
      </c>
      <c r="D24" s="98">
        <v>10621790</v>
      </c>
      <c r="E24" s="98">
        <v>62773</v>
      </c>
      <c r="F24" s="98">
        <v>0</v>
      </c>
      <c r="G24" s="98">
        <v>0</v>
      </c>
      <c r="H24" s="98">
        <v>149</v>
      </c>
      <c r="I24" s="98">
        <v>17202</v>
      </c>
    </row>
    <row r="25" ht="62.399999999999999">
      <c r="A25" s="83" t="s">
        <v>149</v>
      </c>
      <c r="B25" s="75">
        <v>4213</v>
      </c>
      <c r="C25" s="75">
        <v>18674491</v>
      </c>
      <c r="D25" s="75">
        <v>15720581</v>
      </c>
      <c r="E25" s="75">
        <v>17746249</v>
      </c>
      <c r="F25" s="75">
        <v>4389200</v>
      </c>
      <c r="G25" s="75">
        <v>21965169</v>
      </c>
      <c r="H25" s="75">
        <v>2886563</v>
      </c>
      <c r="I25" s="75">
        <v>5383330</v>
      </c>
    </row>
    <row r="26" ht="62.399999999999999">
      <c r="A26" s="83" t="s">
        <v>150</v>
      </c>
      <c r="B26" s="75">
        <v>4214</v>
      </c>
      <c r="C26" s="74">
        <v>2621355</v>
      </c>
      <c r="D26" s="74">
        <v>2826204</v>
      </c>
      <c r="E26" s="74">
        <v>4183974</v>
      </c>
      <c r="F26" s="74">
        <v>3195510</v>
      </c>
      <c r="G26" s="74">
        <v>4703725</v>
      </c>
      <c r="H26" s="74">
        <v>2064216</v>
      </c>
      <c r="I26" s="74">
        <v>310920</v>
      </c>
    </row>
    <row r="27">
      <c r="A27" s="83" t="s">
        <v>151</v>
      </c>
      <c r="B27" s="75">
        <v>4215</v>
      </c>
      <c r="C27" s="74"/>
      <c r="D27" s="74"/>
      <c r="E27" s="74"/>
      <c r="F27" s="74"/>
      <c r="G27" s="74"/>
      <c r="H27" s="74"/>
      <c r="I27" s="74"/>
    </row>
    <row r="28">
      <c r="A28" s="83" t="s">
        <v>137</v>
      </c>
      <c r="B28" s="75">
        <v>4219</v>
      </c>
      <c r="C28" s="75"/>
      <c r="D28" s="75">
        <v>96768</v>
      </c>
      <c r="E28" s="75"/>
      <c r="F28" s="75">
        <v>35618</v>
      </c>
      <c r="G28" s="75">
        <v>13080</v>
      </c>
      <c r="H28" s="75">
        <v>46935</v>
      </c>
      <c r="I28" s="75">
        <v>0</v>
      </c>
    </row>
    <row r="29">
      <c r="A29" s="83" t="s">
        <v>152</v>
      </c>
      <c r="B29" s="75">
        <v>4220</v>
      </c>
      <c r="C29" s="54">
        <f t="shared" ref="C29:I29" si="32">SUM(C31:C36)</f>
        <v>-15056354</v>
      </c>
      <c r="D29" s="54">
        <f t="shared" si="32"/>
        <v>-30367510</v>
      </c>
      <c r="E29" s="54">
        <f t="shared" si="32"/>
        <v>-11983614</v>
      </c>
      <c r="F29" s="54">
        <f t="shared" si="32"/>
        <v>-17138721</v>
      </c>
      <c r="G29" s="54">
        <f t="shared" si="32"/>
        <v>-22475341</v>
      </c>
      <c r="H29" s="54">
        <f t="shared" si="32"/>
        <v>-10547953</v>
      </c>
      <c r="I29" s="54">
        <f t="shared" si="32"/>
        <v>-9837421</v>
      </c>
    </row>
    <row r="30">
      <c r="A30" s="83" t="s">
        <v>153</v>
      </c>
      <c r="B30" s="75"/>
      <c r="C30" s="75"/>
      <c r="D30" s="75"/>
      <c r="E30" s="75"/>
      <c r="F30" s="75"/>
      <c r="G30" s="75"/>
      <c r="H30" s="75"/>
      <c r="I30" s="75"/>
    </row>
    <row r="31" ht="62.399999999999999">
      <c r="A31" s="83" t="s">
        <v>154</v>
      </c>
      <c r="B31" s="75">
        <v>4221</v>
      </c>
      <c r="C31" s="74">
        <v>-2777354</v>
      </c>
      <c r="D31" s="74">
        <v>-1756490</v>
      </c>
      <c r="E31" s="74">
        <v>-747120</v>
      </c>
      <c r="F31" s="74">
        <v>-753359</v>
      </c>
      <c r="G31" s="74">
        <v>-468168</v>
      </c>
      <c r="H31" s="74">
        <v>-489031</v>
      </c>
      <c r="I31" s="74">
        <v>-461416</v>
      </c>
    </row>
    <row r="32" ht="31.199999999999999">
      <c r="A32" s="83" t="s">
        <v>155</v>
      </c>
      <c r="B32" s="75">
        <v>4222</v>
      </c>
      <c r="C32" s="74">
        <v>-1660000</v>
      </c>
      <c r="D32" s="74">
        <v>-17187536</v>
      </c>
      <c r="E32" s="74">
        <v>-1665000</v>
      </c>
      <c r="F32" s="74">
        <v>-470000</v>
      </c>
      <c r="G32" s="74">
        <v>-1011173</v>
      </c>
      <c r="H32" s="74"/>
      <c r="I32" s="74">
        <v>-2841</v>
      </c>
    </row>
    <row r="33" ht="62.399999999999999">
      <c r="A33" s="83" t="s">
        <v>156</v>
      </c>
      <c r="B33" s="75">
        <v>4223</v>
      </c>
      <c r="C33" s="98">
        <v>-10619000</v>
      </c>
      <c r="D33" s="98">
        <v>-11423484</v>
      </c>
      <c r="E33" s="98">
        <v>-9571494</v>
      </c>
      <c r="F33" s="98">
        <v>-15915362</v>
      </c>
      <c r="G33" s="98">
        <v>-20996000</v>
      </c>
      <c r="H33" s="98">
        <v>-10058922</v>
      </c>
      <c r="I33" s="98">
        <v>-9373164</v>
      </c>
    </row>
    <row r="34" ht="46.799999999999997">
      <c r="A34" s="83" t="s">
        <v>157</v>
      </c>
      <c r="B34" s="75">
        <v>4224</v>
      </c>
      <c r="C34" s="74"/>
      <c r="D34" s="74"/>
      <c r="E34" s="74"/>
      <c r="F34" s="74">
        <v>0</v>
      </c>
      <c r="G34" s="74">
        <v>0</v>
      </c>
      <c r="H34" s="74"/>
      <c r="I34" s="74"/>
    </row>
    <row r="35">
      <c r="A35" s="83"/>
      <c r="B35" s="75">
        <v>4225</v>
      </c>
      <c r="C35" s="75"/>
      <c r="D35" s="75"/>
      <c r="E35" s="75"/>
      <c r="F35" s="75"/>
      <c r="G35" s="75"/>
      <c r="H35" s="75"/>
      <c r="I35" s="75"/>
    </row>
    <row r="36">
      <c r="A36" s="83" t="s">
        <v>158</v>
      </c>
      <c r="B36" s="75">
        <v>4229</v>
      </c>
      <c r="C36" s="75"/>
      <c r="D36" s="75"/>
      <c r="E36" s="75"/>
      <c r="F36" s="75">
        <v>0</v>
      </c>
      <c r="G36" s="75">
        <v>0</v>
      </c>
      <c r="H36" s="75"/>
      <c r="I36" s="75"/>
    </row>
    <row r="37" ht="31.199999999999999">
      <c r="A37" s="96" t="s">
        <v>159</v>
      </c>
      <c r="B37" s="54">
        <v>4200</v>
      </c>
      <c r="C37" s="54">
        <f t="shared" ref="C37:I37" si="33">C22+C29</f>
        <v>6260661</v>
      </c>
      <c r="D37" s="54">
        <f t="shared" si="33"/>
        <v>-529391</v>
      </c>
      <c r="E37" s="54">
        <f t="shared" si="33"/>
        <v>10016999</v>
      </c>
      <c r="F37" s="54">
        <f t="shared" si="33"/>
        <v>-9515596</v>
      </c>
      <c r="G37" s="54">
        <f t="shared" si="33"/>
        <v>4253748</v>
      </c>
      <c r="H37" s="54">
        <f t="shared" si="33"/>
        <v>-5546465</v>
      </c>
      <c r="I37" s="54">
        <f t="shared" si="33"/>
        <v>-4123126</v>
      </c>
    </row>
    <row r="38" s="66" customFormat="1" ht="31.199999999999999">
      <c r="A38" s="96" t="s">
        <v>160</v>
      </c>
      <c r="B38" s="54"/>
      <c r="C38" s="54"/>
      <c r="D38" s="54"/>
      <c r="E38" s="54"/>
      <c r="F38" s="54"/>
      <c r="G38" s="54"/>
      <c r="H38" s="54"/>
      <c r="I38" s="54"/>
    </row>
    <row r="39">
      <c r="A39" s="83" t="s">
        <v>146</v>
      </c>
      <c r="B39" s="75">
        <v>4310</v>
      </c>
      <c r="C39" s="54">
        <f t="shared" ref="C39:I39" si="34">SUM(C40:C46)</f>
        <v>0</v>
      </c>
      <c r="D39" s="54">
        <f t="shared" si="34"/>
        <v>12442473</v>
      </c>
      <c r="E39" s="54">
        <f t="shared" si="34"/>
        <v>849700</v>
      </c>
      <c r="F39" s="54">
        <f t="shared" si="34"/>
        <v>7763435</v>
      </c>
      <c r="G39" s="54">
        <f t="shared" si="34"/>
        <v>3107655</v>
      </c>
      <c r="H39" s="54">
        <f t="shared" si="34"/>
        <v>6155034</v>
      </c>
      <c r="I39" s="54">
        <f t="shared" si="34"/>
        <v>4563225</v>
      </c>
    </row>
    <row r="40">
      <c r="A40" s="83" t="s">
        <v>161</v>
      </c>
      <c r="B40" s="75">
        <v>4311</v>
      </c>
      <c r="C40" s="75"/>
      <c r="D40" s="75">
        <v>12442473</v>
      </c>
      <c r="E40" s="75">
        <v>849700</v>
      </c>
      <c r="F40" s="75">
        <v>7763435</v>
      </c>
      <c r="G40" s="75">
        <v>3107655</v>
      </c>
      <c r="H40" s="75">
        <v>6155034</v>
      </c>
      <c r="I40" s="75">
        <v>4563225</v>
      </c>
    </row>
    <row r="41" ht="31.199999999999999">
      <c r="A41" s="83" t="s">
        <v>162</v>
      </c>
      <c r="B41" s="75">
        <v>4312</v>
      </c>
      <c r="C41" s="74"/>
      <c r="D41" s="74"/>
      <c r="E41" s="74"/>
      <c r="F41" s="74"/>
      <c r="G41" s="74"/>
      <c r="H41" s="74"/>
      <c r="I41" s="74"/>
    </row>
    <row r="42" ht="31.199999999999999">
      <c r="A42" s="83" t="s">
        <v>163</v>
      </c>
      <c r="B42" s="75">
        <v>4313</v>
      </c>
      <c r="C42" s="75"/>
      <c r="D42" s="75"/>
      <c r="E42" s="75"/>
      <c r="F42" s="75"/>
      <c r="G42" s="75"/>
      <c r="H42" s="75"/>
      <c r="I42" s="75"/>
    </row>
    <row r="43" ht="31.199999999999999">
      <c r="A43" s="83" t="s">
        <v>164</v>
      </c>
      <c r="B43" s="75">
        <v>4314</v>
      </c>
      <c r="C43" s="98"/>
      <c r="D43" s="98"/>
      <c r="E43" s="98"/>
      <c r="F43" s="98"/>
      <c r="G43" s="98"/>
      <c r="H43" s="98"/>
      <c r="I43" s="98"/>
    </row>
    <row r="44" ht="31.199999999999999">
      <c r="A44" s="83" t="s">
        <v>165</v>
      </c>
      <c r="B44" s="75">
        <v>4315</v>
      </c>
      <c r="C44" s="98"/>
      <c r="D44" s="98"/>
      <c r="E44" s="98"/>
      <c r="F44" s="98"/>
      <c r="G44" s="98"/>
      <c r="H44" s="98"/>
      <c r="I44" s="98"/>
    </row>
    <row r="45">
      <c r="A45" s="83"/>
      <c r="B45" s="75">
        <v>4316</v>
      </c>
      <c r="C45" s="75"/>
      <c r="D45" s="75"/>
      <c r="E45" s="75"/>
      <c r="F45" s="75"/>
      <c r="G45" s="75"/>
      <c r="H45" s="75"/>
      <c r="I45" s="75"/>
    </row>
    <row r="46">
      <c r="A46" s="83" t="s">
        <v>137</v>
      </c>
      <c r="B46" s="75">
        <v>4319</v>
      </c>
      <c r="C46" s="75"/>
      <c r="D46" s="75"/>
      <c r="E46" s="75"/>
      <c r="F46" s="75"/>
      <c r="G46" s="75"/>
      <c r="H46" s="75"/>
      <c r="I46" s="75"/>
    </row>
    <row r="47">
      <c r="A47" s="83" t="s">
        <v>152</v>
      </c>
      <c r="B47" s="75">
        <v>4320</v>
      </c>
      <c r="C47" s="54">
        <f t="shared" ref="C47:I47" si="35">SUM(C48:C52)</f>
        <v>-8997736</v>
      </c>
      <c r="D47" s="54">
        <f t="shared" si="35"/>
        <v>-19342923</v>
      </c>
      <c r="E47" s="54">
        <f t="shared" si="35"/>
        <v>-15533771</v>
      </c>
      <c r="F47" s="54">
        <f t="shared" si="35"/>
        <v>-3703667</v>
      </c>
      <c r="G47" s="54">
        <f t="shared" si="35"/>
        <v>-16271531</v>
      </c>
      <c r="H47" s="54">
        <f t="shared" si="35"/>
        <v>-876212</v>
      </c>
      <c r="I47" s="54">
        <f t="shared" si="35"/>
        <v>-5905290</v>
      </c>
    </row>
    <row r="48" ht="62.399999999999999">
      <c r="A48" s="83" t="s">
        <v>166</v>
      </c>
      <c r="B48" s="75">
        <v>4321</v>
      </c>
      <c r="C48" s="75"/>
      <c r="D48" s="75">
        <v>0</v>
      </c>
      <c r="E48" s="75">
        <v>-96647</v>
      </c>
      <c r="F48" s="75"/>
      <c r="G48" s="75"/>
      <c r="H48" s="75"/>
      <c r="I48" s="75"/>
    </row>
    <row r="49" ht="46.799999999999997">
      <c r="A49" s="83" t="s">
        <v>167</v>
      </c>
      <c r="B49" s="75">
        <v>4322</v>
      </c>
      <c r="C49" s="75">
        <v>-8997736</v>
      </c>
      <c r="D49" s="75">
        <v>-6102715</v>
      </c>
      <c r="E49" s="75">
        <v>-2177868</v>
      </c>
      <c r="F49" s="75">
        <v>-1135363</v>
      </c>
      <c r="G49" s="75">
        <v>-280773</v>
      </c>
      <c r="H49" s="75">
        <v>-182026</v>
      </c>
      <c r="I49" s="75">
        <v>-183345</v>
      </c>
    </row>
    <row r="50" ht="46.799999999999997">
      <c r="A50" s="83" t="s">
        <v>168</v>
      </c>
      <c r="B50" s="75">
        <v>4323</v>
      </c>
      <c r="C50" s="74"/>
      <c r="D50" s="74">
        <v>-13240208</v>
      </c>
      <c r="E50" s="74">
        <v>-13259256</v>
      </c>
      <c r="F50" s="74">
        <v>-2568304</v>
      </c>
      <c r="G50" s="74">
        <v>-15990758</v>
      </c>
      <c r="H50" s="74">
        <v>-694186</v>
      </c>
      <c r="I50" s="74">
        <v>-5721945</v>
      </c>
    </row>
    <row r="51">
      <c r="A51" s="83"/>
      <c r="B51" s="75">
        <v>4324</v>
      </c>
      <c r="C51" s="74"/>
      <c r="D51" s="74"/>
      <c r="E51" s="74"/>
      <c r="F51" s="74"/>
      <c r="G51" s="74"/>
      <c r="H51" s="74"/>
      <c r="I51" s="74"/>
    </row>
    <row r="52">
      <c r="A52" s="83" t="s">
        <v>158</v>
      </c>
      <c r="B52" s="75">
        <v>4329</v>
      </c>
      <c r="C52" s="75"/>
      <c r="D52" s="75"/>
      <c r="E52" s="75"/>
      <c r="F52" s="75">
        <v>0</v>
      </c>
      <c r="G52" s="75">
        <v>0</v>
      </c>
      <c r="H52" s="75"/>
      <c r="I52" s="75"/>
    </row>
    <row r="53" ht="31.199999999999999">
      <c r="A53" s="83" t="s">
        <v>169</v>
      </c>
      <c r="B53" s="75">
        <v>4300</v>
      </c>
      <c r="C53" s="75">
        <f t="shared" ref="C53:I53" si="36">C39+C47</f>
        <v>-8997736</v>
      </c>
      <c r="D53" s="75">
        <f t="shared" si="36"/>
        <v>-6900450</v>
      </c>
      <c r="E53" s="75">
        <f t="shared" si="36"/>
        <v>-14684071</v>
      </c>
      <c r="F53" s="75">
        <f t="shared" si="36"/>
        <v>4059768</v>
      </c>
      <c r="G53" s="75">
        <f t="shared" si="36"/>
        <v>-13163876</v>
      </c>
      <c r="H53" s="75">
        <f t="shared" si="36"/>
        <v>5278822</v>
      </c>
      <c r="I53" s="75">
        <f t="shared" si="36"/>
        <v>-1342065</v>
      </c>
    </row>
    <row r="54" ht="31.199999999999999">
      <c r="A54" s="96" t="s">
        <v>170</v>
      </c>
      <c r="B54" s="75">
        <v>4400</v>
      </c>
      <c r="C54" s="75">
        <f t="shared" ref="C54:I54" si="37">C20+C37+C53</f>
        <v>2568437</v>
      </c>
      <c r="D54" s="75">
        <f t="shared" si="37"/>
        <v>-2717640</v>
      </c>
      <c r="E54" s="75">
        <f t="shared" si="37"/>
        <v>-974175</v>
      </c>
      <c r="F54" s="75">
        <f t="shared" si="37"/>
        <v>-949233</v>
      </c>
      <c r="G54" s="75">
        <f t="shared" si="37"/>
        <v>1087948</v>
      </c>
      <c r="H54" s="75">
        <f t="shared" si="37"/>
        <v>1644080</v>
      </c>
      <c r="I54" s="75">
        <f t="shared" si="37"/>
        <v>-478353</v>
      </c>
    </row>
    <row r="55" ht="46.799999999999997">
      <c r="A55" s="96" t="s">
        <v>171</v>
      </c>
      <c r="B55" s="75">
        <v>4450</v>
      </c>
      <c r="C55" s="75">
        <f t="shared" ref="C55:E55" si="38">D56</f>
        <v>1007423</v>
      </c>
      <c r="D55" s="75">
        <f t="shared" si="38"/>
        <v>3121334</v>
      </c>
      <c r="E55" s="75">
        <f t="shared" si="38"/>
        <v>4548134</v>
      </c>
      <c r="F55" s="75">
        <f>G56</f>
        <v>6655180</v>
      </c>
      <c r="G55" s="75">
        <f>H56</f>
        <v>3728021</v>
      </c>
      <c r="H55" s="75">
        <v>509947</v>
      </c>
      <c r="I55" s="75">
        <v>831112</v>
      </c>
    </row>
    <row r="56" s="66" customFormat="1" ht="46.799999999999997">
      <c r="A56" s="96" t="s">
        <v>172</v>
      </c>
      <c r="B56" s="54">
        <v>4500</v>
      </c>
      <c r="C56" s="54">
        <f t="shared" ref="C56:I56" si="39">C55+C54+C57</f>
        <v>3397539</v>
      </c>
      <c r="D56" s="54">
        <f>D55+D54+D57</f>
        <v>1007423</v>
      </c>
      <c r="E56" s="54">
        <f t="shared" si="39"/>
        <v>3121334</v>
      </c>
      <c r="F56" s="54">
        <f t="shared" si="39"/>
        <v>4548134</v>
      </c>
      <c r="G56" s="54">
        <f t="shared" si="39"/>
        <v>6655180</v>
      </c>
      <c r="H56" s="54">
        <f>H55+H54+H57</f>
        <v>3728021</v>
      </c>
      <c r="I56" s="54">
        <f t="shared" si="39"/>
        <v>509947</v>
      </c>
    </row>
    <row r="57" ht="46.799999999999997">
      <c r="A57" s="83" t="s">
        <v>173</v>
      </c>
      <c r="B57" s="75">
        <v>4490</v>
      </c>
      <c r="C57" s="74">
        <v>-178321</v>
      </c>
      <c r="D57" s="74">
        <v>603729</v>
      </c>
      <c r="E57" s="74">
        <v>-452625</v>
      </c>
      <c r="F57" s="74">
        <v>-1157813</v>
      </c>
      <c r="G57" s="74">
        <v>1839211</v>
      </c>
      <c r="H57" s="74">
        <v>1573994</v>
      </c>
      <c r="I57" s="74">
        <v>157188</v>
      </c>
    </row>
    <row r="58">
      <c r="C58" s="33"/>
      <c r="D58" s="33"/>
    </row>
    <row r="59">
      <c r="A59" s="100"/>
      <c r="C59" s="33"/>
      <c r="D59" s="33"/>
    </row>
    <row r="60">
      <c r="E60" s="64"/>
    </row>
  </sheetData>
  <printOptions headings="0" gridLines="0"/>
  <pageMargins left="0.75" right="0.75" top="0.52000000000000002" bottom="0.51000000000000023" header="0.5" footer="0.5"/>
  <pageSetup paperSize="9" scale="46" fitToWidth="1" fitToHeight="1" pageOrder="downThenOver" orientation="portrait" usePrinterDefaults="1" blackAndWhite="0" draft="0" cellComments="none" useFirstPageNumber="0" errors="displayed" horizontalDpi="4294967293"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7">
    <tabColor indexed="45"/>
    <outlinePr applyStyles="0" summaryBelow="1" summaryRight="1" showOutlineSymbols="1"/>
    <pageSetUpPr autoPageBreaks="1" fitToPage="1"/>
  </sheetPr>
  <sheetViews>
    <sheetView zoomScale="75" workbookViewId="0">
      <selection activeCell="L20" activeCellId="0" sqref="L20"/>
    </sheetView>
  </sheetViews>
  <sheetFormatPr defaultColWidth="9.109375" defaultRowHeight="15.6"/>
  <cols>
    <col customWidth="1" min="1" max="1" style="102" width="31.6640625"/>
    <col customWidth="1" min="2" max="16" style="101" width="16.5546875"/>
    <col customWidth="1" min="17" max="17" style="101" width="7.44140625"/>
    <col bestFit="1" customWidth="1" min="18" max="18" style="101" width="10.33203125"/>
    <col customWidth="1" min="19" max="21" style="101" width="10"/>
    <col min="22" max="35" style="101" width="9.109375"/>
    <col customWidth="1" min="36" max="36" style="101" width="29.5546875"/>
    <col min="37" max="42" style="101" width="9.109375"/>
    <col customWidth="1" min="43" max="43" style="101" width="22.88671875"/>
    <col min="44" max="52" style="101" width="9.109375"/>
    <col customWidth="1" min="53" max="53" style="101" width="24.6640625"/>
    <col min="54" max="54" style="101" width="9.109375"/>
    <col customWidth="1" min="55" max="55" style="101" width="11"/>
    <col customWidth="1" min="56" max="56" style="101" width="11.6640625"/>
    <col min="57" max="59" style="101" width="9.109375"/>
    <col customWidth="1" min="60" max="60" style="101" width="32.33203125"/>
    <col min="61" max="61" style="101" width="9.109375"/>
    <col customWidth="1" min="62" max="63" style="101" width="9.6640625"/>
    <col customWidth="1" min="64" max="64" style="101" width="6.88671875"/>
    <col customWidth="1" min="65" max="65" style="101" width="29.6640625"/>
    <col min="66" max="16384" style="101" width="9.109375"/>
  </cols>
  <sheetData>
    <row r="1" ht="19.800000000000001">
      <c r="A1" s="103" t="s">
        <v>174</v>
      </c>
    </row>
    <row r="2">
      <c r="A2" s="102" t="s">
        <v>0</v>
      </c>
    </row>
    <row r="3">
      <c r="A3" s="6" t="str">
        <f>'1'!A2</f>
        <v xml:space="preserve">ПАО "ДОРОГОБУЖ" </v>
      </c>
      <c r="B3" s="7"/>
    </row>
    <row r="4">
      <c r="A4" s="104" t="s">
        <v>175</v>
      </c>
      <c r="C4" s="105"/>
    </row>
    <row r="5" ht="16.199999999999999">
      <c r="A5" s="106" t="s">
        <v>4</v>
      </c>
      <c r="B5" s="107" t="s">
        <v>5</v>
      </c>
      <c r="C5" s="105"/>
    </row>
    <row r="6" ht="20.25" customHeight="1">
      <c r="C6" s="108" t="s">
        <v>176</v>
      </c>
      <c r="D6" s="109"/>
      <c r="E6" s="109"/>
      <c r="F6" s="109"/>
      <c r="G6" s="109"/>
    </row>
    <row r="7" ht="37.5" customHeight="1">
      <c r="A7" s="110" t="s">
        <v>177</v>
      </c>
      <c r="B7" s="111" t="s">
        <v>178</v>
      </c>
      <c r="C7" s="111"/>
      <c r="D7" s="75" t="s">
        <v>179</v>
      </c>
      <c r="E7" s="75" t="s">
        <v>180</v>
      </c>
      <c r="F7" s="75"/>
      <c r="G7" s="112" t="s">
        <v>181</v>
      </c>
      <c r="H7" s="112" t="s">
        <v>182</v>
      </c>
      <c r="I7" s="111" t="s">
        <v>183</v>
      </c>
      <c r="J7" s="111"/>
    </row>
    <row r="8" ht="65.25" customHeight="1">
      <c r="A8" s="113" t="s">
        <v>184</v>
      </c>
      <c r="B8" s="75" t="s">
        <v>185</v>
      </c>
      <c r="C8" s="114" t="s">
        <v>186</v>
      </c>
      <c r="D8" s="75"/>
      <c r="E8" s="75" t="s">
        <v>185</v>
      </c>
      <c r="F8" s="114" t="s">
        <v>186</v>
      </c>
      <c r="G8" s="115"/>
      <c r="H8" s="115"/>
      <c r="I8" s="75" t="s">
        <v>185</v>
      </c>
      <c r="J8" s="114" t="s">
        <v>186</v>
      </c>
    </row>
    <row r="9" ht="13.5" customHeight="1">
      <c r="A9" s="113">
        <v>1</v>
      </c>
      <c r="B9" s="75">
        <v>2</v>
      </c>
      <c r="C9" s="75">
        <v>3</v>
      </c>
      <c r="D9" s="75"/>
      <c r="E9" s="75"/>
      <c r="F9" s="75"/>
      <c r="G9" s="75"/>
      <c r="H9" s="75"/>
      <c r="I9" s="75"/>
      <c r="J9" s="75"/>
    </row>
    <row r="10" ht="31.199999999999999">
      <c r="A10" s="113" t="s">
        <v>187</v>
      </c>
      <c r="B10" s="75">
        <f t="shared" ref="B10:H10" si="40">SUM(B11:B17)</f>
        <v>0</v>
      </c>
      <c r="C10" s="75">
        <f t="shared" si="40"/>
        <v>0</v>
      </c>
      <c r="D10" s="75">
        <f t="shared" si="40"/>
        <v>0</v>
      </c>
      <c r="E10" s="75">
        <f t="shared" si="40"/>
        <v>0</v>
      </c>
      <c r="F10" s="75">
        <f t="shared" si="40"/>
        <v>0</v>
      </c>
      <c r="G10" s="75">
        <f t="shared" si="40"/>
        <v>0</v>
      </c>
      <c r="H10" s="75">
        <f t="shared" si="40"/>
        <v>0</v>
      </c>
      <c r="I10" s="75">
        <f>B10+E10+D10</f>
        <v>0</v>
      </c>
      <c r="J10" s="75">
        <f>C10+F10+G10+H10</f>
        <v>0</v>
      </c>
      <c r="K10" s="101">
        <f>B10+C10-'1'!E8</f>
        <v>0</v>
      </c>
      <c r="L10" s="101">
        <f>I10+J10-'1'!D8</f>
        <v>0</v>
      </c>
    </row>
    <row r="11" ht="46.799999999999997">
      <c r="A11" s="113" t="s">
        <v>188</v>
      </c>
      <c r="B11" s="75"/>
      <c r="C11" s="75"/>
      <c r="D11" s="75"/>
      <c r="E11" s="75"/>
      <c r="F11" s="75"/>
      <c r="G11" s="75"/>
      <c r="H11" s="75"/>
      <c r="I11" s="75"/>
      <c r="J11" s="75"/>
    </row>
    <row r="12">
      <c r="A12" s="113" t="s">
        <v>189</v>
      </c>
      <c r="B12" s="75"/>
      <c r="C12" s="75"/>
      <c r="D12" s="75"/>
      <c r="E12" s="75"/>
      <c r="F12" s="75"/>
      <c r="G12" s="75"/>
      <c r="H12" s="75"/>
      <c r="I12" s="75"/>
      <c r="J12" s="75"/>
    </row>
    <row r="13">
      <c r="A13" s="113" t="s">
        <v>190</v>
      </c>
      <c r="B13" s="75"/>
      <c r="C13" s="75"/>
      <c r="D13" s="75"/>
      <c r="E13" s="75"/>
      <c r="F13" s="75"/>
      <c r="G13" s="75"/>
      <c r="H13" s="75"/>
      <c r="I13" s="75"/>
      <c r="J13" s="75"/>
    </row>
    <row r="14">
      <c r="A14" s="113" t="s">
        <v>191</v>
      </c>
      <c r="B14" s="75"/>
      <c r="C14" s="75"/>
      <c r="D14" s="75"/>
      <c r="E14" s="75"/>
      <c r="F14" s="75"/>
      <c r="G14" s="75"/>
      <c r="H14" s="75"/>
      <c r="I14" s="75"/>
      <c r="J14" s="75"/>
    </row>
    <row r="15" ht="78">
      <c r="A15" s="116" t="s">
        <v>192</v>
      </c>
      <c r="B15" s="75"/>
      <c r="C15" s="75"/>
      <c r="D15" s="75"/>
      <c r="E15" s="75"/>
      <c r="F15" s="75"/>
      <c r="G15" s="75"/>
      <c r="H15" s="75"/>
      <c r="I15" s="75"/>
      <c r="J15" s="75"/>
    </row>
    <row r="16">
      <c r="A16" s="113"/>
      <c r="B16" s="75"/>
      <c r="C16" s="75"/>
      <c r="D16" s="75"/>
      <c r="E16" s="75"/>
      <c r="F16" s="75"/>
      <c r="G16" s="75"/>
      <c r="H16" s="75"/>
      <c r="I16" s="75"/>
      <c r="J16" s="75"/>
    </row>
    <row r="17">
      <c r="A17" s="113"/>
      <c r="B17" s="75"/>
      <c r="C17" s="75"/>
      <c r="D17" s="75"/>
      <c r="E17" s="75"/>
      <c r="F17" s="75"/>
      <c r="G17" s="75"/>
      <c r="H17" s="75"/>
      <c r="I17" s="75"/>
      <c r="J17" s="75"/>
    </row>
    <row r="18" ht="16.199999999999999">
      <c r="C18" s="117"/>
      <c r="D18" s="109"/>
      <c r="E18" s="109"/>
      <c r="F18" s="109"/>
      <c r="G18" s="109"/>
    </row>
    <row r="19" ht="12.75" customHeight="1">
      <c r="C19" s="108" t="s">
        <v>193</v>
      </c>
      <c r="D19" s="109"/>
      <c r="E19" s="109"/>
      <c r="F19" s="109"/>
      <c r="G19" s="109"/>
    </row>
    <row r="20" ht="45" customHeight="1">
      <c r="A20" s="110" t="s">
        <v>177</v>
      </c>
      <c r="B20" s="111" t="s">
        <v>178</v>
      </c>
      <c r="C20" s="111"/>
      <c r="D20" s="75" t="s">
        <v>179</v>
      </c>
      <c r="E20" s="75" t="s">
        <v>180</v>
      </c>
      <c r="F20" s="75"/>
      <c r="G20" s="112" t="s">
        <v>181</v>
      </c>
      <c r="H20" s="112" t="s">
        <v>182</v>
      </c>
      <c r="I20" s="111" t="s">
        <v>183</v>
      </c>
      <c r="J20" s="111"/>
    </row>
    <row r="21" ht="62.399999999999999">
      <c r="A21" s="113" t="s">
        <v>184</v>
      </c>
      <c r="B21" s="75" t="s">
        <v>185</v>
      </c>
      <c r="C21" s="114" t="s">
        <v>186</v>
      </c>
      <c r="D21" s="75"/>
      <c r="E21" s="75" t="s">
        <v>185</v>
      </c>
      <c r="F21" s="114" t="s">
        <v>186</v>
      </c>
      <c r="G21" s="115"/>
      <c r="H21" s="115"/>
      <c r="I21" s="75" t="s">
        <v>185</v>
      </c>
      <c r="J21" s="114" t="s">
        <v>186</v>
      </c>
    </row>
    <row r="22">
      <c r="A22" s="113">
        <v>1</v>
      </c>
      <c r="B22" s="75">
        <v>2</v>
      </c>
      <c r="C22" s="75">
        <v>3</v>
      </c>
      <c r="D22" s="75"/>
      <c r="E22" s="75"/>
      <c r="F22" s="75"/>
      <c r="G22" s="75"/>
      <c r="H22" s="75"/>
      <c r="I22" s="75"/>
      <c r="J22" s="75"/>
    </row>
    <row r="23" ht="31.199999999999999">
      <c r="A23" s="113" t="s">
        <v>187</v>
      </c>
      <c r="B23" s="75">
        <f t="shared" ref="B23:C28" si="41">I10</f>
        <v>0</v>
      </c>
      <c r="C23" s="75">
        <f t="shared" si="41"/>
        <v>0</v>
      </c>
      <c r="D23" s="75">
        <f>SUM(D24:D30)</f>
        <v>0</v>
      </c>
      <c r="E23" s="75">
        <f>SUM(E24:E30)</f>
        <v>0</v>
      </c>
      <c r="F23" s="75">
        <f>SUM(F24:F30)</f>
        <v>0</v>
      </c>
      <c r="G23" s="75">
        <f>SUM(G24:G30)</f>
        <v>0</v>
      </c>
      <c r="H23" s="75">
        <f>SUM(H24:H30)</f>
        <v>0</v>
      </c>
      <c r="I23" s="75">
        <f>B23+E23+D23</f>
        <v>0</v>
      </c>
      <c r="J23" s="75">
        <f>C23+F23+G23+H23</f>
        <v>0</v>
      </c>
      <c r="K23" s="101">
        <f>I23+J23-'1'!C8</f>
        <v>0</v>
      </c>
    </row>
    <row r="24" ht="46.799999999999997">
      <c r="A24" s="113" t="s">
        <v>188</v>
      </c>
      <c r="B24" s="75">
        <f t="shared" si="41"/>
        <v>0</v>
      </c>
      <c r="C24" s="75">
        <f t="shared" si="41"/>
        <v>0</v>
      </c>
      <c r="D24" s="75"/>
      <c r="E24" s="75"/>
      <c r="F24" s="75"/>
      <c r="G24" s="75"/>
      <c r="H24" s="75"/>
      <c r="I24" s="75"/>
      <c r="J24" s="75"/>
    </row>
    <row r="25">
      <c r="A25" s="113" t="s">
        <v>189</v>
      </c>
      <c r="B25" s="75">
        <f t="shared" si="41"/>
        <v>0</v>
      </c>
      <c r="C25" s="75">
        <f t="shared" si="41"/>
        <v>0</v>
      </c>
      <c r="D25" s="75"/>
      <c r="E25" s="75"/>
      <c r="F25" s="75"/>
      <c r="G25" s="75"/>
      <c r="H25" s="75"/>
      <c r="I25" s="75"/>
      <c r="J25" s="75"/>
    </row>
    <row r="26">
      <c r="A26" s="113" t="s">
        <v>190</v>
      </c>
      <c r="B26" s="75">
        <f t="shared" si="41"/>
        <v>0</v>
      </c>
      <c r="C26" s="75">
        <f t="shared" si="41"/>
        <v>0</v>
      </c>
      <c r="D26" s="75"/>
      <c r="E26" s="75"/>
      <c r="F26" s="75"/>
      <c r="G26" s="75"/>
      <c r="H26" s="75"/>
      <c r="I26" s="75"/>
      <c r="J26" s="75"/>
    </row>
    <row r="27">
      <c r="A27" s="113" t="s">
        <v>191</v>
      </c>
      <c r="B27" s="75">
        <f t="shared" si="41"/>
        <v>0</v>
      </c>
      <c r="C27" s="75">
        <f t="shared" si="41"/>
        <v>0</v>
      </c>
      <c r="D27" s="75"/>
      <c r="E27" s="75"/>
      <c r="F27" s="75"/>
      <c r="G27" s="75"/>
      <c r="H27" s="75"/>
      <c r="I27" s="75"/>
      <c r="J27" s="75"/>
    </row>
    <row r="28" ht="78">
      <c r="A28" s="116" t="s">
        <v>192</v>
      </c>
      <c r="B28" s="75">
        <f t="shared" si="41"/>
        <v>0</v>
      </c>
      <c r="C28" s="75"/>
      <c r="D28" s="75"/>
      <c r="E28" s="75"/>
      <c r="F28" s="75"/>
      <c r="G28" s="75"/>
      <c r="H28" s="75"/>
      <c r="I28" s="75"/>
      <c r="J28" s="75"/>
    </row>
    <row r="29">
      <c r="A29" s="113"/>
      <c r="B29" s="75"/>
      <c r="C29" s="75"/>
      <c r="D29" s="75"/>
      <c r="E29" s="75"/>
      <c r="F29" s="75"/>
      <c r="G29" s="75"/>
      <c r="H29" s="75"/>
      <c r="I29" s="75"/>
      <c r="J29" s="75"/>
    </row>
    <row r="30" ht="16.199999999999999">
      <c r="A30" s="113"/>
      <c r="B30" s="75"/>
      <c r="C30" s="75"/>
      <c r="D30" s="75"/>
      <c r="E30" s="75"/>
      <c r="F30" s="75"/>
      <c r="G30" s="75"/>
      <c r="H30" s="75"/>
      <c r="I30" s="75"/>
      <c r="J30" s="75"/>
      <c r="L30" s="118"/>
    </row>
    <row r="31" ht="16.199999999999999">
      <c r="A31" s="116"/>
      <c r="B31" s="119"/>
      <c r="C31" s="120"/>
      <c r="D31" s="121"/>
      <c r="E31" s="109"/>
      <c r="F31" s="109"/>
      <c r="G31" s="109"/>
    </row>
    <row r="32" ht="16.199999999999999">
      <c r="A32" s="116"/>
      <c r="B32" s="119"/>
      <c r="C32" s="120"/>
      <c r="D32" s="121"/>
      <c r="E32" s="109"/>
      <c r="F32" s="109"/>
      <c r="G32" s="109"/>
    </row>
    <row r="33" ht="16.199999999999999">
      <c r="A33" s="116"/>
      <c r="B33" s="119"/>
      <c r="C33" s="120"/>
      <c r="D33" s="121"/>
      <c r="E33" s="109"/>
      <c r="F33" s="109"/>
      <c r="G33" s="109"/>
    </row>
    <row r="34">
      <c r="C34" s="122" t="s">
        <v>194</v>
      </c>
      <c r="D34" s="109"/>
      <c r="E34" s="109"/>
      <c r="F34" s="109"/>
      <c r="G34" s="109"/>
    </row>
    <row r="35" ht="15.75" customHeight="1">
      <c r="A35" s="110" t="s">
        <v>177</v>
      </c>
      <c r="B35" s="111" t="s">
        <v>178</v>
      </c>
      <c r="C35" s="111"/>
      <c r="D35" s="75" t="s">
        <v>179</v>
      </c>
      <c r="E35" s="75" t="s">
        <v>180</v>
      </c>
      <c r="F35" s="75"/>
      <c r="G35" s="112" t="s">
        <v>181</v>
      </c>
      <c r="H35" s="123" t="s">
        <v>195</v>
      </c>
      <c r="I35" s="124"/>
      <c r="J35" s="111" t="s">
        <v>183</v>
      </c>
      <c r="K35" s="111"/>
    </row>
    <row r="36" ht="62.399999999999999">
      <c r="A36" s="113" t="s">
        <v>184</v>
      </c>
      <c r="B36" s="75" t="s">
        <v>185</v>
      </c>
      <c r="C36" s="114" t="s">
        <v>186</v>
      </c>
      <c r="D36" s="75"/>
      <c r="E36" s="75" t="s">
        <v>185</v>
      </c>
      <c r="F36" s="114" t="s">
        <v>186</v>
      </c>
      <c r="G36" s="115"/>
      <c r="H36" s="75" t="s">
        <v>185</v>
      </c>
      <c r="I36" s="114" t="s">
        <v>186</v>
      </c>
      <c r="J36" s="75" t="s">
        <v>185</v>
      </c>
      <c r="K36" s="114" t="s">
        <v>186</v>
      </c>
    </row>
    <row r="37">
      <c r="A37" s="113">
        <v>1</v>
      </c>
      <c r="B37" s="75">
        <v>2</v>
      </c>
      <c r="C37" s="75">
        <v>3</v>
      </c>
      <c r="D37" s="75"/>
      <c r="E37" s="75"/>
      <c r="F37" s="75"/>
      <c r="G37" s="75"/>
      <c r="H37" s="75"/>
      <c r="I37" s="75"/>
      <c r="J37" s="75"/>
      <c r="K37" s="75"/>
    </row>
    <row r="38">
      <c r="A38" s="113" t="s">
        <v>196</v>
      </c>
      <c r="B38" s="75">
        <f>SUM(B40:B51)</f>
        <v>0</v>
      </c>
      <c r="C38" s="75">
        <f>SUM(C40:C51)</f>
        <v>0</v>
      </c>
      <c r="D38" s="75">
        <f t="shared" ref="D38:I38" si="42">SUM(D40:D51)</f>
        <v>0</v>
      </c>
      <c r="E38" s="75">
        <f t="shared" si="42"/>
        <v>0</v>
      </c>
      <c r="F38" s="75">
        <f t="shared" si="42"/>
        <v>0</v>
      </c>
      <c r="G38" s="75">
        <f t="shared" si="42"/>
        <v>0</v>
      </c>
      <c r="H38" s="75">
        <f t="shared" si="42"/>
        <v>0</v>
      </c>
      <c r="I38" s="75">
        <f t="shared" si="42"/>
        <v>0</v>
      </c>
      <c r="J38" s="75">
        <f>SUM(J39:J51)</f>
        <v>0</v>
      </c>
      <c r="K38" s="75">
        <f>SUM(K39:K51)</f>
        <v>0</v>
      </c>
      <c r="L38" s="101">
        <f>B38+C38-'1'!E10</f>
        <v>-3893835</v>
      </c>
      <c r="M38" s="101">
        <f>J38+K38-'1'!D10</f>
        <v>-3835076</v>
      </c>
    </row>
    <row r="39">
      <c r="A39" s="113" t="s">
        <v>153</v>
      </c>
      <c r="B39" s="75">
        <v>0</v>
      </c>
      <c r="C39" s="75">
        <v>0</v>
      </c>
      <c r="D39" s="75"/>
      <c r="E39" s="75"/>
      <c r="F39" s="75"/>
      <c r="G39" s="75"/>
      <c r="H39" s="75"/>
      <c r="I39" s="75"/>
      <c r="J39" s="75">
        <f t="shared" ref="J39:J49" si="43">B39+D39+E39</f>
        <v>0</v>
      </c>
      <c r="K39" s="75">
        <f t="shared" ref="K39:K49" si="44">C39+F39+G39</f>
        <v>0</v>
      </c>
    </row>
    <row r="40">
      <c r="A40" s="113" t="s">
        <v>197</v>
      </c>
      <c r="B40" s="75"/>
      <c r="C40" s="75"/>
      <c r="D40" s="75"/>
      <c r="E40" s="75"/>
      <c r="F40" s="75"/>
      <c r="G40" s="75"/>
      <c r="H40" s="75"/>
      <c r="I40" s="75"/>
      <c r="J40" s="75">
        <f t="shared" si="43"/>
        <v>0</v>
      </c>
      <c r="K40" s="75">
        <f t="shared" si="44"/>
        <v>0</v>
      </c>
    </row>
    <row r="41" ht="31.199999999999999">
      <c r="A41" s="113" t="s">
        <v>198</v>
      </c>
      <c r="B41" s="75"/>
      <c r="C41" s="75"/>
      <c r="D41" s="75"/>
      <c r="E41" s="75"/>
      <c r="F41" s="75"/>
      <c r="G41" s="75"/>
      <c r="H41" s="75"/>
      <c r="I41" s="75"/>
      <c r="J41" s="75">
        <f t="shared" si="43"/>
        <v>0</v>
      </c>
      <c r="K41" s="75">
        <f t="shared" si="44"/>
        <v>0</v>
      </c>
    </row>
    <row r="42">
      <c r="A42" s="113" t="s">
        <v>199</v>
      </c>
      <c r="B42" s="75"/>
      <c r="C42" s="75"/>
      <c r="D42" s="75"/>
      <c r="E42" s="75"/>
      <c r="F42" s="75"/>
      <c r="G42" s="75"/>
      <c r="H42" s="75"/>
      <c r="I42" s="75"/>
      <c r="J42" s="75">
        <f t="shared" si="43"/>
        <v>0</v>
      </c>
      <c r="K42" s="75">
        <f t="shared" si="44"/>
        <v>0</v>
      </c>
    </row>
    <row r="43">
      <c r="A43" s="113" t="s">
        <v>200</v>
      </c>
      <c r="B43" s="75"/>
      <c r="C43" s="75"/>
      <c r="D43" s="75"/>
      <c r="E43" s="75"/>
      <c r="F43" s="75"/>
      <c r="G43" s="75"/>
      <c r="H43" s="75"/>
      <c r="I43" s="75"/>
      <c r="J43" s="75">
        <f t="shared" si="43"/>
        <v>0</v>
      </c>
      <c r="K43" s="75">
        <f t="shared" si="44"/>
        <v>0</v>
      </c>
    </row>
    <row r="44" ht="31.199999999999999">
      <c r="A44" s="113" t="s">
        <v>201</v>
      </c>
      <c r="B44" s="75">
        <v>0</v>
      </c>
      <c r="C44" s="75">
        <v>0</v>
      </c>
      <c r="D44" s="75"/>
      <c r="E44" s="75"/>
      <c r="F44" s="75"/>
      <c r="G44" s="75"/>
      <c r="H44" s="75"/>
      <c r="I44" s="75"/>
      <c r="J44" s="75">
        <f t="shared" si="43"/>
        <v>0</v>
      </c>
      <c r="K44" s="75">
        <f t="shared" si="44"/>
        <v>0</v>
      </c>
    </row>
    <row r="45">
      <c r="A45" s="113" t="s">
        <v>202</v>
      </c>
      <c r="B45" s="75">
        <v>0</v>
      </c>
      <c r="C45" s="75">
        <v>0</v>
      </c>
      <c r="D45" s="75"/>
      <c r="E45" s="75"/>
      <c r="F45" s="75"/>
      <c r="G45" s="75"/>
      <c r="H45" s="75"/>
      <c r="I45" s="75"/>
      <c r="J45" s="75">
        <f t="shared" si="43"/>
        <v>0</v>
      </c>
      <c r="K45" s="75">
        <f t="shared" si="44"/>
        <v>0</v>
      </c>
    </row>
    <row r="46">
      <c r="A46" s="113" t="s">
        <v>203</v>
      </c>
      <c r="B46" s="75">
        <v>0</v>
      </c>
      <c r="C46" s="75">
        <v>0</v>
      </c>
      <c r="D46" s="75"/>
      <c r="E46" s="75"/>
      <c r="F46" s="75"/>
      <c r="G46" s="75"/>
      <c r="H46" s="75"/>
      <c r="I46" s="75"/>
      <c r="J46" s="75">
        <f t="shared" si="43"/>
        <v>0</v>
      </c>
      <c r="K46" s="75">
        <f t="shared" si="44"/>
        <v>0</v>
      </c>
    </row>
    <row r="47">
      <c r="A47" s="113" t="s">
        <v>204</v>
      </c>
      <c r="B47" s="75">
        <v>0</v>
      </c>
      <c r="C47" s="75">
        <v>0</v>
      </c>
      <c r="D47" s="75"/>
      <c r="E47" s="75"/>
      <c r="F47" s="75"/>
      <c r="G47" s="75"/>
      <c r="H47" s="75"/>
      <c r="I47" s="75"/>
      <c r="J47" s="75">
        <f t="shared" si="43"/>
        <v>0</v>
      </c>
      <c r="K47" s="75">
        <f t="shared" si="44"/>
        <v>0</v>
      </c>
    </row>
    <row r="48" ht="31.199999999999999">
      <c r="A48" s="113" t="s">
        <v>205</v>
      </c>
      <c r="B48" s="75"/>
      <c r="C48" s="75"/>
      <c r="D48" s="75"/>
      <c r="E48" s="75"/>
      <c r="F48" s="75"/>
      <c r="G48" s="75"/>
      <c r="H48" s="75"/>
      <c r="I48" s="75"/>
      <c r="J48" s="75">
        <f t="shared" si="43"/>
        <v>0</v>
      </c>
      <c r="K48" s="75">
        <f t="shared" si="44"/>
        <v>0</v>
      </c>
    </row>
    <row r="49" ht="31.199999999999999">
      <c r="A49" s="113" t="s">
        <v>206</v>
      </c>
      <c r="B49" s="75"/>
      <c r="C49" s="75"/>
      <c r="D49" s="75"/>
      <c r="E49" s="75"/>
      <c r="F49" s="75"/>
      <c r="G49" s="75"/>
      <c r="H49" s="75"/>
      <c r="I49" s="75"/>
      <c r="J49" s="75">
        <f t="shared" si="43"/>
        <v>0</v>
      </c>
      <c r="K49" s="75">
        <f t="shared" si="44"/>
        <v>0</v>
      </c>
    </row>
    <row r="50" ht="31.199999999999999">
      <c r="A50" s="113" t="s">
        <v>207</v>
      </c>
      <c r="B50" s="75"/>
      <c r="C50" s="75"/>
      <c r="D50" s="75"/>
      <c r="E50" s="75"/>
      <c r="F50" s="75"/>
      <c r="G50" s="75"/>
      <c r="H50" s="75"/>
      <c r="I50" s="75"/>
      <c r="J50" s="75"/>
      <c r="K50" s="75"/>
    </row>
    <row r="51" ht="78">
      <c r="A51" s="113" t="s">
        <v>208</v>
      </c>
      <c r="B51" s="75"/>
      <c r="C51" s="75"/>
      <c r="D51" s="75"/>
      <c r="E51" s="75"/>
      <c r="F51" s="75"/>
      <c r="G51" s="75"/>
      <c r="H51" s="75"/>
      <c r="I51" s="75"/>
      <c r="J51" s="75">
        <f>B51+D51+E51+H51</f>
        <v>0</v>
      </c>
      <c r="K51" s="75">
        <f>C51+F51+G51-I51</f>
        <v>0</v>
      </c>
    </row>
    <row r="52" ht="16.199999999999999">
      <c r="A52" s="116"/>
      <c r="B52" s="119"/>
      <c r="C52" s="120"/>
      <c r="D52" s="121"/>
      <c r="E52" s="109"/>
      <c r="F52" s="109"/>
      <c r="G52" s="109"/>
    </row>
    <row r="53">
      <c r="C53" s="108" t="s">
        <v>209</v>
      </c>
      <c r="D53" s="109"/>
      <c r="E53" s="109"/>
      <c r="F53" s="109"/>
      <c r="G53" s="109"/>
    </row>
    <row r="54">
      <c r="A54" s="110" t="s">
        <v>177</v>
      </c>
      <c r="B54" s="111" t="s">
        <v>178</v>
      </c>
      <c r="C54" s="111"/>
      <c r="D54" s="75" t="s">
        <v>179</v>
      </c>
      <c r="E54" s="75" t="s">
        <v>180</v>
      </c>
      <c r="F54" s="75"/>
      <c r="G54" s="112" t="s">
        <v>181</v>
      </c>
      <c r="H54" s="123" t="s">
        <v>195</v>
      </c>
      <c r="I54" s="124"/>
      <c r="J54" s="111" t="s">
        <v>183</v>
      </c>
      <c r="K54" s="111"/>
    </row>
    <row r="55" ht="55.5" customHeight="1">
      <c r="A55" s="113" t="s">
        <v>184</v>
      </c>
      <c r="B55" s="75" t="s">
        <v>185</v>
      </c>
      <c r="C55" s="114" t="s">
        <v>186</v>
      </c>
      <c r="D55" s="75"/>
      <c r="E55" s="75" t="s">
        <v>185</v>
      </c>
      <c r="F55" s="114" t="s">
        <v>186</v>
      </c>
      <c r="G55" s="115"/>
      <c r="H55" s="75" t="s">
        <v>185</v>
      </c>
      <c r="I55" s="114" t="s">
        <v>186</v>
      </c>
      <c r="J55" s="75" t="s">
        <v>185</v>
      </c>
      <c r="K55" s="114" t="s">
        <v>186</v>
      </c>
    </row>
    <row r="56" ht="12.75" customHeight="1">
      <c r="A56" s="113">
        <v>1</v>
      </c>
      <c r="B56" s="75">
        <v>2</v>
      </c>
      <c r="C56" s="75">
        <v>3</v>
      </c>
      <c r="D56" s="75"/>
      <c r="E56" s="75"/>
      <c r="F56" s="75"/>
      <c r="G56" s="75"/>
      <c r="H56" s="75"/>
      <c r="I56" s="75"/>
      <c r="J56" s="75"/>
      <c r="K56" s="75"/>
    </row>
    <row r="57" ht="45" customHeight="1">
      <c r="A57" s="113" t="s">
        <v>196</v>
      </c>
      <c r="B57" s="75">
        <f t="shared" ref="B57:B70" si="45">J38</f>
        <v>0</v>
      </c>
      <c r="C57" s="75">
        <f t="shared" ref="C57:C70" si="46">K38</f>
        <v>0</v>
      </c>
      <c r="D57" s="75">
        <f>SUM(D58:D70)</f>
        <v>0</v>
      </c>
      <c r="E57" s="75">
        <f t="shared" ref="E57:K57" si="47">SUM(E58:E70)</f>
        <v>0</v>
      </c>
      <c r="F57" s="75">
        <f t="shared" si="47"/>
        <v>0</v>
      </c>
      <c r="G57" s="75">
        <f t="shared" si="47"/>
        <v>0</v>
      </c>
      <c r="H57" s="75">
        <f t="shared" si="47"/>
        <v>0</v>
      </c>
      <c r="I57" s="75">
        <f t="shared" si="47"/>
        <v>0</v>
      </c>
      <c r="J57" s="75">
        <f t="shared" si="47"/>
        <v>0</v>
      </c>
      <c r="K57" s="75">
        <f t="shared" si="47"/>
        <v>0</v>
      </c>
      <c r="L57" s="101">
        <f>B57+C57-'1'!D10</f>
        <v>-3835076</v>
      </c>
      <c r="M57" s="101">
        <f>J57+K57-'1'!C10</f>
        <v>-8002783</v>
      </c>
    </row>
    <row r="58">
      <c r="A58" s="113" t="s">
        <v>153</v>
      </c>
      <c r="B58" s="75">
        <f t="shared" si="45"/>
        <v>0</v>
      </c>
      <c r="C58" s="75">
        <f t="shared" si="46"/>
        <v>0</v>
      </c>
      <c r="D58" s="75"/>
      <c r="E58" s="75"/>
      <c r="F58" s="75"/>
      <c r="G58" s="75"/>
      <c r="H58" s="75"/>
      <c r="I58" s="75"/>
      <c r="J58" s="75">
        <f>B58+D58+E58</f>
        <v>0</v>
      </c>
      <c r="K58" s="75">
        <f t="shared" ref="K58:K68" si="48">C58+F58+G58</f>
        <v>0</v>
      </c>
    </row>
    <row r="59">
      <c r="A59" s="113" t="s">
        <v>197</v>
      </c>
      <c r="B59" s="75">
        <f t="shared" si="45"/>
        <v>0</v>
      </c>
      <c r="C59" s="75">
        <f t="shared" si="46"/>
        <v>0</v>
      </c>
      <c r="D59" s="75"/>
      <c r="E59" s="75"/>
      <c r="F59" s="75"/>
      <c r="G59" s="75"/>
      <c r="H59" s="75"/>
      <c r="I59" s="75"/>
      <c r="J59" s="75">
        <f t="shared" ref="J59:J68" si="49">B59+D59+E59+H59</f>
        <v>0</v>
      </c>
      <c r="K59" s="75">
        <f t="shared" si="48"/>
        <v>0</v>
      </c>
    </row>
    <row r="60" ht="31.199999999999999">
      <c r="A60" s="113" t="s">
        <v>198</v>
      </c>
      <c r="B60" s="75">
        <f t="shared" si="45"/>
        <v>0</v>
      </c>
      <c r="C60" s="75">
        <f t="shared" si="46"/>
        <v>0</v>
      </c>
      <c r="D60" s="75"/>
      <c r="E60" s="75"/>
      <c r="F60" s="75"/>
      <c r="G60" s="75"/>
      <c r="H60" s="75"/>
      <c r="I60" s="75"/>
      <c r="J60" s="75">
        <f t="shared" si="49"/>
        <v>0</v>
      </c>
      <c r="K60" s="75">
        <f t="shared" si="48"/>
        <v>0</v>
      </c>
    </row>
    <row r="61">
      <c r="A61" s="113" t="s">
        <v>199</v>
      </c>
      <c r="B61" s="75">
        <f t="shared" si="45"/>
        <v>0</v>
      </c>
      <c r="C61" s="75">
        <f t="shared" si="46"/>
        <v>0</v>
      </c>
      <c r="D61" s="75"/>
      <c r="E61" s="75"/>
      <c r="F61" s="75"/>
      <c r="G61" s="75"/>
      <c r="H61" s="75"/>
      <c r="I61" s="75"/>
      <c r="J61" s="75">
        <f t="shared" si="49"/>
        <v>0</v>
      </c>
      <c r="K61" s="75">
        <f t="shared" si="48"/>
        <v>0</v>
      </c>
    </row>
    <row r="62">
      <c r="A62" s="113" t="s">
        <v>200</v>
      </c>
      <c r="B62" s="75">
        <f t="shared" si="45"/>
        <v>0</v>
      </c>
      <c r="C62" s="75">
        <f t="shared" si="46"/>
        <v>0</v>
      </c>
      <c r="D62" s="75"/>
      <c r="E62" s="75"/>
      <c r="F62" s="75"/>
      <c r="G62" s="75"/>
      <c r="H62" s="75"/>
      <c r="I62" s="75"/>
      <c r="J62" s="75">
        <f t="shared" si="49"/>
        <v>0</v>
      </c>
      <c r="K62" s="75">
        <f t="shared" si="48"/>
        <v>0</v>
      </c>
    </row>
    <row r="63" ht="31.199999999999999">
      <c r="A63" s="113" t="s">
        <v>201</v>
      </c>
      <c r="B63" s="75">
        <f t="shared" si="45"/>
        <v>0</v>
      </c>
      <c r="C63" s="75">
        <f t="shared" si="46"/>
        <v>0</v>
      </c>
      <c r="D63" s="75"/>
      <c r="E63" s="75"/>
      <c r="F63" s="75"/>
      <c r="G63" s="75"/>
      <c r="H63" s="75"/>
      <c r="I63" s="75"/>
      <c r="J63" s="75">
        <f t="shared" si="49"/>
        <v>0</v>
      </c>
      <c r="K63" s="75">
        <f t="shared" si="48"/>
        <v>0</v>
      </c>
    </row>
    <row r="64" ht="12.75" customHeight="1">
      <c r="A64" s="113" t="s">
        <v>202</v>
      </c>
      <c r="B64" s="75">
        <f t="shared" si="45"/>
        <v>0</v>
      </c>
      <c r="C64" s="75">
        <f t="shared" si="46"/>
        <v>0</v>
      </c>
      <c r="D64" s="75"/>
      <c r="E64" s="75"/>
      <c r="F64" s="75"/>
      <c r="G64" s="75"/>
      <c r="H64" s="75"/>
      <c r="I64" s="75"/>
      <c r="J64" s="75">
        <f t="shared" si="49"/>
        <v>0</v>
      </c>
      <c r="K64" s="75">
        <f t="shared" si="48"/>
        <v>0</v>
      </c>
    </row>
    <row r="65">
      <c r="A65" s="113" t="s">
        <v>203</v>
      </c>
      <c r="B65" s="75">
        <f t="shared" si="45"/>
        <v>0</v>
      </c>
      <c r="C65" s="75">
        <f t="shared" si="46"/>
        <v>0</v>
      </c>
      <c r="D65" s="75"/>
      <c r="E65" s="75"/>
      <c r="F65" s="75"/>
      <c r="G65" s="75"/>
      <c r="H65" s="75"/>
      <c r="I65" s="75"/>
      <c r="J65" s="75">
        <f t="shared" si="49"/>
        <v>0</v>
      </c>
      <c r="K65" s="75">
        <f t="shared" si="48"/>
        <v>0</v>
      </c>
    </row>
    <row r="66">
      <c r="A66" s="113" t="s">
        <v>204</v>
      </c>
      <c r="B66" s="75">
        <f t="shared" si="45"/>
        <v>0</v>
      </c>
      <c r="C66" s="75">
        <f t="shared" si="46"/>
        <v>0</v>
      </c>
      <c r="D66" s="75"/>
      <c r="E66" s="75"/>
      <c r="F66" s="75"/>
      <c r="G66" s="75"/>
      <c r="H66" s="75"/>
      <c r="I66" s="75"/>
      <c r="J66" s="75">
        <f t="shared" si="49"/>
        <v>0</v>
      </c>
      <c r="K66" s="75">
        <f t="shared" si="48"/>
        <v>0</v>
      </c>
    </row>
    <row r="67" ht="31.199999999999999">
      <c r="A67" s="113" t="s">
        <v>205</v>
      </c>
      <c r="B67" s="75">
        <f t="shared" si="45"/>
        <v>0</v>
      </c>
      <c r="C67" s="75">
        <f t="shared" si="46"/>
        <v>0</v>
      </c>
      <c r="D67" s="75"/>
      <c r="E67" s="75"/>
      <c r="F67" s="75"/>
      <c r="G67" s="75"/>
      <c r="H67" s="75"/>
      <c r="I67" s="75"/>
      <c r="J67" s="75">
        <f t="shared" si="49"/>
        <v>0</v>
      </c>
      <c r="K67" s="75">
        <f t="shared" si="48"/>
        <v>0</v>
      </c>
    </row>
    <row r="68" ht="31.199999999999999">
      <c r="A68" s="113" t="s">
        <v>206</v>
      </c>
      <c r="B68" s="75">
        <f t="shared" si="45"/>
        <v>0</v>
      </c>
      <c r="C68" s="75">
        <f t="shared" si="46"/>
        <v>0</v>
      </c>
      <c r="D68" s="75"/>
      <c r="E68" s="75"/>
      <c r="F68" s="75"/>
      <c r="G68" s="75"/>
      <c r="H68" s="75"/>
      <c r="I68" s="75"/>
      <c r="J68" s="75">
        <f t="shared" si="49"/>
        <v>0</v>
      </c>
      <c r="K68" s="75">
        <f t="shared" si="48"/>
        <v>0</v>
      </c>
    </row>
    <row r="69" ht="31.199999999999999">
      <c r="A69" s="113" t="s">
        <v>207</v>
      </c>
      <c r="B69" s="75">
        <f t="shared" si="45"/>
        <v>0</v>
      </c>
      <c r="C69" s="75">
        <f t="shared" si="46"/>
        <v>0</v>
      </c>
      <c r="D69" s="75"/>
      <c r="E69" s="75"/>
      <c r="F69" s="75"/>
      <c r="G69" s="75"/>
      <c r="H69" s="75"/>
      <c r="I69" s="75"/>
      <c r="J69" s="75"/>
      <c r="K69" s="75"/>
    </row>
    <row r="70" ht="78">
      <c r="A70" s="113" t="s">
        <v>208</v>
      </c>
      <c r="B70" s="75">
        <f t="shared" si="45"/>
        <v>0</v>
      </c>
      <c r="C70" s="75">
        <f t="shared" si="46"/>
        <v>0</v>
      </c>
      <c r="D70" s="75"/>
      <c r="E70" s="75"/>
      <c r="F70" s="75"/>
      <c r="G70" s="75"/>
      <c r="H70" s="75"/>
      <c r="I70" s="75"/>
      <c r="J70" s="75"/>
      <c r="K70" s="75">
        <f>C70+F70+G70-I70</f>
        <v>0</v>
      </c>
    </row>
    <row r="71" ht="16.199999999999999">
      <c r="A71" s="116"/>
      <c r="C71" s="117"/>
      <c r="D71" s="109"/>
      <c r="E71" s="109"/>
      <c r="F71" s="109"/>
      <c r="G71" s="109"/>
    </row>
    <row r="72">
      <c r="A72" s="104" t="s">
        <v>210</v>
      </c>
      <c r="D72" s="109"/>
      <c r="E72" s="109"/>
      <c r="F72" s="109"/>
      <c r="G72" s="109"/>
    </row>
    <row r="73" ht="31.199999999999999">
      <c r="A73" s="113" t="s">
        <v>57</v>
      </c>
      <c r="B73" s="75" t="s">
        <v>15</v>
      </c>
      <c r="C73" s="75" t="s">
        <v>211</v>
      </c>
      <c r="D73" s="75" t="s">
        <v>212</v>
      </c>
      <c r="E73" s="109"/>
      <c r="F73" s="109"/>
      <c r="G73" s="109"/>
    </row>
    <row r="74" ht="46.799999999999997">
      <c r="A74" s="113" t="s">
        <v>213</v>
      </c>
      <c r="B74" s="75"/>
      <c r="C74" s="75"/>
      <c r="D74" s="75"/>
      <c r="E74" s="109"/>
      <c r="G74" s="109"/>
    </row>
    <row r="75" ht="46.799999999999997">
      <c r="A75" s="113" t="s">
        <v>214</v>
      </c>
      <c r="B75" s="75"/>
      <c r="C75" s="75"/>
      <c r="D75" s="75"/>
      <c r="E75" s="109"/>
      <c r="G75" s="109"/>
    </row>
    <row r="76" ht="31.199999999999999">
      <c r="A76" s="113" t="s">
        <v>215</v>
      </c>
      <c r="B76" s="75"/>
      <c r="C76" s="75"/>
      <c r="D76" s="75"/>
      <c r="G76" s="109"/>
    </row>
    <row r="77" ht="33" customHeight="1">
      <c r="A77" s="113" t="s">
        <v>216</v>
      </c>
      <c r="B77" s="75"/>
      <c r="C77" s="75"/>
      <c r="D77" s="75"/>
      <c r="F77" s="109"/>
    </row>
    <row r="78">
      <c r="A78" s="116"/>
      <c r="B78" s="119"/>
      <c r="G78" s="109"/>
    </row>
    <row r="79">
      <c r="C79" s="108" t="s">
        <v>217</v>
      </c>
      <c r="D79" s="109"/>
      <c r="E79" s="109"/>
      <c r="F79" s="109"/>
      <c r="G79" s="109"/>
    </row>
    <row r="80" ht="40.5" customHeight="1">
      <c r="A80" s="125" t="s">
        <v>177</v>
      </c>
      <c r="B80" s="111" t="s">
        <v>178</v>
      </c>
      <c r="C80" s="111"/>
      <c r="D80" s="75" t="s">
        <v>179</v>
      </c>
      <c r="E80" s="75" t="s">
        <v>218</v>
      </c>
      <c r="F80" s="75" t="s">
        <v>180</v>
      </c>
      <c r="G80" s="75"/>
      <c r="H80" s="75"/>
      <c r="I80" s="126" t="s">
        <v>219</v>
      </c>
      <c r="J80" s="127"/>
      <c r="K80" s="111" t="s">
        <v>183</v>
      </c>
      <c r="L80" s="111"/>
    </row>
    <row r="81" ht="109.2">
      <c r="A81" s="128"/>
      <c r="B81" s="75" t="s">
        <v>185</v>
      </c>
      <c r="C81" s="114" t="s">
        <v>220</v>
      </c>
      <c r="D81" s="75"/>
      <c r="E81" s="75"/>
      <c r="F81" s="115" t="s">
        <v>185</v>
      </c>
      <c r="G81" s="129" t="s">
        <v>221</v>
      </c>
      <c r="H81" s="130" t="s">
        <v>220</v>
      </c>
      <c r="I81" s="131" t="s">
        <v>222</v>
      </c>
      <c r="J81" s="131" t="s">
        <v>223</v>
      </c>
      <c r="K81" s="75" t="s">
        <v>185</v>
      </c>
      <c r="L81" s="114" t="s">
        <v>220</v>
      </c>
    </row>
    <row r="82">
      <c r="A82" s="113" t="s">
        <v>224</v>
      </c>
      <c r="B82" s="75"/>
      <c r="C82" s="75"/>
      <c r="D82" s="75">
        <f t="shared" ref="D82:J82" si="50">D85+D86+D87+D88+D89+D90</f>
        <v>0</v>
      </c>
      <c r="E82" s="75">
        <f t="shared" si="50"/>
        <v>0</v>
      </c>
      <c r="F82" s="75">
        <f t="shared" si="50"/>
        <v>0</v>
      </c>
      <c r="G82" s="75">
        <f t="shared" si="50"/>
        <v>0</v>
      </c>
      <c r="H82" s="75">
        <f t="shared" si="50"/>
        <v>0</v>
      </c>
      <c r="I82" s="75">
        <f t="shared" si="50"/>
        <v>0</v>
      </c>
      <c r="J82" s="75">
        <f t="shared" si="50"/>
        <v>0</v>
      </c>
      <c r="K82" s="75">
        <f>K85+K86+K87+K88+K89+K90</f>
        <v>0</v>
      </c>
      <c r="L82" s="75">
        <f t="shared" ref="L82:L83" si="51">C82+H82+J82</f>
        <v>0</v>
      </c>
      <c r="M82" s="101">
        <f>B82+C82-'1'!E12</f>
        <v>-14629278</v>
      </c>
      <c r="N82" s="101">
        <f>K82+L82-'1'!D12</f>
        <v>-8392766</v>
      </c>
    </row>
    <row r="83">
      <c r="A83" s="113" t="s">
        <v>153</v>
      </c>
      <c r="B83" s="75">
        <v>0</v>
      </c>
      <c r="C83" s="75">
        <v>0</v>
      </c>
      <c r="D83" s="75"/>
      <c r="E83" s="75"/>
      <c r="F83" s="75"/>
      <c r="G83" s="75"/>
      <c r="H83" s="75"/>
      <c r="I83" s="75"/>
      <c r="J83" s="75"/>
      <c r="K83" s="75">
        <f>B83+D83+E83+F83+G83+I83</f>
        <v>0</v>
      </c>
      <c r="L83" s="75">
        <f t="shared" si="51"/>
        <v>0</v>
      </c>
    </row>
    <row r="84" ht="46.799999999999997">
      <c r="A84" s="132" t="s">
        <v>225</v>
      </c>
      <c r="B84" s="75"/>
      <c r="C84" s="75"/>
      <c r="D84" s="75">
        <f t="shared" ref="D84:J84" si="52">D85+D86+D87</f>
        <v>0</v>
      </c>
      <c r="E84" s="75">
        <f t="shared" si="52"/>
        <v>0</v>
      </c>
      <c r="F84" s="75">
        <f t="shared" si="52"/>
        <v>0</v>
      </c>
      <c r="G84" s="75">
        <f t="shared" si="52"/>
        <v>0</v>
      </c>
      <c r="H84" s="75">
        <f t="shared" si="52"/>
        <v>0</v>
      </c>
      <c r="I84" s="75">
        <f t="shared" si="52"/>
        <v>0</v>
      </c>
      <c r="J84" s="75">
        <f t="shared" si="52"/>
        <v>0</v>
      </c>
      <c r="K84" s="75">
        <f>K85+K86+K87</f>
        <v>0</v>
      </c>
      <c r="L84" s="75">
        <f>L85+L86+L87</f>
        <v>0</v>
      </c>
    </row>
    <row r="85" ht="31.199999999999999">
      <c r="A85" s="132" t="s">
        <v>226</v>
      </c>
      <c r="B85" s="75"/>
      <c r="C85" s="75"/>
      <c r="D85" s="75"/>
      <c r="E85" s="75"/>
      <c r="F85" s="75"/>
      <c r="G85" s="75"/>
      <c r="H85" s="75"/>
      <c r="I85" s="75"/>
      <c r="J85" s="75"/>
      <c r="K85" s="75">
        <f t="shared" ref="K85:K96" si="53">B85+D85+E85+F85+G85+I85</f>
        <v>0</v>
      </c>
      <c r="L85" s="75">
        <f t="shared" ref="L85:L96" si="54">C85+H85+J85</f>
        <v>0</v>
      </c>
    </row>
    <row r="86" ht="31.199999999999999">
      <c r="A86" s="132" t="s">
        <v>227</v>
      </c>
      <c r="B86" s="75"/>
      <c r="C86" s="75"/>
      <c r="D86" s="75"/>
      <c r="E86" s="75"/>
      <c r="F86" s="75"/>
      <c r="G86" s="75"/>
      <c r="H86" s="75"/>
      <c r="I86" s="75"/>
      <c r="J86" s="75"/>
      <c r="K86" s="75">
        <f t="shared" si="53"/>
        <v>0</v>
      </c>
      <c r="L86" s="75">
        <f t="shared" si="54"/>
        <v>0</v>
      </c>
    </row>
    <row r="87">
      <c r="A87" s="132" t="s">
        <v>228</v>
      </c>
      <c r="B87" s="75"/>
      <c r="C87" s="75"/>
      <c r="D87" s="75"/>
      <c r="E87" s="75"/>
      <c r="F87" s="75"/>
      <c r="G87" s="75"/>
      <c r="H87" s="75"/>
      <c r="I87" s="75"/>
      <c r="J87" s="75"/>
      <c r="K87" s="75">
        <f t="shared" si="53"/>
        <v>0</v>
      </c>
      <c r="L87" s="75">
        <f t="shared" si="54"/>
        <v>0</v>
      </c>
    </row>
    <row r="88">
      <c r="A88" s="113" t="s">
        <v>229</v>
      </c>
      <c r="B88" s="75"/>
      <c r="C88" s="75"/>
      <c r="D88" s="75"/>
      <c r="E88" s="75"/>
      <c r="F88" s="75"/>
      <c r="G88" s="75"/>
      <c r="H88" s="75"/>
      <c r="I88" s="75"/>
      <c r="J88" s="75"/>
      <c r="K88" s="75">
        <f t="shared" si="53"/>
        <v>0</v>
      </c>
      <c r="L88" s="75">
        <f t="shared" si="54"/>
        <v>0</v>
      </c>
    </row>
    <row r="89">
      <c r="A89" s="113" t="s">
        <v>230</v>
      </c>
      <c r="B89" s="75"/>
      <c r="C89" s="75"/>
      <c r="D89" s="75"/>
      <c r="E89" s="75"/>
      <c r="F89" s="75"/>
      <c r="G89" s="75"/>
      <c r="H89" s="75"/>
      <c r="I89" s="75"/>
      <c r="J89" s="75"/>
      <c r="K89" s="75">
        <f t="shared" si="53"/>
        <v>0</v>
      </c>
      <c r="L89" s="75">
        <f t="shared" si="54"/>
        <v>0</v>
      </c>
    </row>
    <row r="90">
      <c r="A90" s="113" t="s">
        <v>231</v>
      </c>
      <c r="B90" s="75"/>
      <c r="C90" s="75"/>
      <c r="D90" s="75"/>
      <c r="E90" s="75"/>
      <c r="F90" s="75"/>
      <c r="G90" s="75"/>
      <c r="H90" s="75"/>
      <c r="I90" s="75"/>
      <c r="J90" s="75"/>
      <c r="K90" s="75">
        <f t="shared" si="53"/>
        <v>0</v>
      </c>
      <c r="L90" s="75">
        <f t="shared" si="54"/>
        <v>0</v>
      </c>
    </row>
    <row r="91" ht="39" customHeight="1">
      <c r="A91" s="113" t="s">
        <v>232</v>
      </c>
      <c r="B91" s="75"/>
      <c r="C91" s="75">
        <v>0</v>
      </c>
      <c r="D91" s="75">
        <f t="shared" ref="D91:J91" si="55">D93+D94+D95+D96</f>
        <v>0</v>
      </c>
      <c r="E91" s="75">
        <f t="shared" si="55"/>
        <v>0</v>
      </c>
      <c r="F91" s="75">
        <f t="shared" si="55"/>
        <v>0</v>
      </c>
      <c r="G91" s="75">
        <f t="shared" si="55"/>
        <v>0</v>
      </c>
      <c r="H91" s="75">
        <f t="shared" si="55"/>
        <v>0</v>
      </c>
      <c r="I91" s="75">
        <f t="shared" si="55"/>
        <v>0</v>
      </c>
      <c r="J91" s="75">
        <f t="shared" si="55"/>
        <v>0</v>
      </c>
      <c r="K91" s="75">
        <f t="shared" si="53"/>
        <v>0</v>
      </c>
      <c r="L91" s="75">
        <f t="shared" si="54"/>
        <v>0</v>
      </c>
      <c r="M91" s="101">
        <f>B91-'1'!E22</f>
        <v>-22234137</v>
      </c>
    </row>
    <row r="92" ht="15.75" customHeight="1">
      <c r="A92" s="113" t="s">
        <v>153</v>
      </c>
      <c r="B92" s="75"/>
      <c r="C92" s="75">
        <v>0</v>
      </c>
      <c r="D92" s="75"/>
      <c r="E92" s="75"/>
      <c r="F92" s="75"/>
      <c r="G92" s="75"/>
      <c r="H92" s="75"/>
      <c r="I92" s="75"/>
      <c r="J92" s="75"/>
      <c r="K92" s="75">
        <f t="shared" si="53"/>
        <v>0</v>
      </c>
      <c r="L92" s="75">
        <f t="shared" si="54"/>
        <v>0</v>
      </c>
      <c r="M92" s="101">
        <f>K91+L91-'1'!D22</f>
        <v>-27313352</v>
      </c>
    </row>
    <row r="93" ht="15.75" customHeight="1">
      <c r="A93" s="113" t="s">
        <v>233</v>
      </c>
      <c r="B93" s="75"/>
      <c r="C93" s="75">
        <v>0</v>
      </c>
      <c r="D93" s="75"/>
      <c r="E93" s="75"/>
      <c r="F93" s="75"/>
      <c r="G93" s="75"/>
      <c r="H93" s="75"/>
      <c r="I93" s="75"/>
      <c r="J93" s="75"/>
      <c r="K93" s="75">
        <f t="shared" si="53"/>
        <v>0</v>
      </c>
      <c r="L93" s="75">
        <f t="shared" si="54"/>
        <v>0</v>
      </c>
    </row>
    <row r="94" ht="51" customHeight="1">
      <c r="A94" s="113" t="s">
        <v>229</v>
      </c>
      <c r="B94" s="75"/>
      <c r="C94" s="75">
        <v>0</v>
      </c>
      <c r="D94" s="75"/>
      <c r="E94" s="75"/>
      <c r="F94" s="75"/>
      <c r="G94" s="75"/>
      <c r="H94" s="75"/>
      <c r="I94" s="75"/>
      <c r="J94" s="75"/>
      <c r="K94" s="75">
        <f t="shared" si="53"/>
        <v>0</v>
      </c>
      <c r="L94" s="75">
        <f t="shared" si="54"/>
        <v>0</v>
      </c>
    </row>
    <row r="95" ht="18.75" customHeight="1">
      <c r="A95" s="113" t="s">
        <v>230</v>
      </c>
      <c r="B95" s="75"/>
      <c r="C95" s="75">
        <v>0</v>
      </c>
      <c r="D95" s="75"/>
      <c r="E95" s="75"/>
      <c r="F95" s="75"/>
      <c r="G95" s="75"/>
      <c r="H95" s="75"/>
      <c r="I95" s="75"/>
      <c r="J95" s="75"/>
      <c r="K95" s="75">
        <f t="shared" si="53"/>
        <v>0</v>
      </c>
      <c r="L95" s="75">
        <f t="shared" si="54"/>
        <v>0</v>
      </c>
    </row>
    <row r="96" ht="18.75" customHeight="1">
      <c r="A96" s="113" t="s">
        <v>231</v>
      </c>
      <c r="B96" s="75">
        <v>0</v>
      </c>
      <c r="C96" s="75">
        <v>0</v>
      </c>
      <c r="D96" s="75"/>
      <c r="E96" s="75"/>
      <c r="F96" s="75"/>
      <c r="G96" s="75"/>
      <c r="H96" s="75"/>
      <c r="I96" s="75"/>
      <c r="J96" s="75"/>
      <c r="K96" s="75">
        <f t="shared" si="53"/>
        <v>0</v>
      </c>
      <c r="L96" s="75">
        <f t="shared" si="54"/>
        <v>0</v>
      </c>
    </row>
    <row r="97" ht="38.25" customHeight="1">
      <c r="A97" s="113" t="s">
        <v>234</v>
      </c>
      <c r="B97" s="75"/>
      <c r="C97" s="75"/>
      <c r="D97" s="75">
        <f>D82+D91</f>
        <v>0</v>
      </c>
      <c r="E97" s="75">
        <f t="shared" ref="E97:J97" si="56">E91+E82</f>
        <v>0</v>
      </c>
      <c r="F97" s="75">
        <f t="shared" si="56"/>
        <v>0</v>
      </c>
      <c r="G97" s="75">
        <f t="shared" si="56"/>
        <v>0</v>
      </c>
      <c r="H97" s="75">
        <f t="shared" si="56"/>
        <v>0</v>
      </c>
      <c r="I97" s="75">
        <f t="shared" si="56"/>
        <v>0</v>
      </c>
      <c r="J97" s="75">
        <f t="shared" si="56"/>
        <v>0</v>
      </c>
      <c r="K97" s="75">
        <f>K91+K82</f>
        <v>0</v>
      </c>
      <c r="L97" s="75">
        <f>L91+L82</f>
        <v>0</v>
      </c>
    </row>
    <row r="98">
      <c r="C98" s="109"/>
      <c r="D98" s="109"/>
      <c r="E98" s="109"/>
      <c r="F98" s="109"/>
      <c r="G98" s="121"/>
    </row>
    <row r="99">
      <c r="C99" s="108" t="s">
        <v>235</v>
      </c>
      <c r="D99" s="109"/>
      <c r="E99" s="109"/>
      <c r="F99" s="109"/>
      <c r="G99" s="109"/>
    </row>
    <row r="100" ht="40.5" customHeight="1">
      <c r="A100" s="125" t="s">
        <v>177</v>
      </c>
      <c r="B100" s="111" t="s">
        <v>178</v>
      </c>
      <c r="C100" s="111"/>
      <c r="D100" s="75" t="s">
        <v>179</v>
      </c>
      <c r="E100" s="75" t="s">
        <v>218</v>
      </c>
      <c r="F100" s="75" t="s">
        <v>180</v>
      </c>
      <c r="G100" s="75"/>
      <c r="H100" s="75"/>
      <c r="I100" s="126" t="s">
        <v>219</v>
      </c>
      <c r="J100" s="127"/>
      <c r="K100" s="111" t="s">
        <v>183</v>
      </c>
      <c r="L100" s="111"/>
    </row>
    <row r="101" ht="109.2">
      <c r="A101" s="128"/>
      <c r="B101" s="75" t="s">
        <v>185</v>
      </c>
      <c r="C101" s="114" t="s">
        <v>220</v>
      </c>
      <c r="D101" s="75"/>
      <c r="E101" s="75"/>
      <c r="F101" s="115" t="s">
        <v>185</v>
      </c>
      <c r="G101" s="129" t="s">
        <v>221</v>
      </c>
      <c r="H101" s="130" t="s">
        <v>220</v>
      </c>
      <c r="I101" s="131" t="s">
        <v>222</v>
      </c>
      <c r="J101" s="131" t="s">
        <v>223</v>
      </c>
      <c r="K101" s="75" t="s">
        <v>185</v>
      </c>
      <c r="L101" s="114" t="s">
        <v>220</v>
      </c>
    </row>
    <row r="102">
      <c r="A102" s="113" t="s">
        <v>224</v>
      </c>
      <c r="B102" s="75">
        <f t="shared" ref="B102:B117" si="57">K82</f>
        <v>0</v>
      </c>
      <c r="C102" s="75">
        <f t="shared" ref="C102:C117" si="58">L82</f>
        <v>0</v>
      </c>
      <c r="D102" s="75">
        <f>D105+D106+D107+D108+D109+D110</f>
        <v>0</v>
      </c>
      <c r="E102" s="75">
        <f t="shared" ref="E102:K102" si="59">E105+E106+E107+E108+E109+E110</f>
        <v>0</v>
      </c>
      <c r="F102" s="75">
        <f t="shared" si="59"/>
        <v>0</v>
      </c>
      <c r="G102" s="75">
        <f t="shared" si="59"/>
        <v>0</v>
      </c>
      <c r="H102" s="75">
        <f t="shared" si="59"/>
        <v>0</v>
      </c>
      <c r="I102" s="75">
        <f t="shared" si="59"/>
        <v>0</v>
      </c>
      <c r="J102" s="75">
        <f t="shared" si="59"/>
        <v>0</v>
      </c>
      <c r="K102" s="75">
        <f t="shared" si="59"/>
        <v>0</v>
      </c>
      <c r="L102" s="75">
        <f t="shared" ref="L102:L103" si="60">C102+H102+J102</f>
        <v>0</v>
      </c>
      <c r="M102" s="101">
        <f>K102+L102-'1'!C12</f>
        <v>-10139182</v>
      </c>
      <c r="N102" s="101">
        <f>K102+L102-'1'!C12</f>
        <v>-10139182</v>
      </c>
    </row>
    <row r="103">
      <c r="A103" s="113" t="s">
        <v>153</v>
      </c>
      <c r="B103" s="75">
        <f t="shared" si="57"/>
        <v>0</v>
      </c>
      <c r="C103" s="75">
        <f t="shared" si="58"/>
        <v>0</v>
      </c>
      <c r="D103" s="75"/>
      <c r="E103" s="75"/>
      <c r="F103" s="75"/>
      <c r="G103" s="75"/>
      <c r="H103" s="75"/>
      <c r="I103" s="75"/>
      <c r="J103" s="75"/>
      <c r="K103" s="75">
        <f>B103+D103+E103+F103+G103+I103</f>
        <v>0</v>
      </c>
      <c r="L103" s="75">
        <f t="shared" si="60"/>
        <v>0</v>
      </c>
    </row>
    <row r="104" ht="46.799999999999997">
      <c r="A104" s="132" t="s">
        <v>225</v>
      </c>
      <c r="B104" s="75">
        <f t="shared" ref="B104:L104" si="61">B105+B106+B107</f>
        <v>0</v>
      </c>
      <c r="C104" s="75">
        <f t="shared" si="61"/>
        <v>0</v>
      </c>
      <c r="D104" s="75">
        <f>D105+D106+D107</f>
        <v>0</v>
      </c>
      <c r="E104" s="75">
        <f t="shared" si="61"/>
        <v>0</v>
      </c>
      <c r="F104" s="75">
        <f t="shared" si="61"/>
        <v>0</v>
      </c>
      <c r="G104" s="75">
        <f t="shared" si="61"/>
        <v>0</v>
      </c>
      <c r="H104" s="75">
        <f t="shared" si="61"/>
        <v>0</v>
      </c>
      <c r="I104" s="75">
        <f t="shared" si="61"/>
        <v>0</v>
      </c>
      <c r="J104" s="75">
        <f t="shared" si="61"/>
        <v>0</v>
      </c>
      <c r="K104" s="75">
        <f t="shared" si="61"/>
        <v>0</v>
      </c>
      <c r="L104" s="75">
        <f t="shared" si="61"/>
        <v>0</v>
      </c>
    </row>
    <row r="105" ht="31.199999999999999">
      <c r="A105" s="132" t="s">
        <v>226</v>
      </c>
      <c r="B105" s="75">
        <f t="shared" si="57"/>
        <v>0</v>
      </c>
      <c r="C105" s="75">
        <f t="shared" si="58"/>
        <v>0</v>
      </c>
      <c r="D105" s="75"/>
      <c r="E105" s="75"/>
      <c r="F105" s="75"/>
      <c r="G105" s="75"/>
      <c r="H105" s="75"/>
      <c r="I105" s="75"/>
      <c r="J105" s="75"/>
      <c r="K105" s="75">
        <f t="shared" ref="K105:K116" si="62">B105+D105+E105+F105+G105+I105</f>
        <v>0</v>
      </c>
      <c r="L105" s="75">
        <f t="shared" ref="L105:L116" si="63">C105+H105+J105</f>
        <v>0</v>
      </c>
    </row>
    <row r="106" ht="31.199999999999999">
      <c r="A106" s="132" t="s">
        <v>227</v>
      </c>
      <c r="B106" s="75">
        <f t="shared" si="57"/>
        <v>0</v>
      </c>
      <c r="C106" s="75">
        <f t="shared" si="58"/>
        <v>0</v>
      </c>
      <c r="D106" s="75"/>
      <c r="E106" s="75"/>
      <c r="F106" s="75"/>
      <c r="G106" s="75"/>
      <c r="H106" s="75"/>
      <c r="I106" s="75"/>
      <c r="J106" s="75"/>
      <c r="K106" s="75">
        <f t="shared" si="62"/>
        <v>0</v>
      </c>
      <c r="L106" s="75">
        <f t="shared" si="63"/>
        <v>0</v>
      </c>
    </row>
    <row r="107">
      <c r="A107" s="132" t="s">
        <v>228</v>
      </c>
      <c r="B107" s="75">
        <f t="shared" si="57"/>
        <v>0</v>
      </c>
      <c r="C107" s="75">
        <f t="shared" si="58"/>
        <v>0</v>
      </c>
      <c r="D107" s="75"/>
      <c r="E107" s="75"/>
      <c r="F107" s="75"/>
      <c r="G107" s="75"/>
      <c r="H107" s="75"/>
      <c r="I107" s="75"/>
      <c r="J107" s="75"/>
      <c r="K107" s="75">
        <f t="shared" si="62"/>
        <v>0</v>
      </c>
      <c r="L107" s="75">
        <f t="shared" si="63"/>
        <v>0</v>
      </c>
    </row>
    <row r="108">
      <c r="A108" s="113" t="s">
        <v>229</v>
      </c>
      <c r="B108" s="75">
        <f t="shared" si="57"/>
        <v>0</v>
      </c>
      <c r="C108" s="75">
        <f t="shared" si="58"/>
        <v>0</v>
      </c>
      <c r="D108" s="75"/>
      <c r="E108" s="75"/>
      <c r="F108" s="75"/>
      <c r="G108" s="75"/>
      <c r="H108" s="75"/>
      <c r="I108" s="75"/>
      <c r="J108" s="75"/>
      <c r="K108" s="75"/>
      <c r="L108" s="75">
        <f t="shared" si="63"/>
        <v>0</v>
      </c>
    </row>
    <row r="109">
      <c r="A109" s="113" t="s">
        <v>230</v>
      </c>
      <c r="B109" s="75">
        <f t="shared" si="57"/>
        <v>0</v>
      </c>
      <c r="C109" s="75">
        <f t="shared" si="58"/>
        <v>0</v>
      </c>
      <c r="D109" s="75"/>
      <c r="E109" s="75"/>
      <c r="F109" s="75"/>
      <c r="G109" s="75"/>
      <c r="H109" s="75"/>
      <c r="I109" s="75"/>
      <c r="J109" s="75"/>
      <c r="K109" s="75">
        <f t="shared" si="62"/>
        <v>0</v>
      </c>
      <c r="L109" s="75">
        <f t="shared" si="63"/>
        <v>0</v>
      </c>
    </row>
    <row r="110">
      <c r="A110" s="113" t="s">
        <v>231</v>
      </c>
      <c r="B110" s="75">
        <f t="shared" si="57"/>
        <v>0</v>
      </c>
      <c r="C110" s="75">
        <f t="shared" si="58"/>
        <v>0</v>
      </c>
      <c r="D110" s="75"/>
      <c r="E110" s="75"/>
      <c r="F110" s="75"/>
      <c r="G110" s="75"/>
      <c r="H110" s="75"/>
      <c r="I110" s="75"/>
      <c r="J110" s="75"/>
      <c r="K110" s="75">
        <f t="shared" si="62"/>
        <v>0</v>
      </c>
      <c r="L110" s="75">
        <f t="shared" si="63"/>
        <v>0</v>
      </c>
    </row>
    <row r="111" ht="39" customHeight="1">
      <c r="A111" s="113" t="s">
        <v>232</v>
      </c>
      <c r="B111" s="75">
        <f t="shared" si="57"/>
        <v>0</v>
      </c>
      <c r="C111" s="75">
        <f t="shared" si="58"/>
        <v>0</v>
      </c>
      <c r="D111" s="75">
        <f t="shared" ref="D111:J111" si="64">D113+D114+D115+D116</f>
        <v>0</v>
      </c>
      <c r="E111" s="75">
        <f t="shared" si="64"/>
        <v>0</v>
      </c>
      <c r="F111" s="75">
        <f t="shared" si="64"/>
        <v>0</v>
      </c>
      <c r="G111" s="75">
        <f t="shared" si="64"/>
        <v>0</v>
      </c>
      <c r="H111" s="75">
        <f t="shared" si="64"/>
        <v>0</v>
      </c>
      <c r="I111" s="75">
        <f t="shared" si="64"/>
        <v>0</v>
      </c>
      <c r="J111" s="75">
        <f t="shared" si="64"/>
        <v>0</v>
      </c>
      <c r="K111" s="75">
        <f t="shared" si="62"/>
        <v>0</v>
      </c>
      <c r="L111" s="75">
        <f t="shared" si="63"/>
        <v>0</v>
      </c>
      <c r="M111" s="101">
        <f>K111-'1'!C22</f>
        <v>-18308260</v>
      </c>
    </row>
    <row r="112" ht="15.75" customHeight="1">
      <c r="A112" s="113" t="s">
        <v>153</v>
      </c>
      <c r="B112" s="75">
        <f t="shared" si="57"/>
        <v>0</v>
      </c>
      <c r="C112" s="75">
        <f t="shared" si="58"/>
        <v>0</v>
      </c>
      <c r="D112" s="75"/>
      <c r="E112" s="75"/>
      <c r="F112" s="75"/>
      <c r="G112" s="75"/>
      <c r="H112" s="75"/>
      <c r="I112" s="75"/>
      <c r="J112" s="75"/>
      <c r="K112" s="75">
        <f t="shared" si="62"/>
        <v>0</v>
      </c>
      <c r="L112" s="75">
        <f t="shared" si="63"/>
        <v>0</v>
      </c>
    </row>
    <row r="113" ht="15.75" customHeight="1">
      <c r="A113" s="113" t="s">
        <v>233</v>
      </c>
      <c r="B113" s="75">
        <f t="shared" si="57"/>
        <v>0</v>
      </c>
      <c r="C113" s="75">
        <f t="shared" si="58"/>
        <v>0</v>
      </c>
      <c r="D113" s="75"/>
      <c r="E113" s="75"/>
      <c r="F113" s="75"/>
      <c r="G113" s="75"/>
      <c r="H113" s="75"/>
      <c r="I113" s="75"/>
      <c r="J113" s="75"/>
      <c r="K113" s="75"/>
      <c r="L113" s="75">
        <f t="shared" si="63"/>
        <v>0</v>
      </c>
    </row>
    <row r="114" ht="51" customHeight="1">
      <c r="A114" s="113" t="s">
        <v>229</v>
      </c>
      <c r="B114" s="75">
        <f t="shared" si="57"/>
        <v>0</v>
      </c>
      <c r="C114" s="75">
        <f t="shared" si="58"/>
        <v>0</v>
      </c>
      <c r="D114" s="75"/>
      <c r="E114" s="75"/>
      <c r="F114" s="75"/>
      <c r="G114" s="75"/>
      <c r="H114" s="75"/>
      <c r="I114" s="75"/>
      <c r="J114" s="75"/>
      <c r="K114" s="75"/>
      <c r="L114" s="75">
        <f t="shared" si="63"/>
        <v>0</v>
      </c>
    </row>
    <row r="115" ht="18.75" customHeight="1">
      <c r="A115" s="113" t="s">
        <v>230</v>
      </c>
      <c r="B115" s="75">
        <f t="shared" si="57"/>
        <v>0</v>
      </c>
      <c r="C115" s="75">
        <f t="shared" si="58"/>
        <v>0</v>
      </c>
      <c r="D115" s="75"/>
      <c r="E115" s="75"/>
      <c r="F115" s="75"/>
      <c r="G115" s="75"/>
      <c r="H115" s="75"/>
      <c r="I115" s="75"/>
      <c r="J115" s="75"/>
      <c r="K115" s="75"/>
      <c r="L115" s="75">
        <f t="shared" si="63"/>
        <v>0</v>
      </c>
    </row>
    <row r="116" ht="18.75" customHeight="1">
      <c r="A116" s="113" t="s">
        <v>231</v>
      </c>
      <c r="B116" s="75">
        <f t="shared" si="57"/>
        <v>0</v>
      </c>
      <c r="C116" s="75">
        <f t="shared" si="58"/>
        <v>0</v>
      </c>
      <c r="D116" s="75"/>
      <c r="E116" s="75"/>
      <c r="F116" s="75"/>
      <c r="G116" s="75"/>
      <c r="H116" s="75"/>
      <c r="I116" s="75"/>
      <c r="J116" s="75"/>
      <c r="K116" s="75">
        <f t="shared" si="62"/>
        <v>0</v>
      </c>
      <c r="L116" s="75">
        <f t="shared" si="63"/>
        <v>0</v>
      </c>
    </row>
    <row r="117" ht="38.25" customHeight="1">
      <c r="A117" s="113" t="s">
        <v>234</v>
      </c>
      <c r="B117" s="75">
        <f t="shared" si="57"/>
        <v>0</v>
      </c>
      <c r="C117" s="75">
        <f t="shared" si="58"/>
        <v>0</v>
      </c>
      <c r="D117" s="75">
        <f>D102+D111</f>
        <v>0</v>
      </c>
      <c r="E117" s="75">
        <f t="shared" ref="E117:L117" si="65">E111+E102</f>
        <v>0</v>
      </c>
      <c r="F117" s="75">
        <f t="shared" si="65"/>
        <v>0</v>
      </c>
      <c r="G117" s="75">
        <f t="shared" si="65"/>
        <v>0</v>
      </c>
      <c r="H117" s="75">
        <f t="shared" si="65"/>
        <v>0</v>
      </c>
      <c r="I117" s="75">
        <f t="shared" si="65"/>
        <v>0</v>
      </c>
      <c r="J117" s="75">
        <f t="shared" si="65"/>
        <v>0</v>
      </c>
      <c r="K117" s="75">
        <f t="shared" si="65"/>
        <v>0</v>
      </c>
      <c r="L117" s="75">
        <f t="shared" si="65"/>
        <v>0</v>
      </c>
    </row>
    <row r="118">
      <c r="A118" s="116"/>
      <c r="B118" s="119"/>
      <c r="G118" s="109"/>
      <c r="K118" s="101">
        <f>K117+L117-'1'!C12-'1'!C22</f>
        <v>-28447442</v>
      </c>
    </row>
    <row r="119" ht="16.199999999999999">
      <c r="A119" s="116"/>
      <c r="C119" s="117"/>
      <c r="D119" s="109"/>
      <c r="E119" s="109"/>
      <c r="F119" s="109"/>
      <c r="G119" s="109"/>
    </row>
    <row r="120">
      <c r="C120" s="122" t="s">
        <v>236</v>
      </c>
      <c r="D120" s="109"/>
      <c r="E120" s="109"/>
      <c r="F120" s="109"/>
      <c r="G120" s="109"/>
    </row>
    <row r="121">
      <c r="A121" s="125" t="s">
        <v>57</v>
      </c>
      <c r="B121" s="125" t="s">
        <v>95</v>
      </c>
      <c r="C121" s="111" t="s">
        <v>178</v>
      </c>
      <c r="D121" s="111"/>
      <c r="E121" s="75" t="s">
        <v>237</v>
      </c>
      <c r="F121" s="75" t="s">
        <v>180</v>
      </c>
      <c r="G121" s="75"/>
      <c r="H121" s="112" t="s">
        <v>238</v>
      </c>
      <c r="I121" s="112" t="s">
        <v>239</v>
      </c>
      <c r="J121" s="111" t="s">
        <v>183</v>
      </c>
      <c r="K121" s="111"/>
    </row>
    <row r="122" ht="62.399999999999999">
      <c r="A122" s="128"/>
      <c r="B122" s="128"/>
      <c r="C122" s="75" t="s">
        <v>240</v>
      </c>
      <c r="D122" s="114" t="s">
        <v>241</v>
      </c>
      <c r="E122" s="75"/>
      <c r="F122" s="75" t="s">
        <v>240</v>
      </c>
      <c r="G122" s="114" t="s">
        <v>242</v>
      </c>
      <c r="H122" s="115"/>
      <c r="I122" s="115"/>
      <c r="J122" s="75" t="s">
        <v>240</v>
      </c>
      <c r="K122" s="114" t="s">
        <v>241</v>
      </c>
    </row>
    <row r="123">
      <c r="A123" s="113" t="s">
        <v>243</v>
      </c>
      <c r="B123" s="113">
        <v>1210</v>
      </c>
      <c r="C123" s="75"/>
      <c r="D123" s="75">
        <f t="shared" ref="D123:J123" si="66">SUM(D124:D130)</f>
        <v>0</v>
      </c>
      <c r="E123" s="75">
        <f t="shared" si="66"/>
        <v>0</v>
      </c>
      <c r="F123" s="75">
        <f t="shared" si="66"/>
        <v>0</v>
      </c>
      <c r="G123" s="75">
        <f t="shared" si="66"/>
        <v>0</v>
      </c>
      <c r="H123" s="75">
        <f t="shared" si="66"/>
        <v>0</v>
      </c>
      <c r="I123" s="75">
        <f t="shared" si="66"/>
        <v>0</v>
      </c>
      <c r="J123" s="75">
        <f t="shared" si="66"/>
        <v>0</v>
      </c>
      <c r="K123" s="75"/>
      <c r="L123" s="101">
        <f>C123-'1'!E17</f>
        <v>-2594147</v>
      </c>
      <c r="M123" s="101">
        <f>J123-'1'!D17</f>
        <v>-2454097</v>
      </c>
    </row>
    <row r="124">
      <c r="A124" s="113" t="s">
        <v>153</v>
      </c>
      <c r="C124" s="75"/>
      <c r="D124" s="75"/>
      <c r="E124" s="75"/>
      <c r="F124" s="75"/>
      <c r="G124" s="75"/>
      <c r="H124" s="75"/>
      <c r="I124" s="75"/>
      <c r="J124" s="75">
        <f>C124+E124-F124+I124</f>
        <v>0</v>
      </c>
      <c r="K124" s="75"/>
    </row>
    <row r="125" ht="31.199999999999999">
      <c r="A125" s="113" t="s">
        <v>244</v>
      </c>
      <c r="B125" s="113">
        <v>1211</v>
      </c>
      <c r="C125" s="75"/>
      <c r="D125" s="75"/>
      <c r="E125" s="75"/>
      <c r="F125" s="75"/>
      <c r="G125" s="75"/>
      <c r="H125" s="75"/>
      <c r="I125" s="75"/>
      <c r="J125" s="75">
        <f t="shared" ref="J125:J130" si="67">C125+E125+F125+I125</f>
        <v>0</v>
      </c>
      <c r="K125" s="75"/>
    </row>
    <row r="126" ht="31.199999999999999">
      <c r="A126" s="113" t="s">
        <v>245</v>
      </c>
      <c r="B126" s="113">
        <v>1212</v>
      </c>
      <c r="C126" s="75"/>
      <c r="D126" s="75"/>
      <c r="E126" s="75"/>
      <c r="F126" s="75"/>
      <c r="G126" s="75"/>
      <c r="H126" s="75"/>
      <c r="I126" s="75"/>
      <c r="J126" s="75">
        <f t="shared" si="67"/>
        <v>0</v>
      </c>
      <c r="K126" s="75"/>
    </row>
    <row r="127">
      <c r="A127" s="113" t="s">
        <v>246</v>
      </c>
      <c r="B127" s="113">
        <v>1213</v>
      </c>
      <c r="C127" s="75"/>
      <c r="D127" s="75"/>
      <c r="E127" s="75"/>
      <c r="F127" s="75"/>
      <c r="G127" s="75"/>
      <c r="H127" s="75"/>
      <c r="I127" s="75"/>
      <c r="J127" s="75"/>
      <c r="K127" s="75"/>
    </row>
    <row r="128">
      <c r="A128" s="113" t="s">
        <v>247</v>
      </c>
      <c r="B128" s="113">
        <v>1214</v>
      </c>
      <c r="C128" s="75"/>
      <c r="D128" s="75"/>
      <c r="E128" s="75"/>
      <c r="F128" s="75"/>
      <c r="G128" s="75"/>
      <c r="H128" s="75"/>
      <c r="I128" s="75">
        <f>-I127</f>
        <v>0</v>
      </c>
      <c r="J128" s="75">
        <f t="shared" si="67"/>
        <v>0</v>
      </c>
      <c r="K128" s="75"/>
    </row>
    <row r="129">
      <c r="A129" s="113" t="s">
        <v>248</v>
      </c>
      <c r="B129" s="113"/>
      <c r="C129" s="75"/>
      <c r="D129" s="75"/>
      <c r="E129" s="75"/>
      <c r="F129" s="75"/>
      <c r="G129" s="75"/>
      <c r="H129" s="75"/>
      <c r="I129" s="75"/>
      <c r="J129" s="75">
        <f t="shared" si="67"/>
        <v>0</v>
      </c>
      <c r="K129" s="75"/>
    </row>
    <row r="130">
      <c r="A130" s="113" t="s">
        <v>249</v>
      </c>
      <c r="B130" s="113"/>
      <c r="C130" s="75"/>
      <c r="D130" s="75"/>
      <c r="E130" s="75"/>
      <c r="F130" s="75"/>
      <c r="G130" s="75"/>
      <c r="H130" s="75"/>
      <c r="I130" s="75"/>
      <c r="J130" s="75">
        <f t="shared" si="67"/>
        <v>0</v>
      </c>
      <c r="K130" s="75"/>
    </row>
    <row r="131">
      <c r="A131" s="116"/>
      <c r="B131" s="119"/>
      <c r="C131" s="109"/>
      <c r="D131" s="119"/>
      <c r="E131" s="119"/>
      <c r="F131" s="119"/>
      <c r="G131" s="121"/>
    </row>
    <row r="132">
      <c r="C132" s="108" t="s">
        <v>250</v>
      </c>
      <c r="D132" s="109"/>
      <c r="E132" s="109"/>
      <c r="F132" s="109"/>
      <c r="G132" s="109"/>
    </row>
    <row r="133">
      <c r="A133" s="125" t="s">
        <v>57</v>
      </c>
      <c r="B133" s="125" t="s">
        <v>95</v>
      </c>
      <c r="C133" s="111" t="s">
        <v>178</v>
      </c>
      <c r="D133" s="111"/>
      <c r="E133" s="75" t="s">
        <v>237</v>
      </c>
      <c r="F133" s="75" t="s">
        <v>180</v>
      </c>
      <c r="G133" s="75"/>
      <c r="H133" s="112" t="s">
        <v>238</v>
      </c>
      <c r="I133" s="112" t="s">
        <v>239</v>
      </c>
      <c r="J133" s="111" t="s">
        <v>183</v>
      </c>
      <c r="K133" s="111"/>
    </row>
    <row r="134" ht="46.950000000000003" customHeight="1">
      <c r="A134" s="128"/>
      <c r="B134" s="128"/>
      <c r="C134" s="75" t="s">
        <v>240</v>
      </c>
      <c r="D134" s="114" t="s">
        <v>241</v>
      </c>
      <c r="E134" s="75"/>
      <c r="F134" s="75" t="s">
        <v>240</v>
      </c>
      <c r="G134" s="114" t="s">
        <v>242</v>
      </c>
      <c r="H134" s="115"/>
      <c r="I134" s="115"/>
      <c r="J134" s="75" t="s">
        <v>240</v>
      </c>
      <c r="K134" s="114" t="s">
        <v>241</v>
      </c>
    </row>
    <row r="135">
      <c r="A135" s="113" t="s">
        <v>243</v>
      </c>
      <c r="B135" s="113">
        <v>1210</v>
      </c>
      <c r="C135" s="75">
        <f t="shared" ref="C135:C142" si="68">J123</f>
        <v>0</v>
      </c>
      <c r="D135" s="75">
        <f t="shared" ref="D135:D142" si="69">K123</f>
        <v>0</v>
      </c>
      <c r="E135" s="75">
        <f t="shared" ref="E135:J135" si="70">SUM(E136:E142)</f>
        <v>0</v>
      </c>
      <c r="F135" s="75">
        <f t="shared" si="70"/>
        <v>0</v>
      </c>
      <c r="G135" s="75">
        <f t="shared" si="70"/>
        <v>0</v>
      </c>
      <c r="H135" s="75">
        <f t="shared" si="70"/>
        <v>0</v>
      </c>
      <c r="I135" s="75">
        <f t="shared" si="70"/>
        <v>0</v>
      </c>
      <c r="J135" s="75">
        <f t="shared" si="70"/>
        <v>0</v>
      </c>
      <c r="K135" s="75"/>
      <c r="L135" s="101">
        <f>J135-'1'!C17</f>
        <v>-3359236</v>
      </c>
    </row>
    <row r="136">
      <c r="A136" s="113" t="s">
        <v>153</v>
      </c>
      <c r="C136" s="75">
        <f t="shared" si="68"/>
        <v>0</v>
      </c>
      <c r="D136" s="75">
        <f t="shared" si="69"/>
        <v>0</v>
      </c>
      <c r="E136" s="75"/>
      <c r="F136" s="75"/>
      <c r="G136" s="75"/>
      <c r="H136" s="75"/>
      <c r="I136" s="75"/>
      <c r="J136" s="75">
        <f>C136+E136-F136+I136</f>
        <v>0</v>
      </c>
      <c r="K136" s="75"/>
    </row>
    <row r="137" ht="31.199999999999999">
      <c r="A137" s="113" t="s">
        <v>244</v>
      </c>
      <c r="B137" s="113">
        <v>1211</v>
      </c>
      <c r="C137" s="75">
        <f t="shared" si="68"/>
        <v>0</v>
      </c>
      <c r="D137" s="75">
        <f t="shared" si="69"/>
        <v>0</v>
      </c>
      <c r="E137" s="75"/>
      <c r="F137" s="75"/>
      <c r="G137" s="75"/>
      <c r="H137" s="75"/>
      <c r="I137" s="75"/>
      <c r="J137" s="75">
        <f t="shared" ref="J137:J142" si="71">C137+E137+F137+I137</f>
        <v>0</v>
      </c>
      <c r="K137" s="75"/>
    </row>
    <row r="138" ht="31.199999999999999">
      <c r="A138" s="113" t="s">
        <v>245</v>
      </c>
      <c r="B138" s="113">
        <v>1212</v>
      </c>
      <c r="C138" s="75">
        <f t="shared" si="68"/>
        <v>0</v>
      </c>
      <c r="D138" s="75">
        <f t="shared" si="69"/>
        <v>0</v>
      </c>
      <c r="E138" s="75"/>
      <c r="F138" s="75"/>
      <c r="G138" s="75"/>
      <c r="H138" s="75"/>
      <c r="I138" s="75"/>
      <c r="J138" s="75">
        <f t="shared" si="71"/>
        <v>0</v>
      </c>
      <c r="K138" s="75"/>
    </row>
    <row r="139">
      <c r="A139" s="113" t="s">
        <v>246</v>
      </c>
      <c r="B139" s="113">
        <v>1213</v>
      </c>
      <c r="C139" s="75">
        <f t="shared" si="68"/>
        <v>0</v>
      </c>
      <c r="D139" s="75">
        <f t="shared" si="69"/>
        <v>0</v>
      </c>
      <c r="E139" s="75"/>
      <c r="F139" s="75"/>
      <c r="G139" s="75"/>
      <c r="H139" s="75"/>
      <c r="I139" s="75"/>
      <c r="J139" s="75">
        <f t="shared" si="71"/>
        <v>0</v>
      </c>
      <c r="K139" s="75"/>
    </row>
    <row r="140">
      <c r="A140" s="113" t="s">
        <v>247</v>
      </c>
      <c r="B140" s="113">
        <v>1214</v>
      </c>
      <c r="C140" s="75">
        <f t="shared" si="68"/>
        <v>0</v>
      </c>
      <c r="D140" s="75">
        <f t="shared" si="69"/>
        <v>0</v>
      </c>
      <c r="E140" s="75"/>
      <c r="F140" s="75"/>
      <c r="G140" s="75"/>
      <c r="H140" s="75"/>
      <c r="I140" s="75"/>
      <c r="J140" s="75">
        <f t="shared" si="71"/>
        <v>0</v>
      </c>
      <c r="K140" s="75"/>
    </row>
    <row r="141">
      <c r="A141" s="113" t="s">
        <v>248</v>
      </c>
      <c r="B141" s="113"/>
      <c r="C141" s="75">
        <f t="shared" si="68"/>
        <v>0</v>
      </c>
      <c r="D141" s="75">
        <f t="shared" si="69"/>
        <v>0</v>
      </c>
      <c r="E141" s="75"/>
      <c r="F141" s="75"/>
      <c r="G141" s="75"/>
      <c r="H141" s="75"/>
      <c r="I141" s="75"/>
      <c r="J141" s="75"/>
      <c r="K141" s="75"/>
    </row>
    <row r="142">
      <c r="A142" s="113" t="s">
        <v>249</v>
      </c>
      <c r="B142" s="113"/>
      <c r="C142" s="75">
        <f t="shared" si="68"/>
        <v>0</v>
      </c>
      <c r="D142" s="75">
        <f t="shared" si="69"/>
        <v>0</v>
      </c>
      <c r="E142" s="75"/>
      <c r="F142" s="75"/>
      <c r="G142" s="75"/>
      <c r="H142" s="75"/>
      <c r="I142" s="75"/>
      <c r="J142" s="75">
        <f t="shared" si="71"/>
        <v>0</v>
      </c>
      <c r="K142" s="75"/>
    </row>
    <row r="143">
      <c r="G143" s="121"/>
    </row>
    <row r="144">
      <c r="C144" s="108" t="s">
        <v>251</v>
      </c>
      <c r="D144" s="109"/>
      <c r="E144" s="109"/>
      <c r="F144" s="109"/>
      <c r="G144" s="109"/>
    </row>
    <row r="145" s="109" customFormat="1" ht="25.5" customHeight="1">
      <c r="A145" s="110" t="s">
        <v>177</v>
      </c>
      <c r="B145" s="111" t="s">
        <v>178</v>
      </c>
      <c r="C145" s="111"/>
      <c r="D145" s="75" t="s">
        <v>252</v>
      </c>
      <c r="E145" s="75"/>
      <c r="F145" s="75" t="s">
        <v>253</v>
      </c>
      <c r="G145" s="75"/>
      <c r="H145" s="75"/>
      <c r="I145" s="133" t="s">
        <v>254</v>
      </c>
      <c r="J145" s="111" t="s">
        <v>183</v>
      </c>
      <c r="K145" s="111"/>
    </row>
    <row r="146" ht="93.599999999999994">
      <c r="A146" s="113" t="s">
        <v>184</v>
      </c>
      <c r="B146" s="75" t="s">
        <v>255</v>
      </c>
      <c r="C146" s="114" t="s">
        <v>256</v>
      </c>
      <c r="D146" s="130" t="s">
        <v>257</v>
      </c>
      <c r="E146" s="115" t="s">
        <v>258</v>
      </c>
      <c r="F146" s="129" t="s">
        <v>259</v>
      </c>
      <c r="G146" s="130" t="s">
        <v>260</v>
      </c>
      <c r="H146" s="115" t="s">
        <v>261</v>
      </c>
      <c r="I146" s="134"/>
      <c r="J146" s="75" t="s">
        <v>255</v>
      </c>
      <c r="K146" s="114" t="s">
        <v>256</v>
      </c>
    </row>
    <row r="147" ht="31.199999999999999">
      <c r="A147" s="113" t="s">
        <v>262</v>
      </c>
      <c r="B147" s="75"/>
      <c r="C147" s="75">
        <f t="shared" ref="C147:I152" si="72">SUM(C149:C151)</f>
        <v>0</v>
      </c>
      <c r="D147" s="75">
        <f t="shared" si="72"/>
        <v>0</v>
      </c>
      <c r="E147" s="75">
        <f t="shared" si="72"/>
        <v>0</v>
      </c>
      <c r="F147" s="75">
        <f t="shared" si="72"/>
        <v>0</v>
      </c>
      <c r="G147" s="75">
        <f t="shared" si="72"/>
        <v>0</v>
      </c>
      <c r="H147" s="75">
        <f t="shared" si="72"/>
        <v>0</v>
      </c>
      <c r="I147" s="75">
        <f t="shared" si="72"/>
        <v>0</v>
      </c>
      <c r="J147" s="75">
        <f t="shared" ref="J147:J157" si="73">B147+D147+E147+F147+G147</f>
        <v>0</v>
      </c>
      <c r="K147" s="75">
        <f>SUM(K149:K151)</f>
        <v>0</v>
      </c>
    </row>
    <row r="148">
      <c r="A148" s="113" t="s">
        <v>153</v>
      </c>
      <c r="B148" s="75"/>
      <c r="C148" s="75"/>
      <c r="D148" s="75"/>
      <c r="E148" s="75"/>
      <c r="F148" s="75"/>
      <c r="G148" s="75"/>
      <c r="H148" s="75"/>
      <c r="I148" s="75"/>
      <c r="J148" s="75">
        <f t="shared" si="73"/>
        <v>0</v>
      </c>
      <c r="K148" s="75"/>
    </row>
    <row r="149">
      <c r="A149" s="113" t="s">
        <v>263</v>
      </c>
      <c r="B149" s="75"/>
      <c r="C149" s="75"/>
      <c r="D149" s="75"/>
      <c r="E149" s="75"/>
      <c r="F149" s="75"/>
      <c r="G149" s="75"/>
      <c r="H149" s="75"/>
      <c r="I149" s="75"/>
      <c r="J149" s="75">
        <f t="shared" si="73"/>
        <v>0</v>
      </c>
      <c r="K149" s="75"/>
    </row>
    <row r="150">
      <c r="A150" s="113" t="s">
        <v>264</v>
      </c>
      <c r="B150" s="75"/>
      <c r="C150" s="75"/>
      <c r="D150" s="75"/>
      <c r="E150" s="75"/>
      <c r="F150" s="75"/>
      <c r="G150" s="75"/>
      <c r="H150" s="75"/>
      <c r="I150" s="75"/>
      <c r="J150" s="75">
        <f t="shared" si="73"/>
        <v>0</v>
      </c>
      <c r="K150" s="75"/>
    </row>
    <row r="151">
      <c r="A151" s="113" t="s">
        <v>265</v>
      </c>
      <c r="B151" s="75"/>
      <c r="C151" s="75"/>
      <c r="D151" s="75"/>
      <c r="E151" s="75"/>
      <c r="F151" s="75"/>
      <c r="G151" s="75"/>
      <c r="H151" s="75"/>
      <c r="I151" s="75"/>
      <c r="J151" s="75">
        <f t="shared" si="73"/>
        <v>0</v>
      </c>
      <c r="K151" s="75"/>
    </row>
    <row r="152" ht="31.199999999999999">
      <c r="A152" s="113" t="s">
        <v>266</v>
      </c>
      <c r="B152" s="75"/>
      <c r="C152" s="75">
        <f t="shared" si="72"/>
        <v>0</v>
      </c>
      <c r="D152" s="75">
        <f t="shared" si="72"/>
        <v>0</v>
      </c>
      <c r="E152" s="75">
        <f t="shared" si="72"/>
        <v>0</v>
      </c>
      <c r="F152" s="75">
        <f t="shared" si="72"/>
        <v>0</v>
      </c>
      <c r="G152" s="75">
        <f t="shared" si="72"/>
        <v>0</v>
      </c>
      <c r="H152" s="75">
        <f t="shared" si="72"/>
        <v>0</v>
      </c>
      <c r="I152" s="75">
        <f t="shared" si="72"/>
        <v>0</v>
      </c>
      <c r="J152" s="75">
        <f t="shared" si="73"/>
        <v>0</v>
      </c>
      <c r="K152" s="75">
        <f>SUM(K154:K156)</f>
        <v>0</v>
      </c>
      <c r="L152" s="101">
        <f>B152-'1'!E19+B147</f>
        <v>-3241082</v>
      </c>
      <c r="M152" s="101">
        <f>J152+J151-'1'!D19+K152</f>
        <v>-3097566</v>
      </c>
    </row>
    <row r="153">
      <c r="A153" s="113" t="s">
        <v>153</v>
      </c>
      <c r="B153" s="75"/>
      <c r="C153" s="75"/>
      <c r="D153" s="75"/>
      <c r="E153" s="75"/>
      <c r="F153" s="75"/>
      <c r="G153" s="75"/>
      <c r="H153" s="75"/>
      <c r="I153" s="75"/>
      <c r="J153" s="75">
        <f t="shared" si="73"/>
        <v>0</v>
      </c>
      <c r="K153" s="75"/>
    </row>
    <row r="154">
      <c r="A154" s="113" t="s">
        <v>263</v>
      </c>
      <c r="B154" s="75"/>
      <c r="C154" s="75"/>
      <c r="D154" s="75"/>
      <c r="E154" s="75"/>
      <c r="F154" s="75"/>
      <c r="G154" s="75"/>
      <c r="H154" s="75"/>
      <c r="I154" s="75"/>
      <c r="J154" s="75">
        <f t="shared" si="73"/>
        <v>0</v>
      </c>
      <c r="K154" s="75"/>
    </row>
    <row r="155">
      <c r="A155" s="113" t="s">
        <v>264</v>
      </c>
      <c r="B155" s="75"/>
      <c r="C155" s="75"/>
      <c r="D155" s="75"/>
      <c r="E155" s="75"/>
      <c r="F155" s="75"/>
      <c r="G155" s="75"/>
      <c r="H155" s="75"/>
      <c r="I155" s="75"/>
      <c r="J155" s="75">
        <f t="shared" si="73"/>
        <v>0</v>
      </c>
      <c r="K155" s="75"/>
    </row>
    <row r="156">
      <c r="A156" s="113" t="s">
        <v>265</v>
      </c>
      <c r="B156" s="75"/>
      <c r="C156" s="75"/>
      <c r="D156" s="75"/>
      <c r="E156" s="75"/>
      <c r="F156" s="75"/>
      <c r="G156" s="75"/>
      <c r="H156" s="75"/>
      <c r="I156" s="75"/>
      <c r="J156" s="75">
        <f t="shared" si="73"/>
        <v>0</v>
      </c>
      <c r="K156" s="75"/>
    </row>
    <row r="157">
      <c r="A157" s="113" t="s">
        <v>98</v>
      </c>
      <c r="B157" s="75"/>
      <c r="C157" s="75">
        <f t="shared" ref="C157:K157" si="74">C147+C152</f>
        <v>0</v>
      </c>
      <c r="D157" s="75">
        <f t="shared" si="74"/>
        <v>0</v>
      </c>
      <c r="E157" s="75">
        <f t="shared" si="74"/>
        <v>0</v>
      </c>
      <c r="F157" s="75">
        <f t="shared" si="74"/>
        <v>0</v>
      </c>
      <c r="G157" s="75">
        <f t="shared" si="74"/>
        <v>0</v>
      </c>
      <c r="H157" s="75">
        <f t="shared" si="74"/>
        <v>0</v>
      </c>
      <c r="I157" s="75">
        <f t="shared" si="74"/>
        <v>0</v>
      </c>
      <c r="J157" s="75">
        <f t="shared" si="73"/>
        <v>0</v>
      </c>
      <c r="K157" s="75">
        <f t="shared" si="74"/>
        <v>0</v>
      </c>
    </row>
    <row r="158">
      <c r="A158" s="116"/>
      <c r="B158" s="119">
        <f>'1'!E19-B157</f>
        <v>3241082</v>
      </c>
      <c r="C158" s="119"/>
      <c r="D158" s="119"/>
      <c r="E158" s="119"/>
      <c r="F158" s="119"/>
      <c r="G158" s="119"/>
      <c r="J158" s="101">
        <f>'1'!D19-'5'!J157</f>
        <v>3097566</v>
      </c>
    </row>
    <row r="159">
      <c r="C159" s="108" t="s">
        <v>267</v>
      </c>
      <c r="D159" s="109"/>
      <c r="E159" s="109"/>
      <c r="F159" s="109"/>
      <c r="G159" s="109"/>
    </row>
    <row r="160" ht="12.75" customHeight="1">
      <c r="A160" s="110" t="s">
        <v>177</v>
      </c>
      <c r="B160" s="111" t="s">
        <v>178</v>
      </c>
      <c r="C160" s="111"/>
      <c r="D160" s="75" t="s">
        <v>252</v>
      </c>
      <c r="E160" s="75"/>
      <c r="F160" s="75" t="s">
        <v>253</v>
      </c>
      <c r="G160" s="75"/>
      <c r="H160" s="75"/>
      <c r="I160" s="133" t="s">
        <v>254</v>
      </c>
      <c r="J160" s="111" t="s">
        <v>183</v>
      </c>
      <c r="K160" s="111"/>
    </row>
    <row r="161" ht="45" customHeight="1">
      <c r="A161" s="113" t="s">
        <v>184</v>
      </c>
      <c r="B161" s="75" t="s">
        <v>255</v>
      </c>
      <c r="C161" s="114" t="s">
        <v>256</v>
      </c>
      <c r="D161" s="130" t="s">
        <v>257</v>
      </c>
      <c r="E161" s="115" t="s">
        <v>258</v>
      </c>
      <c r="F161" s="129" t="s">
        <v>259</v>
      </c>
      <c r="G161" s="130" t="s">
        <v>260</v>
      </c>
      <c r="H161" s="115" t="s">
        <v>261</v>
      </c>
      <c r="I161" s="134"/>
      <c r="J161" s="75" t="s">
        <v>255</v>
      </c>
      <c r="K161" s="114" t="s">
        <v>256</v>
      </c>
    </row>
    <row r="162" ht="31.199999999999999">
      <c r="A162" s="113" t="s">
        <v>262</v>
      </c>
      <c r="B162" s="75">
        <f t="shared" ref="B162:C172" si="75">J147</f>
        <v>0</v>
      </c>
      <c r="C162" s="75">
        <f t="shared" ref="C162:C172" si="76">K147</f>
        <v>0</v>
      </c>
      <c r="D162" s="75">
        <f>SUM(D164:D166)</f>
        <v>0</v>
      </c>
      <c r="E162" s="75">
        <f t="shared" ref="E162:K167" si="77">SUM(E164:E166)</f>
        <v>0</v>
      </c>
      <c r="F162" s="75">
        <f t="shared" si="77"/>
        <v>0</v>
      </c>
      <c r="G162" s="75">
        <f t="shared" si="77"/>
        <v>0</v>
      </c>
      <c r="H162" s="75">
        <f t="shared" si="77"/>
        <v>0</v>
      </c>
      <c r="I162" s="75">
        <f t="shared" si="77"/>
        <v>0</v>
      </c>
      <c r="J162" s="75">
        <f t="shared" si="77"/>
        <v>0</v>
      </c>
      <c r="K162" s="75">
        <f t="shared" si="77"/>
        <v>0</v>
      </c>
    </row>
    <row r="163">
      <c r="A163" s="113" t="s">
        <v>153</v>
      </c>
      <c r="B163" s="75">
        <f t="shared" si="75"/>
        <v>0</v>
      </c>
      <c r="C163" s="75">
        <f t="shared" si="76"/>
        <v>0</v>
      </c>
      <c r="D163" s="75"/>
      <c r="E163" s="75"/>
      <c r="F163" s="75"/>
      <c r="G163" s="75"/>
      <c r="H163" s="75"/>
      <c r="I163" s="75"/>
      <c r="J163" s="75">
        <f t="shared" ref="J163:J172" si="78">B163+D163+E163+F163+G163+I163</f>
        <v>0</v>
      </c>
      <c r="K163" s="75"/>
    </row>
    <row r="164">
      <c r="A164" s="113" t="s">
        <v>263</v>
      </c>
      <c r="B164" s="75">
        <f t="shared" si="75"/>
        <v>0</v>
      </c>
      <c r="C164" s="75">
        <f t="shared" si="76"/>
        <v>0</v>
      </c>
      <c r="D164" s="75"/>
      <c r="E164" s="75"/>
      <c r="F164" s="75"/>
      <c r="G164" s="75"/>
      <c r="H164" s="75"/>
      <c r="I164" s="75">
        <f>-B162</f>
        <v>0</v>
      </c>
      <c r="J164" s="75">
        <f t="shared" si="78"/>
        <v>0</v>
      </c>
      <c r="K164" s="75"/>
    </row>
    <row r="165">
      <c r="A165" s="113" t="s">
        <v>264</v>
      </c>
      <c r="B165" s="75">
        <f t="shared" si="75"/>
        <v>0</v>
      </c>
      <c r="C165" s="75">
        <f t="shared" si="76"/>
        <v>0</v>
      </c>
      <c r="D165" s="75"/>
      <c r="E165" s="75"/>
      <c r="F165" s="75"/>
      <c r="G165" s="75"/>
      <c r="H165" s="75"/>
      <c r="I165" s="75"/>
      <c r="J165" s="75">
        <f t="shared" si="78"/>
        <v>0</v>
      </c>
      <c r="K165" s="75"/>
    </row>
    <row r="166">
      <c r="A166" s="113" t="s">
        <v>265</v>
      </c>
      <c r="B166" s="75">
        <f t="shared" si="75"/>
        <v>0</v>
      </c>
      <c r="C166" s="75">
        <f t="shared" si="76"/>
        <v>0</v>
      </c>
      <c r="D166" s="75"/>
      <c r="E166" s="75"/>
      <c r="F166" s="75"/>
      <c r="G166" s="75"/>
      <c r="H166" s="75"/>
      <c r="I166" s="75"/>
      <c r="J166" s="75">
        <f t="shared" si="78"/>
        <v>0</v>
      </c>
      <c r="K166" s="75"/>
    </row>
    <row r="167" ht="31.199999999999999">
      <c r="A167" s="113" t="s">
        <v>266</v>
      </c>
      <c r="B167" s="75">
        <f t="shared" si="75"/>
        <v>0</v>
      </c>
      <c r="C167" s="75">
        <f t="shared" si="75"/>
        <v>0</v>
      </c>
      <c r="D167" s="75">
        <f>SUM(D169:D171)</f>
        <v>0</v>
      </c>
      <c r="E167" s="75">
        <f t="shared" si="77"/>
        <v>0</v>
      </c>
      <c r="F167" s="75">
        <f>SUM(F169:F171)</f>
        <v>0</v>
      </c>
      <c r="G167" s="75">
        <f>SUM(G169:G171)</f>
        <v>0</v>
      </c>
      <c r="H167" s="75">
        <f>-C167</f>
        <v>0</v>
      </c>
      <c r="I167" s="75">
        <f>SUM(I169:I171)</f>
        <v>0</v>
      </c>
      <c r="J167" s="75">
        <f t="shared" si="78"/>
        <v>0</v>
      </c>
      <c r="K167" s="75"/>
      <c r="L167" s="101">
        <f>J167+K167-'1'!C19</f>
        <v>-2703825</v>
      </c>
    </row>
    <row r="168">
      <c r="A168" s="113" t="s">
        <v>153</v>
      </c>
      <c r="B168" s="75">
        <f t="shared" si="75"/>
        <v>0</v>
      </c>
      <c r="C168" s="75">
        <f t="shared" si="76"/>
        <v>0</v>
      </c>
      <c r="D168" s="75"/>
      <c r="E168" s="75"/>
      <c r="F168" s="75"/>
      <c r="G168" s="75"/>
      <c r="H168" s="75"/>
      <c r="I168" s="75"/>
      <c r="J168" s="75">
        <f t="shared" si="78"/>
        <v>0</v>
      </c>
      <c r="K168" s="75"/>
    </row>
    <row r="169">
      <c r="A169" s="113" t="s">
        <v>263</v>
      </c>
      <c r="B169" s="75">
        <f t="shared" si="75"/>
        <v>0</v>
      </c>
      <c r="C169" s="75"/>
      <c r="D169" s="75"/>
      <c r="E169" s="75"/>
      <c r="F169" s="75"/>
      <c r="G169" s="75"/>
      <c r="H169" s="75"/>
      <c r="I169" s="75"/>
      <c r="J169" s="75">
        <f t="shared" si="78"/>
        <v>0</v>
      </c>
      <c r="K169" s="75"/>
    </row>
    <row r="170">
      <c r="A170" s="113" t="s">
        <v>264</v>
      </c>
      <c r="B170" s="75">
        <f t="shared" si="75"/>
        <v>0</v>
      </c>
      <c r="C170" s="75"/>
      <c r="D170" s="75"/>
      <c r="E170" s="75"/>
      <c r="F170" s="75"/>
      <c r="G170" s="75"/>
      <c r="H170" s="75"/>
      <c r="I170" s="75"/>
      <c r="J170" s="75">
        <f t="shared" si="78"/>
        <v>0</v>
      </c>
      <c r="K170" s="75"/>
    </row>
    <row r="171">
      <c r="A171" s="113" t="s">
        <v>265</v>
      </c>
      <c r="B171" s="75">
        <f t="shared" si="75"/>
        <v>0</v>
      </c>
      <c r="C171" s="75">
        <f t="shared" si="76"/>
        <v>0</v>
      </c>
      <c r="D171" s="75"/>
      <c r="E171" s="75"/>
      <c r="F171" s="75"/>
      <c r="G171" s="75"/>
      <c r="H171" s="75"/>
      <c r="I171" s="75"/>
      <c r="J171" s="75">
        <f t="shared" si="78"/>
        <v>0</v>
      </c>
      <c r="K171" s="75"/>
    </row>
    <row r="172">
      <c r="A172" s="113" t="s">
        <v>98</v>
      </c>
      <c r="B172" s="75">
        <f t="shared" si="75"/>
        <v>0</v>
      </c>
      <c r="C172" s="75">
        <f t="shared" si="76"/>
        <v>0</v>
      </c>
      <c r="D172" s="75">
        <f t="shared" ref="D172:I172" si="79">D162+D167</f>
        <v>0</v>
      </c>
      <c r="E172" s="75">
        <f t="shared" si="79"/>
        <v>0</v>
      </c>
      <c r="F172" s="75">
        <f t="shared" si="79"/>
        <v>0</v>
      </c>
      <c r="G172" s="75">
        <f t="shared" si="79"/>
        <v>0</v>
      </c>
      <c r="H172" s="75">
        <f t="shared" si="79"/>
        <v>0</v>
      </c>
      <c r="I172" s="75">
        <f t="shared" si="79"/>
        <v>0</v>
      </c>
      <c r="J172" s="75">
        <f t="shared" si="78"/>
        <v>0</v>
      </c>
      <c r="K172" s="75">
        <f>K162+K167</f>
        <v>0</v>
      </c>
    </row>
    <row r="173">
      <c r="A173" s="116"/>
      <c r="B173" s="101">
        <f>'1'!D19-B172</f>
        <v>3097566</v>
      </c>
      <c r="J173" s="101">
        <f>'1'!C19-J172-K172</f>
        <v>2703825</v>
      </c>
    </row>
    <row r="174">
      <c r="A174" s="116"/>
      <c r="C174" s="122" t="s">
        <v>268</v>
      </c>
    </row>
    <row r="175">
      <c r="A175" s="112" t="s">
        <v>57</v>
      </c>
      <c r="B175" s="112" t="s">
        <v>269</v>
      </c>
      <c r="C175" s="135" t="s">
        <v>15</v>
      </c>
      <c r="D175" s="136"/>
      <c r="E175" s="135" t="s">
        <v>211</v>
      </c>
      <c r="F175" s="136"/>
      <c r="G175" s="135" t="s">
        <v>212</v>
      </c>
      <c r="H175" s="136"/>
    </row>
    <row r="176" ht="46.799999999999997">
      <c r="A176" s="115"/>
      <c r="B176" s="115"/>
      <c r="C176" s="75" t="s">
        <v>255</v>
      </c>
      <c r="D176" s="75" t="s">
        <v>270</v>
      </c>
      <c r="E176" s="75" t="s">
        <v>255</v>
      </c>
      <c r="F176" s="75" t="s">
        <v>270</v>
      </c>
      <c r="G176" s="75" t="s">
        <v>255</v>
      </c>
      <c r="H176" s="75" t="s">
        <v>270</v>
      </c>
    </row>
    <row r="177" ht="31.199999999999999">
      <c r="A177" s="113" t="s">
        <v>271</v>
      </c>
      <c r="B177" s="75">
        <v>5540</v>
      </c>
      <c r="C177" s="75">
        <f t="shared" ref="C177:H177" si="80">SUM(C179:C181)</f>
        <v>0</v>
      </c>
      <c r="D177" s="75">
        <f t="shared" si="80"/>
        <v>0</v>
      </c>
      <c r="E177" s="75">
        <f t="shared" si="80"/>
        <v>0</v>
      </c>
      <c r="F177" s="75">
        <f t="shared" si="80"/>
        <v>0</v>
      </c>
      <c r="G177" s="75">
        <f t="shared" si="80"/>
        <v>0</v>
      </c>
      <c r="H177" s="75">
        <f t="shared" si="80"/>
        <v>0</v>
      </c>
    </row>
    <row r="178">
      <c r="A178" s="113" t="s">
        <v>153</v>
      </c>
      <c r="B178" s="75"/>
      <c r="C178" s="75"/>
      <c r="D178" s="75"/>
      <c r="E178" s="75"/>
      <c r="F178" s="75"/>
      <c r="G178" s="75"/>
      <c r="H178" s="75"/>
    </row>
    <row r="179">
      <c r="A179" s="113" t="s">
        <v>263</v>
      </c>
      <c r="B179" s="75"/>
      <c r="C179" s="75"/>
      <c r="D179" s="75"/>
      <c r="E179" s="75"/>
      <c r="F179" s="75"/>
      <c r="G179" s="75"/>
      <c r="H179" s="75"/>
    </row>
    <row r="180">
      <c r="A180" s="113" t="s">
        <v>264</v>
      </c>
      <c r="B180" s="75"/>
      <c r="C180" s="75"/>
      <c r="D180" s="75"/>
      <c r="E180" s="75"/>
      <c r="F180" s="75"/>
      <c r="G180" s="75"/>
      <c r="H180" s="75"/>
    </row>
    <row r="181">
      <c r="A181" s="113" t="s">
        <v>265</v>
      </c>
      <c r="B181" s="75"/>
      <c r="C181" s="75"/>
      <c r="D181" s="75"/>
      <c r="E181" s="75"/>
      <c r="F181" s="75"/>
      <c r="G181" s="75"/>
      <c r="H181" s="75"/>
    </row>
    <row r="182">
      <c r="A182" s="116"/>
    </row>
    <row r="183">
      <c r="A183" s="116"/>
    </row>
    <row r="184">
      <c r="A184" s="116"/>
      <c r="C184" s="122" t="s">
        <v>272</v>
      </c>
      <c r="D184" s="109"/>
      <c r="E184" s="109"/>
      <c r="F184" s="109"/>
    </row>
    <row r="185" ht="15.75" customHeight="1">
      <c r="A185" s="110" t="s">
        <v>177</v>
      </c>
      <c r="B185" s="111" t="s">
        <v>273</v>
      </c>
      <c r="C185" s="75" t="s">
        <v>252</v>
      </c>
      <c r="D185" s="75"/>
      <c r="E185" s="135" t="s">
        <v>253</v>
      </c>
      <c r="F185" s="137"/>
      <c r="G185" s="133" t="s">
        <v>254</v>
      </c>
      <c r="H185" s="111" t="s">
        <v>274</v>
      </c>
    </row>
    <row r="186" ht="93.599999999999994">
      <c r="A186" s="113" t="s">
        <v>184</v>
      </c>
      <c r="B186" s="111"/>
      <c r="C186" s="130" t="s">
        <v>257</v>
      </c>
      <c r="D186" s="115" t="s">
        <v>258</v>
      </c>
      <c r="E186" s="129" t="s">
        <v>259</v>
      </c>
      <c r="F186" s="130" t="s">
        <v>260</v>
      </c>
      <c r="G186" s="134"/>
      <c r="H186" s="111"/>
    </row>
    <row r="187" ht="31.199999999999999">
      <c r="A187" s="113" t="s">
        <v>275</v>
      </c>
      <c r="B187" s="75">
        <v>0</v>
      </c>
      <c r="C187" s="75">
        <v>0</v>
      </c>
      <c r="D187" s="75">
        <f>SUM(D189:D194)</f>
        <v>0</v>
      </c>
      <c r="E187" s="75">
        <f>SUM(E189:E194)</f>
        <v>0</v>
      </c>
      <c r="F187" s="75">
        <f>SUM(F189:F194)</f>
        <v>0</v>
      </c>
      <c r="G187" s="75">
        <f>SUM(G189:G194)</f>
        <v>0</v>
      </c>
      <c r="H187" s="75">
        <f t="shared" ref="H187:H194" si="81">B187+C187-E187-F187</f>
        <v>0</v>
      </c>
    </row>
    <row r="188">
      <c r="A188" s="113" t="s">
        <v>153</v>
      </c>
      <c r="B188" s="75">
        <v>0</v>
      </c>
      <c r="C188" s="75"/>
      <c r="D188" s="75"/>
      <c r="E188" s="75"/>
      <c r="F188" s="75"/>
      <c r="G188" s="75"/>
      <c r="H188" s="75">
        <f t="shared" si="81"/>
        <v>0</v>
      </c>
    </row>
    <row r="189">
      <c r="A189" s="113" t="s">
        <v>276</v>
      </c>
      <c r="B189" s="75">
        <v>0</v>
      </c>
      <c r="C189" s="75"/>
      <c r="D189" s="75"/>
      <c r="E189" s="75"/>
      <c r="F189" s="75"/>
      <c r="G189" s="75"/>
      <c r="H189" s="75">
        <f t="shared" si="81"/>
        <v>0</v>
      </c>
    </row>
    <row r="190">
      <c r="A190" s="113" t="s">
        <v>277</v>
      </c>
      <c r="B190" s="75">
        <v>0</v>
      </c>
      <c r="C190" s="75"/>
      <c r="D190" s="75"/>
      <c r="E190" s="75"/>
      <c r="F190" s="75"/>
      <c r="G190" s="75"/>
      <c r="H190" s="75">
        <f t="shared" si="81"/>
        <v>0</v>
      </c>
    </row>
    <row r="191" ht="31.199999999999999">
      <c r="A191" s="113" t="s">
        <v>278</v>
      </c>
      <c r="B191" s="75">
        <v>0</v>
      </c>
      <c r="C191" s="75"/>
      <c r="D191" s="75"/>
      <c r="E191" s="75"/>
      <c r="F191" s="75"/>
      <c r="G191" s="75"/>
      <c r="H191" s="75">
        <f t="shared" si="81"/>
        <v>0</v>
      </c>
    </row>
    <row r="192" ht="46.799999999999997">
      <c r="A192" s="113" t="s">
        <v>279</v>
      </c>
      <c r="B192" s="75">
        <v>0</v>
      </c>
      <c r="C192" s="75"/>
      <c r="D192" s="75"/>
      <c r="E192" s="75"/>
      <c r="F192" s="75"/>
      <c r="G192" s="75"/>
      <c r="H192" s="75">
        <f t="shared" si="81"/>
        <v>0</v>
      </c>
    </row>
    <row r="193" ht="31.199999999999999">
      <c r="A193" s="113" t="s">
        <v>280</v>
      </c>
      <c r="B193" s="75">
        <v>0</v>
      </c>
      <c r="C193" s="75"/>
      <c r="D193" s="75"/>
      <c r="E193" s="75"/>
      <c r="F193" s="75"/>
      <c r="G193" s="75"/>
      <c r="H193" s="75">
        <f t="shared" si="81"/>
        <v>0</v>
      </c>
    </row>
    <row r="194">
      <c r="A194" s="113" t="s">
        <v>281</v>
      </c>
      <c r="B194" s="75">
        <v>0</v>
      </c>
      <c r="C194" s="75"/>
      <c r="D194" s="75"/>
      <c r="E194" s="75"/>
      <c r="F194" s="75"/>
      <c r="G194" s="75"/>
      <c r="H194" s="75">
        <f t="shared" si="81"/>
        <v>0</v>
      </c>
    </row>
    <row r="195" ht="31.199999999999999">
      <c r="A195" s="113" t="s">
        <v>282</v>
      </c>
      <c r="B195" s="75"/>
      <c r="C195" s="75"/>
      <c r="D195" s="75">
        <f>SUM(D197:D202)</f>
        <v>0</v>
      </c>
      <c r="E195" s="75">
        <f>SUM(E197:E202)</f>
        <v>0</v>
      </c>
      <c r="F195" s="75">
        <f>SUM(F197:F202)</f>
        <v>0</v>
      </c>
      <c r="G195" s="75">
        <f>SUM(G197:G202)</f>
        <v>0</v>
      </c>
      <c r="H195" s="75">
        <f t="shared" ref="H195:H203" si="82">B195+C195+E195+F195</f>
        <v>0</v>
      </c>
      <c r="I195" s="101">
        <f>B195-'1'!E46</f>
        <v>-2565248</v>
      </c>
      <c r="J195" s="101">
        <f>H195-'1'!D46</f>
        <v>-2027319</v>
      </c>
    </row>
    <row r="196">
      <c r="A196" s="113" t="s">
        <v>153</v>
      </c>
      <c r="B196" s="75"/>
      <c r="C196" s="75"/>
      <c r="D196" s="75"/>
      <c r="E196" s="75"/>
      <c r="F196" s="75"/>
      <c r="G196" s="75"/>
      <c r="H196" s="75">
        <f t="shared" si="82"/>
        <v>0</v>
      </c>
    </row>
    <row r="197">
      <c r="A197" s="113" t="s">
        <v>276</v>
      </c>
      <c r="B197" s="75"/>
      <c r="C197" s="75"/>
      <c r="D197" s="75"/>
      <c r="E197" s="75"/>
      <c r="F197" s="75"/>
      <c r="G197" s="75"/>
      <c r="H197" s="75">
        <f t="shared" si="82"/>
        <v>0</v>
      </c>
    </row>
    <row r="198">
      <c r="A198" s="113" t="s">
        <v>277</v>
      </c>
      <c r="B198" s="75"/>
      <c r="C198" s="75"/>
      <c r="D198" s="75"/>
      <c r="E198" s="75"/>
      <c r="F198" s="75"/>
      <c r="G198" s="75"/>
      <c r="H198" s="75">
        <f t="shared" si="82"/>
        <v>0</v>
      </c>
    </row>
    <row r="199" ht="31.199999999999999">
      <c r="A199" s="113" t="s">
        <v>278</v>
      </c>
      <c r="B199" s="75"/>
      <c r="C199" s="75"/>
      <c r="D199" s="75"/>
      <c r="E199" s="75"/>
      <c r="F199" s="75"/>
      <c r="G199" s="75"/>
      <c r="H199" s="75">
        <f t="shared" si="82"/>
        <v>0</v>
      </c>
    </row>
    <row r="200" ht="46.799999999999997">
      <c r="A200" s="113" t="s">
        <v>279</v>
      </c>
      <c r="B200" s="75"/>
      <c r="C200" s="75"/>
      <c r="D200" s="75"/>
      <c r="E200" s="75"/>
      <c r="F200" s="75"/>
      <c r="G200" s="75"/>
      <c r="H200" s="75">
        <f t="shared" si="82"/>
        <v>0</v>
      </c>
    </row>
    <row r="201" ht="31.199999999999999">
      <c r="A201" s="113" t="s">
        <v>280</v>
      </c>
      <c r="B201" s="75"/>
      <c r="C201" s="75"/>
      <c r="D201" s="75"/>
      <c r="E201" s="75"/>
      <c r="F201" s="75"/>
      <c r="G201" s="75"/>
      <c r="H201" s="75">
        <f t="shared" si="82"/>
        <v>0</v>
      </c>
    </row>
    <row r="202">
      <c r="A202" s="113" t="s">
        <v>281</v>
      </c>
      <c r="B202" s="75"/>
      <c r="C202" s="75"/>
      <c r="D202" s="75"/>
      <c r="E202" s="75"/>
      <c r="F202" s="75"/>
      <c r="G202" s="75"/>
      <c r="H202" s="75">
        <f t="shared" si="82"/>
        <v>0</v>
      </c>
    </row>
    <row r="203">
      <c r="A203" s="113" t="s">
        <v>98</v>
      </c>
      <c r="B203" s="75"/>
      <c r="C203" s="75"/>
      <c r="D203" s="75">
        <f>D195+D187</f>
        <v>0</v>
      </c>
      <c r="E203" s="75">
        <f>E195+E187</f>
        <v>0</v>
      </c>
      <c r="F203" s="75">
        <f>F195+F187</f>
        <v>0</v>
      </c>
      <c r="G203" s="75">
        <f>G195+G187</f>
        <v>0</v>
      </c>
      <c r="H203" s="75">
        <f t="shared" si="82"/>
        <v>0</v>
      </c>
    </row>
    <row r="204">
      <c r="A204" s="116"/>
      <c r="B204" s="101">
        <f>B203-'1'!E46</f>
        <v>-2565248</v>
      </c>
      <c r="H204" s="101">
        <f>H203-'1'!D46</f>
        <v>-2027319</v>
      </c>
    </row>
    <row r="205">
      <c r="A205" s="116"/>
      <c r="C205" s="122" t="s">
        <v>283</v>
      </c>
      <c r="D205" s="109"/>
      <c r="E205" s="109"/>
      <c r="F205" s="109"/>
    </row>
    <row r="206">
      <c r="A206" s="110" t="s">
        <v>177</v>
      </c>
      <c r="B206" s="111" t="s">
        <v>273</v>
      </c>
      <c r="C206" s="75" t="s">
        <v>252</v>
      </c>
      <c r="D206" s="75"/>
      <c r="E206" s="135" t="s">
        <v>253</v>
      </c>
      <c r="F206" s="137"/>
      <c r="G206" s="133" t="s">
        <v>254</v>
      </c>
      <c r="H206" s="111" t="s">
        <v>274</v>
      </c>
    </row>
    <row r="207" ht="93.599999999999994">
      <c r="A207" s="113" t="s">
        <v>184</v>
      </c>
      <c r="B207" s="111"/>
      <c r="C207" s="130" t="s">
        <v>257</v>
      </c>
      <c r="D207" s="115" t="s">
        <v>258</v>
      </c>
      <c r="E207" s="129" t="s">
        <v>259</v>
      </c>
      <c r="F207" s="130" t="s">
        <v>260</v>
      </c>
      <c r="G207" s="134"/>
      <c r="H207" s="111"/>
    </row>
    <row r="208" ht="31.199999999999999">
      <c r="A208" s="113" t="s">
        <v>275</v>
      </c>
      <c r="B208" s="75">
        <f t="shared" ref="B208:B224" si="83">H187</f>
        <v>0</v>
      </c>
      <c r="C208" s="75">
        <f>SUM(C210:C215)</f>
        <v>0</v>
      </c>
      <c r="D208" s="75">
        <f>SUM(D210:D215)</f>
        <v>0</v>
      </c>
      <c r="E208" s="75">
        <f>SUM(E210:E215)</f>
        <v>0</v>
      </c>
      <c r="F208" s="75">
        <f>SUM(F210:F215)</f>
        <v>0</v>
      </c>
      <c r="G208" s="75">
        <f>SUM(G210:G215)</f>
        <v>0</v>
      </c>
      <c r="H208" s="75">
        <f t="shared" ref="H208:H215" si="84">B208+C208+E208+F208+G208</f>
        <v>0</v>
      </c>
    </row>
    <row r="209">
      <c r="A209" s="113" t="s">
        <v>153</v>
      </c>
      <c r="B209" s="75">
        <f t="shared" si="83"/>
        <v>0</v>
      </c>
      <c r="C209" s="75"/>
      <c r="D209" s="75"/>
      <c r="E209" s="75"/>
      <c r="F209" s="75"/>
      <c r="G209" s="75"/>
      <c r="H209" s="75">
        <f t="shared" si="84"/>
        <v>0</v>
      </c>
    </row>
    <row r="210">
      <c r="A210" s="113" t="s">
        <v>276</v>
      </c>
      <c r="B210" s="75">
        <f t="shared" si="83"/>
        <v>0</v>
      </c>
      <c r="C210" s="75"/>
      <c r="D210" s="75"/>
      <c r="E210" s="75"/>
      <c r="F210" s="75"/>
      <c r="G210" s="75"/>
      <c r="H210" s="75">
        <f t="shared" si="84"/>
        <v>0</v>
      </c>
    </row>
    <row r="211">
      <c r="A211" s="113" t="s">
        <v>277</v>
      </c>
      <c r="B211" s="75">
        <f t="shared" si="83"/>
        <v>0</v>
      </c>
      <c r="C211" s="75"/>
      <c r="D211" s="75"/>
      <c r="E211" s="75"/>
      <c r="F211" s="75"/>
      <c r="G211" s="75"/>
      <c r="H211" s="75">
        <f t="shared" si="84"/>
        <v>0</v>
      </c>
    </row>
    <row r="212" ht="31.199999999999999">
      <c r="A212" s="113" t="s">
        <v>278</v>
      </c>
      <c r="B212" s="75">
        <f t="shared" si="83"/>
        <v>0</v>
      </c>
      <c r="C212" s="75"/>
      <c r="D212" s="75"/>
      <c r="E212" s="75"/>
      <c r="F212" s="75"/>
      <c r="G212" s="75"/>
      <c r="H212" s="75">
        <f t="shared" si="84"/>
        <v>0</v>
      </c>
    </row>
    <row r="213" ht="46.799999999999997">
      <c r="A213" s="113" t="s">
        <v>279</v>
      </c>
      <c r="B213" s="75">
        <f t="shared" si="83"/>
        <v>0</v>
      </c>
      <c r="C213" s="75"/>
      <c r="D213" s="75"/>
      <c r="E213" s="75"/>
      <c r="F213" s="75"/>
      <c r="G213" s="75"/>
      <c r="H213" s="75">
        <f t="shared" si="84"/>
        <v>0</v>
      </c>
    </row>
    <row r="214" ht="31.199999999999999">
      <c r="A214" s="113" t="s">
        <v>280</v>
      </c>
      <c r="B214" s="75">
        <f t="shared" si="83"/>
        <v>0</v>
      </c>
      <c r="C214" s="75"/>
      <c r="D214" s="75"/>
      <c r="E214" s="75"/>
      <c r="F214" s="75"/>
      <c r="G214" s="75"/>
      <c r="H214" s="75">
        <f t="shared" si="84"/>
        <v>0</v>
      </c>
    </row>
    <row r="215">
      <c r="A215" s="113" t="s">
        <v>281</v>
      </c>
      <c r="B215" s="75">
        <f t="shared" si="83"/>
        <v>0</v>
      </c>
      <c r="C215" s="75"/>
      <c r="D215" s="75"/>
      <c r="E215" s="75"/>
      <c r="F215" s="75"/>
      <c r="G215" s="75"/>
      <c r="H215" s="75">
        <f t="shared" si="84"/>
        <v>0</v>
      </c>
    </row>
    <row r="216" ht="31.199999999999999">
      <c r="A216" s="113" t="s">
        <v>282</v>
      </c>
      <c r="B216" s="75">
        <f t="shared" ref="B216:G216" si="85">SUM(B218:B223)</f>
        <v>0</v>
      </c>
      <c r="C216" s="75">
        <f t="shared" si="85"/>
        <v>0</v>
      </c>
      <c r="D216" s="75">
        <f t="shared" si="85"/>
        <v>0</v>
      </c>
      <c r="E216" s="75">
        <f t="shared" si="85"/>
        <v>0</v>
      </c>
      <c r="F216" s="75">
        <f t="shared" si="85"/>
        <v>0</v>
      </c>
      <c r="G216" s="75">
        <f t="shared" si="85"/>
        <v>0</v>
      </c>
      <c r="H216" s="75">
        <f t="shared" ref="H216:H224" si="86">B216+C216+D216+E216+F216+G216</f>
        <v>0</v>
      </c>
      <c r="I216" s="101">
        <f>H216-'1'!C46</f>
        <v>-6817353</v>
      </c>
    </row>
    <row r="217">
      <c r="A217" s="113" t="s">
        <v>153</v>
      </c>
      <c r="B217" s="75">
        <f t="shared" si="83"/>
        <v>0</v>
      </c>
      <c r="C217" s="75"/>
      <c r="D217" s="75"/>
      <c r="E217" s="75"/>
      <c r="F217" s="75"/>
      <c r="G217" s="75"/>
      <c r="H217" s="75">
        <f t="shared" si="86"/>
        <v>0</v>
      </c>
    </row>
    <row r="218">
      <c r="A218" s="113" t="s">
        <v>276</v>
      </c>
      <c r="B218" s="75">
        <f t="shared" si="83"/>
        <v>0</v>
      </c>
      <c r="C218" s="75"/>
      <c r="D218" s="75"/>
      <c r="E218" s="75"/>
      <c r="F218" s="75"/>
      <c r="G218" s="75"/>
      <c r="H218" s="75">
        <f t="shared" si="86"/>
        <v>0</v>
      </c>
    </row>
    <row r="219">
      <c r="A219" s="113" t="s">
        <v>277</v>
      </c>
      <c r="B219" s="75">
        <f t="shared" si="83"/>
        <v>0</v>
      </c>
      <c r="C219" s="75"/>
      <c r="D219" s="75"/>
      <c r="E219" s="75"/>
      <c r="F219" s="75"/>
      <c r="G219" s="75"/>
      <c r="H219" s="75">
        <f t="shared" si="86"/>
        <v>0</v>
      </c>
    </row>
    <row r="220" ht="31.199999999999999">
      <c r="A220" s="113" t="s">
        <v>278</v>
      </c>
      <c r="B220" s="75">
        <f t="shared" si="83"/>
        <v>0</v>
      </c>
      <c r="C220" s="75"/>
      <c r="D220" s="75"/>
      <c r="E220" s="75"/>
      <c r="F220" s="75"/>
      <c r="G220" s="75"/>
      <c r="H220" s="75">
        <f t="shared" si="86"/>
        <v>0</v>
      </c>
    </row>
    <row r="221" ht="46.799999999999997">
      <c r="A221" s="113" t="s">
        <v>279</v>
      </c>
      <c r="B221" s="75">
        <f t="shared" si="83"/>
        <v>0</v>
      </c>
      <c r="C221" s="75"/>
      <c r="D221" s="75"/>
      <c r="E221" s="75"/>
      <c r="F221" s="75"/>
      <c r="G221" s="75"/>
      <c r="H221" s="75">
        <f t="shared" si="86"/>
        <v>0</v>
      </c>
    </row>
    <row r="222" ht="31.199999999999999">
      <c r="A222" s="113" t="s">
        <v>280</v>
      </c>
      <c r="B222" s="75">
        <f t="shared" si="83"/>
        <v>0</v>
      </c>
      <c r="C222" s="75"/>
      <c r="D222" s="75"/>
      <c r="E222" s="75"/>
      <c r="F222" s="75"/>
      <c r="G222" s="75"/>
      <c r="H222" s="75">
        <f t="shared" si="86"/>
        <v>0</v>
      </c>
    </row>
    <row r="223">
      <c r="A223" s="113" t="s">
        <v>281</v>
      </c>
      <c r="B223" s="75">
        <f t="shared" si="83"/>
        <v>0</v>
      </c>
      <c r="C223" s="75"/>
      <c r="D223" s="75"/>
      <c r="E223" s="75"/>
      <c r="F223" s="75"/>
      <c r="G223" s="75"/>
      <c r="H223" s="75">
        <f t="shared" si="86"/>
        <v>0</v>
      </c>
    </row>
    <row r="224">
      <c r="A224" s="113" t="s">
        <v>98</v>
      </c>
      <c r="B224" s="75">
        <f t="shared" si="83"/>
        <v>0</v>
      </c>
      <c r="C224" s="75">
        <f>C216+C208</f>
        <v>0</v>
      </c>
      <c r="D224" s="75">
        <f>D216+D208</f>
        <v>0</v>
      </c>
      <c r="E224" s="75">
        <f>E216+E208</f>
        <v>0</v>
      </c>
      <c r="F224" s="75">
        <f>F216+F208</f>
        <v>0</v>
      </c>
      <c r="G224" s="75">
        <f>G216+G208</f>
        <v>0</v>
      </c>
      <c r="H224" s="75">
        <f t="shared" si="86"/>
        <v>0</v>
      </c>
    </row>
    <row r="225">
      <c r="A225" s="116"/>
      <c r="H225" s="101">
        <f>H224-'1'!C46</f>
        <v>-6817353</v>
      </c>
    </row>
    <row r="226">
      <c r="A226" s="104" t="s">
        <v>284</v>
      </c>
      <c r="C226" s="138"/>
      <c r="D226" s="138"/>
    </row>
    <row r="227" s="109" customFormat="1" ht="45" customHeight="1">
      <c r="A227" s="139" t="s">
        <v>177</v>
      </c>
      <c r="B227" s="140" t="s">
        <v>95</v>
      </c>
      <c r="C227" s="141" t="str">
        <f t="shared" ref="C227:I227" si="87">B256</f>
        <v xml:space="preserve">2019 год</v>
      </c>
      <c r="D227" s="141" t="str">
        <f t="shared" si="87"/>
        <v xml:space="preserve">2018 год</v>
      </c>
      <c r="E227" s="141" t="str">
        <f t="shared" si="87"/>
        <v xml:space="preserve">2017 год</v>
      </c>
      <c r="F227" s="141" t="str">
        <f t="shared" si="87"/>
        <v xml:space="preserve">2016 год</v>
      </c>
      <c r="G227" s="141" t="str">
        <f t="shared" si="87"/>
        <v xml:space="preserve">2015 год</v>
      </c>
      <c r="H227" s="141" t="str">
        <f t="shared" si="87"/>
        <v xml:space="preserve">2014 год</v>
      </c>
      <c r="I227" s="141" t="str">
        <f t="shared" si="87"/>
        <v xml:space="preserve">2013 год</v>
      </c>
      <c r="J227" s="101"/>
    </row>
    <row r="228" ht="15" customHeight="1">
      <c r="A228" s="132" t="s">
        <v>285</v>
      </c>
      <c r="B228" s="142">
        <v>5610</v>
      </c>
      <c r="C228" s="111"/>
      <c r="D228" s="111"/>
      <c r="E228" s="111"/>
      <c r="F228" s="111"/>
      <c r="G228" s="111"/>
      <c r="H228" s="111"/>
      <c r="I228" s="111"/>
    </row>
    <row r="229">
      <c r="A229" s="132" t="s">
        <v>286</v>
      </c>
      <c r="B229" s="142">
        <v>5620</v>
      </c>
      <c r="C229" s="44"/>
      <c r="D229" s="44"/>
      <c r="E229" s="44"/>
      <c r="F229" s="44"/>
      <c r="G229" s="44"/>
      <c r="H229" s="44"/>
      <c r="I229" s="44"/>
    </row>
    <row r="230" ht="31.199999999999999">
      <c r="A230" s="132" t="s">
        <v>287</v>
      </c>
      <c r="B230" s="142">
        <v>5630</v>
      </c>
      <c r="C230" s="44"/>
      <c r="D230" s="44"/>
      <c r="E230" s="44"/>
      <c r="F230" s="44"/>
      <c r="G230" s="44"/>
      <c r="H230" s="44"/>
      <c r="I230" s="44"/>
    </row>
    <row r="231">
      <c r="A231" s="132" t="s">
        <v>288</v>
      </c>
      <c r="B231" s="142">
        <v>5640</v>
      </c>
      <c r="C231" s="44"/>
      <c r="D231" s="44"/>
      <c r="E231" s="44"/>
      <c r="F231" s="44"/>
      <c r="G231" s="44"/>
      <c r="H231" s="44"/>
      <c r="I231" s="44"/>
    </row>
    <row r="232">
      <c r="A232" s="132" t="s">
        <v>289</v>
      </c>
      <c r="B232" s="142">
        <v>5650</v>
      </c>
      <c r="C232" s="44"/>
      <c r="D232" s="44"/>
      <c r="E232" s="44"/>
      <c r="F232" s="44"/>
      <c r="G232" s="44"/>
      <c r="H232" s="44"/>
      <c r="I232" s="44"/>
    </row>
    <row r="233">
      <c r="A233" s="132" t="s">
        <v>290</v>
      </c>
      <c r="B233" s="142">
        <v>5660</v>
      </c>
      <c r="C233" s="143"/>
      <c r="D233" s="143"/>
      <c r="E233" s="143"/>
      <c r="F233" s="143"/>
      <c r="G233" s="143"/>
      <c r="H233" s="143"/>
      <c r="I233" s="143"/>
    </row>
    <row r="234" ht="31.199999999999999">
      <c r="A234" s="132" t="s">
        <v>291</v>
      </c>
      <c r="B234" s="142"/>
      <c r="C234" s="144"/>
      <c r="D234" s="144"/>
      <c r="E234" s="144"/>
      <c r="F234" s="144"/>
      <c r="G234" s="144"/>
      <c r="H234" s="144"/>
      <c r="I234" s="144"/>
    </row>
    <row r="235" ht="31.199999999999999">
      <c r="A235" s="132" t="s">
        <v>292</v>
      </c>
      <c r="B235" s="142">
        <v>5670</v>
      </c>
      <c r="C235" s="143"/>
      <c r="D235" s="143"/>
      <c r="E235" s="143"/>
      <c r="F235" s="143"/>
      <c r="G235" s="143"/>
      <c r="H235" s="143"/>
      <c r="I235" s="143"/>
    </row>
    <row r="236">
      <c r="A236" s="132" t="s">
        <v>293</v>
      </c>
      <c r="B236" s="142">
        <v>5680</v>
      </c>
      <c r="C236" s="143"/>
      <c r="D236" s="143"/>
      <c r="E236" s="143"/>
      <c r="F236" s="143"/>
      <c r="G236" s="143"/>
      <c r="H236" s="143"/>
      <c r="I236" s="143"/>
    </row>
    <row r="237">
      <c r="A237" s="132"/>
      <c r="B237" s="142"/>
      <c r="C237" s="145"/>
      <c r="D237" s="145"/>
      <c r="E237" s="145"/>
      <c r="F237" s="145"/>
      <c r="G237" s="145"/>
      <c r="H237" s="145"/>
      <c r="I237" s="145"/>
    </row>
    <row r="238" ht="31.199999999999999">
      <c r="A238" s="113" t="s">
        <v>294</v>
      </c>
      <c r="B238" s="146">
        <v>5600</v>
      </c>
      <c r="C238" s="144">
        <f t="shared" ref="C238:I238" si="88">C234+C233+C235+C236</f>
        <v>0</v>
      </c>
      <c r="D238" s="144">
        <f t="shared" si="88"/>
        <v>0</v>
      </c>
      <c r="E238" s="144">
        <f t="shared" si="88"/>
        <v>0</v>
      </c>
      <c r="F238" s="144">
        <f t="shared" si="88"/>
        <v>0</v>
      </c>
      <c r="G238" s="144">
        <f t="shared" si="88"/>
        <v>0</v>
      </c>
      <c r="H238" s="144">
        <f t="shared" si="88"/>
        <v>0</v>
      </c>
      <c r="I238" s="144">
        <f t="shared" si="88"/>
        <v>0</v>
      </c>
    </row>
    <row r="239">
      <c r="A239" s="116"/>
      <c r="B239" s="119"/>
      <c r="C239" s="147">
        <f>'2'!C8+'2'!C10+'2'!C11+C238</f>
        <v>-18342702</v>
      </c>
      <c r="D239" s="147">
        <f>'2'!D8+'2'!D10+'2'!D11+D238</f>
        <v>-19744407</v>
      </c>
      <c r="E239" s="147">
        <f>'2'!E8+'2'!E10+'2'!E11+E238</f>
        <v>-17314516</v>
      </c>
      <c r="F239" s="147">
        <f>'2'!F8+'2'!F10+'2'!F11+F238</f>
        <v>-17554473</v>
      </c>
      <c r="G239" s="147">
        <f>'2'!G8+'2'!G10+'2'!G11+G238</f>
        <v>-15035034</v>
      </c>
      <c r="H239" s="147">
        <f>'2'!H8+'2'!H10+'2'!H11+H238</f>
        <v>-12043987</v>
      </c>
      <c r="I239" s="147">
        <f>'2'!I8+'2'!I10+'2'!I11+I238</f>
        <v>-12894116</v>
      </c>
    </row>
    <row r="240" ht="16.199999999999999">
      <c r="A240" s="6" t="s">
        <v>295</v>
      </c>
      <c r="B240" s="8"/>
      <c r="C240"/>
      <c r="D240"/>
      <c r="E240" s="3"/>
      <c r="F240" s="4"/>
      <c r="G240" s="1"/>
    </row>
    <row r="241" s="109" customFormat="1" ht="31.199999999999999">
      <c r="A241" s="71" t="s">
        <v>57</v>
      </c>
      <c r="B241" s="148" t="s">
        <v>7</v>
      </c>
      <c r="C241" s="149" t="str">
        <f>'1'!C5</f>
        <v xml:space="preserve">на 31 декабря 2019 года</v>
      </c>
      <c r="D241" s="149" t="str">
        <f>'1'!D5</f>
        <v xml:space="preserve">на 31 декабря 2018 года</v>
      </c>
      <c r="E241" s="149" t="str">
        <f>'1'!E5</f>
        <v xml:space="preserve">на 31 декабря 2017 года</v>
      </c>
      <c r="F241" s="149" t="str">
        <f>'1'!F5</f>
        <v xml:space="preserve">на 31 декабря 2016 года</v>
      </c>
      <c r="G241" s="149" t="str">
        <f>'1'!G5</f>
        <v xml:space="preserve">на 31 декабря 2015 года</v>
      </c>
      <c r="H241" s="149" t="str">
        <f>'1'!H5</f>
        <v xml:space="preserve">на 31 декабря 2014 года</v>
      </c>
      <c r="I241" s="149" t="str">
        <f>'1'!I5</f>
        <v xml:space="preserve">на 31 декабря 2013 года</v>
      </c>
    </row>
    <row r="242">
      <c r="A242" s="150" t="s">
        <v>296</v>
      </c>
      <c r="B242" s="94"/>
      <c r="C242" s="20">
        <f t="shared" ref="C242:I242" si="89">SUM(C244:C246)</f>
        <v>0</v>
      </c>
      <c r="D242" s="20">
        <f t="shared" si="89"/>
        <v>0</v>
      </c>
      <c r="E242" s="20">
        <f t="shared" si="89"/>
        <v>0</v>
      </c>
      <c r="F242" s="20">
        <f t="shared" si="89"/>
        <v>0</v>
      </c>
      <c r="G242" s="20">
        <f t="shared" si="89"/>
        <v>0</v>
      </c>
      <c r="H242" s="20">
        <f t="shared" si="89"/>
        <v>0</v>
      </c>
      <c r="I242" s="20">
        <f t="shared" si="89"/>
        <v>0</v>
      </c>
    </row>
    <row r="243">
      <c r="A243" s="150" t="s">
        <v>297</v>
      </c>
      <c r="B243" s="94"/>
      <c r="C243" s="151"/>
      <c r="D243" s="151"/>
      <c r="E243" s="151"/>
      <c r="F243" s="151"/>
      <c r="G243" s="151"/>
      <c r="H243" s="151"/>
      <c r="I243" s="151"/>
    </row>
    <row r="244">
      <c r="A244" s="150" t="s">
        <v>298</v>
      </c>
      <c r="B244" s="94"/>
      <c r="C244" s="20"/>
      <c r="D244" s="20"/>
      <c r="E244" s="20"/>
      <c r="F244" s="20"/>
      <c r="G244" s="20"/>
      <c r="H244" s="20"/>
      <c r="I244" s="20"/>
    </row>
    <row r="245">
      <c r="A245" s="150" t="s">
        <v>299</v>
      </c>
      <c r="B245" s="94"/>
      <c r="C245" s="20"/>
      <c r="D245" s="20"/>
      <c r="E245" s="20"/>
      <c r="F245" s="20"/>
      <c r="G245" s="20"/>
      <c r="H245" s="20"/>
      <c r="I245" s="20"/>
    </row>
    <row r="246">
      <c r="A246" s="150" t="s">
        <v>300</v>
      </c>
      <c r="B246" s="94"/>
      <c r="C246" s="20"/>
      <c r="D246" s="20"/>
      <c r="E246" s="20"/>
      <c r="F246" s="20"/>
      <c r="G246" s="20"/>
      <c r="H246" s="20"/>
      <c r="I246" s="20"/>
    </row>
    <row r="247">
      <c r="A247" s="150" t="s">
        <v>301</v>
      </c>
      <c r="B247" s="94"/>
      <c r="C247" s="18">
        <f t="shared" ref="C247:I247" si="90">SUM(C249:C252)</f>
        <v>0</v>
      </c>
      <c r="D247" s="18">
        <f t="shared" si="90"/>
        <v>0</v>
      </c>
      <c r="E247" s="18">
        <f t="shared" si="90"/>
        <v>0</v>
      </c>
      <c r="F247" s="18">
        <f t="shared" si="90"/>
        <v>0</v>
      </c>
      <c r="G247" s="18">
        <f t="shared" si="90"/>
        <v>0</v>
      </c>
      <c r="H247" s="18">
        <f t="shared" si="90"/>
        <v>0</v>
      </c>
      <c r="I247" s="18">
        <f t="shared" si="90"/>
        <v>0</v>
      </c>
    </row>
    <row r="248">
      <c r="A248" s="150" t="s">
        <v>297</v>
      </c>
      <c r="B248" s="94"/>
      <c r="C248" s="20"/>
      <c r="D248" s="20"/>
      <c r="E248" s="20"/>
      <c r="F248" s="20"/>
      <c r="G248" s="20"/>
      <c r="H248" s="20"/>
      <c r="I248" s="20"/>
    </row>
    <row r="249">
      <c r="A249" s="150" t="s">
        <v>299</v>
      </c>
      <c r="B249" s="94"/>
      <c r="C249" s="20"/>
      <c r="D249" s="20"/>
      <c r="E249" s="20"/>
      <c r="F249" s="20"/>
      <c r="G249" s="20"/>
      <c r="H249" s="20"/>
      <c r="I249" s="20"/>
    </row>
    <row r="250">
      <c r="A250" s="150" t="s">
        <v>300</v>
      </c>
      <c r="B250" s="94"/>
      <c r="C250" s="20"/>
      <c r="D250" s="20"/>
      <c r="E250" s="20"/>
      <c r="F250" s="20"/>
      <c r="G250" s="20"/>
      <c r="H250" s="20"/>
      <c r="I250" s="20"/>
    </row>
    <row r="251">
      <c r="A251" s="150" t="s">
        <v>302</v>
      </c>
      <c r="B251" s="94"/>
      <c r="C251" s="20"/>
      <c r="D251" s="20"/>
      <c r="E251" s="20"/>
      <c r="F251" s="20"/>
      <c r="G251" s="20"/>
      <c r="H251" s="20"/>
      <c r="I251" s="20"/>
    </row>
    <row r="252">
      <c r="A252" s="113" t="s">
        <v>249</v>
      </c>
      <c r="B252" s="75"/>
      <c r="C252" s="20"/>
      <c r="D252" s="20"/>
      <c r="E252" s="20"/>
      <c r="F252" s="20"/>
      <c r="G252" s="20"/>
      <c r="H252" s="20"/>
      <c r="I252" s="20"/>
    </row>
    <row r="253">
      <c r="A253" s="116"/>
      <c r="B253" s="119"/>
      <c r="D253" s="147"/>
      <c r="E253" s="147"/>
    </row>
    <row r="254">
      <c r="A254" s="116"/>
      <c r="B254" s="119"/>
      <c r="D254" s="147"/>
      <c r="E254" s="147"/>
    </row>
    <row r="255">
      <c r="B255" s="109" t="s">
        <v>303</v>
      </c>
      <c r="C255" s="138"/>
      <c r="D255" s="138"/>
    </row>
    <row r="256">
      <c r="A256" s="152" t="s">
        <v>57</v>
      </c>
      <c r="B256" s="141" t="str">
        <f>B270</f>
        <v xml:space="preserve">2019 год</v>
      </c>
      <c r="C256" s="141" t="str">
        <f t="shared" ref="C256:H256" si="91">C270</f>
        <v xml:space="preserve">2018 год</v>
      </c>
      <c r="D256" s="141" t="str">
        <f t="shared" si="91"/>
        <v xml:space="preserve">2017 год</v>
      </c>
      <c r="E256" s="141" t="str">
        <f t="shared" si="91"/>
        <v xml:space="preserve">2016 год</v>
      </c>
      <c r="F256" s="141" t="str">
        <f t="shared" si="91"/>
        <v xml:space="preserve">2015 год</v>
      </c>
      <c r="G256" s="141" t="str">
        <f t="shared" si="91"/>
        <v xml:space="preserve">2014 год</v>
      </c>
      <c r="H256" s="141" t="str">
        <f t="shared" si="91"/>
        <v xml:space="preserve">2013 год</v>
      </c>
    </row>
    <row r="257" ht="31.199999999999999">
      <c r="A257" s="132" t="s">
        <v>304</v>
      </c>
      <c r="B257" s="144"/>
      <c r="C257" s="144"/>
      <c r="D257" s="144"/>
      <c r="E257" s="144"/>
      <c r="F257" s="144"/>
      <c r="G257" s="144"/>
      <c r="H257" s="144"/>
    </row>
    <row r="258" ht="31.199999999999999">
      <c r="A258" s="132" t="s">
        <v>305</v>
      </c>
      <c r="B258" s="144"/>
      <c r="C258" s="144"/>
      <c r="D258" s="144"/>
      <c r="E258" s="144"/>
      <c r="F258" s="144"/>
      <c r="G258" s="144"/>
      <c r="H258" s="144"/>
    </row>
    <row r="259" ht="31.199999999999999">
      <c r="A259" s="132" t="s">
        <v>306</v>
      </c>
      <c r="B259" s="153"/>
      <c r="C259" s="153"/>
      <c r="D259" s="153"/>
      <c r="E259" s="153"/>
      <c r="F259" s="153"/>
      <c r="G259" s="153"/>
      <c r="H259" s="153"/>
    </row>
    <row r="260" ht="31.199999999999999">
      <c r="A260" s="132" t="s">
        <v>307</v>
      </c>
      <c r="B260" s="153"/>
      <c r="C260" s="153"/>
      <c r="D260" s="153"/>
      <c r="E260" s="153"/>
      <c r="F260" s="153"/>
      <c r="G260" s="153"/>
      <c r="H260" s="153"/>
    </row>
    <row r="261" ht="31.199999999999999">
      <c r="A261" s="132" t="s">
        <v>308</v>
      </c>
      <c r="B261" s="153"/>
      <c r="C261" s="153"/>
      <c r="D261" s="153"/>
      <c r="E261" s="153"/>
      <c r="F261" s="153"/>
      <c r="G261" s="153"/>
      <c r="H261" s="153"/>
    </row>
    <row r="262">
      <c r="A262" s="154"/>
      <c r="B262" s="155"/>
      <c r="C262" s="138"/>
      <c r="D262" s="138"/>
    </row>
    <row r="263">
      <c r="A263" s="154"/>
      <c r="B263" s="155"/>
      <c r="C263" s="138"/>
      <c r="D263" s="138"/>
    </row>
    <row r="264">
      <c r="B264" s="109" t="s">
        <v>309</v>
      </c>
    </row>
    <row r="265" s="121" customFormat="1">
      <c r="A265" s="54" t="s">
        <v>177</v>
      </c>
      <c r="B265" s="141" t="str">
        <f>B270</f>
        <v xml:space="preserve">2019 год</v>
      </c>
      <c r="C265" s="141" t="str">
        <f t="shared" ref="C265:H265" si="92">C270</f>
        <v xml:space="preserve">2018 год</v>
      </c>
      <c r="D265" s="141" t="str">
        <f t="shared" si="92"/>
        <v xml:space="preserve">2017 год</v>
      </c>
      <c r="E265" s="141" t="str">
        <f t="shared" si="92"/>
        <v xml:space="preserve">2016 год</v>
      </c>
      <c r="F265" s="141" t="str">
        <f t="shared" si="92"/>
        <v xml:space="preserve">2015 год</v>
      </c>
      <c r="G265" s="141" t="str">
        <f t="shared" si="92"/>
        <v xml:space="preserve">2014 год</v>
      </c>
      <c r="H265" s="141" t="str">
        <f t="shared" si="92"/>
        <v xml:space="preserve">2013 год</v>
      </c>
    </row>
    <row r="266">
      <c r="A266" s="113" t="s">
        <v>310</v>
      </c>
      <c r="B266" s="156"/>
      <c r="C266" s="156"/>
      <c r="D266" s="156"/>
      <c r="E266" s="156"/>
      <c r="F266" s="156"/>
      <c r="G266" s="156"/>
      <c r="H266" s="156"/>
    </row>
    <row r="267" ht="31.199999999999999">
      <c r="A267" s="113" t="s">
        <v>311</v>
      </c>
      <c r="B267" s="156">
        <f t="shared" ref="B267:H267" si="93">B275+B276</f>
        <v>0</v>
      </c>
      <c r="C267" s="156">
        <f t="shared" si="93"/>
        <v>0</v>
      </c>
      <c r="D267" s="156">
        <f t="shared" si="93"/>
        <v>0</v>
      </c>
      <c r="E267" s="156">
        <f t="shared" si="93"/>
        <v>0</v>
      </c>
      <c r="F267" s="156">
        <f t="shared" si="93"/>
        <v>0</v>
      </c>
      <c r="G267" s="156">
        <f t="shared" si="93"/>
        <v>0</v>
      </c>
      <c r="H267" s="156">
        <f t="shared" si="93"/>
        <v>0</v>
      </c>
    </row>
    <row r="268">
      <c r="A268" s="157"/>
    </row>
    <row r="269">
      <c r="B269" s="109" t="s">
        <v>312</v>
      </c>
    </row>
    <row r="270">
      <c r="A270" s="54" t="s">
        <v>177</v>
      </c>
      <c r="B270" s="141" t="str">
        <f>бс!C5</f>
        <v xml:space="preserve">2019 год</v>
      </c>
      <c r="C270" s="141" t="str">
        <f>бс!D5</f>
        <v xml:space="preserve">2018 год</v>
      </c>
      <c r="D270" s="141" t="str">
        <f>бс!E5</f>
        <v xml:space="preserve">2017 год</v>
      </c>
      <c r="E270" s="141" t="str">
        <f>бс!F5</f>
        <v xml:space="preserve">2016 год</v>
      </c>
      <c r="F270" s="141" t="str">
        <f>бс!G5</f>
        <v xml:space="preserve">2015 год</v>
      </c>
      <c r="G270" s="141" t="str">
        <f>бс!H5</f>
        <v xml:space="preserve">2014 год</v>
      </c>
      <c r="H270" s="141" t="str">
        <f>бс!I5</f>
        <v xml:space="preserve">2013 год</v>
      </c>
    </row>
    <row r="271" ht="31.199999999999999">
      <c r="A271" s="113" t="s">
        <v>313</v>
      </c>
      <c r="B271" s="158"/>
      <c r="C271" s="158"/>
      <c r="D271" s="158"/>
      <c r="E271" s="158"/>
      <c r="F271" s="158"/>
      <c r="G271" s="158"/>
      <c r="H271" s="158"/>
    </row>
    <row r="272" ht="46.799999999999997">
      <c r="A272" s="113" t="s">
        <v>314</v>
      </c>
      <c r="B272" s="158"/>
      <c r="C272" s="158"/>
      <c r="D272" s="158"/>
      <c r="E272" s="158"/>
      <c r="F272" s="158"/>
      <c r="G272" s="158"/>
      <c r="H272" s="158"/>
    </row>
    <row r="273" ht="31.199999999999999">
      <c r="A273" s="113" t="s">
        <v>315</v>
      </c>
      <c r="B273" s="156"/>
      <c r="C273" s="156"/>
      <c r="D273" s="156"/>
      <c r="E273" s="156"/>
      <c r="F273" s="156"/>
      <c r="G273" s="156"/>
      <c r="H273" s="156"/>
    </row>
    <row r="274" ht="31.199999999999999">
      <c r="A274" s="113" t="s">
        <v>316</v>
      </c>
      <c r="B274" s="156"/>
      <c r="C274" s="156"/>
      <c r="D274" s="156"/>
      <c r="E274" s="156"/>
      <c r="F274" s="156"/>
      <c r="G274" s="156"/>
      <c r="H274" s="156"/>
    </row>
    <row r="275">
      <c r="A275" s="113" t="s">
        <v>317</v>
      </c>
      <c r="B275" s="156"/>
      <c r="C275" s="156"/>
      <c r="D275" s="156"/>
      <c r="E275" s="156"/>
      <c r="F275" s="156"/>
      <c r="G275" s="156"/>
      <c r="H275" s="156"/>
    </row>
    <row r="276">
      <c r="A276" s="113" t="s">
        <v>318</v>
      </c>
      <c r="B276" s="156"/>
      <c r="C276" s="156"/>
      <c r="D276" s="156"/>
      <c r="E276" s="156"/>
      <c r="F276" s="156"/>
      <c r="G276" s="156"/>
      <c r="H276" s="156"/>
    </row>
  </sheetData>
  <mergeCells count="79">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 ref="B7:C7"/>
    <mergeCell ref="D7:D8"/>
    <mergeCell ref="B35:C35"/>
    <mergeCell ref="B20:C20"/>
    <mergeCell ref="E7:F7"/>
    <mergeCell ref="E20:F20"/>
    <mergeCell ref="D35:D36"/>
    <mergeCell ref="H7:H8"/>
    <mergeCell ref="I7:J7"/>
    <mergeCell ref="J35:K35"/>
    <mergeCell ref="H35:I35"/>
    <mergeCell ref="I20:J20"/>
    <mergeCell ref="H20:H21"/>
    <mergeCell ref="I80:J80"/>
    <mergeCell ref="I100:J100"/>
    <mergeCell ref="J121:K121"/>
    <mergeCell ref="K80:L80"/>
    <mergeCell ref="K100:L100"/>
    <mergeCell ref="E54:F54"/>
    <mergeCell ref="G20:G21"/>
    <mergeCell ref="E35:F35"/>
    <mergeCell ref="D100:D101"/>
    <mergeCell ref="E80:E81"/>
    <mergeCell ref="E100:E101"/>
    <mergeCell ref="F80:H80"/>
    <mergeCell ref="F100:H100"/>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H206:H207"/>
    <mergeCell ref="B206:B207"/>
    <mergeCell ref="C206:D206"/>
    <mergeCell ref="E206:F206"/>
    <mergeCell ref="G206:G207"/>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s>
  <hyperlinks>
    <hyperlink location="'0'!A1" ref="A1"/>
  </hyperlinks>
  <printOptions headings="0" gridLines="0"/>
  <pageMargins left="0.75" right="0.75" top="0.48000000000000004" bottom="0.51000000000000023" header="0.5" footer="0.5"/>
  <pageSetup paperSize="9" scale="11" fitToWidth="1" fitToHeight="1" pageOrder="downThenOver" orientation="portrait" usePrinterDefaults="1" blackAndWhite="0" draft="0" cellComments="none" useFirstPageNumber="0" errors="displayed" horizontalDpi="4294967293"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topLeftCell="A15" zoomScale="100" workbookViewId="0">
      <selection activeCell="C37" activeCellId="0" sqref="C37"/>
    </sheetView>
  </sheetViews>
  <sheetFormatPr defaultColWidth="9.109375" defaultRowHeight="15.6"/>
  <cols>
    <col customWidth="1" min="1" max="1" style="1" width="60.88671875"/>
    <col customWidth="1" min="2" max="2" style="2" width="10.88671875"/>
    <col customWidth="1" min="3" max="4" width="17.6640625"/>
    <col customWidth="1" min="5" max="5" style="3" width="17.6640625"/>
    <col customWidth="1" min="6" max="6" style="4" width="17.6640625"/>
    <col customWidth="1" min="7" max="7" style="2" width="17.6640625"/>
    <col customWidth="1" min="8" max="8" style="1" width="17.6640625"/>
    <col customWidth="1" min="9" max="9" style="5" width="17.6640625"/>
    <col bestFit="1" customWidth="1" min="10" max="10" style="1" width="10.33203125"/>
    <col bestFit="1" customWidth="1" min="11" max="11" style="1" width="11.44140625"/>
    <col min="12" max="16384" style="1" width="9.109375"/>
  </cols>
  <sheetData>
    <row r="1">
      <c r="B1" s="1"/>
      <c r="G1" s="1"/>
    </row>
    <row r="2">
      <c r="A2" s="6" t="str">
        <f>'1'!A2</f>
        <v xml:space="preserve">ПАО "ДОРОГОБУЖ" </v>
      </c>
      <c r="B2" s="7"/>
      <c r="G2" s="1"/>
    </row>
    <row r="3" ht="16.199999999999999">
      <c r="A3" s="6" t="s">
        <v>319</v>
      </c>
      <c r="B3" s="8" t="str">
        <f>'1'!B3</f>
        <v xml:space="preserve">2013-2019 годы </v>
      </c>
      <c r="F3" s="9"/>
      <c r="G3" s="1"/>
    </row>
    <row r="4" ht="16.199999999999999">
      <c r="A4" s="6" t="s">
        <v>4</v>
      </c>
      <c r="B4" s="8" t="s">
        <v>5</v>
      </c>
      <c r="G4" s="1"/>
    </row>
    <row r="5" s="6" customFormat="1" ht="31.199999999999999">
      <c r="A5" s="10" t="s">
        <v>6</v>
      </c>
      <c r="B5" s="11" t="s">
        <v>7</v>
      </c>
      <c r="C5" s="12" t="s">
        <v>320</v>
      </c>
      <c r="D5" s="12" t="s">
        <v>321</v>
      </c>
      <c r="E5" s="12" t="s">
        <v>322</v>
      </c>
      <c r="F5" s="12" t="s">
        <v>323</v>
      </c>
      <c r="G5" s="12" t="s">
        <v>324</v>
      </c>
      <c r="H5" s="12" t="s">
        <v>325</v>
      </c>
      <c r="I5" s="12" t="s">
        <v>326</v>
      </c>
    </row>
    <row r="6" s="6" customFormat="1">
      <c r="A6" s="13">
        <v>1</v>
      </c>
      <c r="B6" s="22">
        <v>2</v>
      </c>
      <c r="C6" s="159">
        <v>3</v>
      </c>
      <c r="D6" s="159">
        <v>4</v>
      </c>
      <c r="E6" s="159">
        <v>5</v>
      </c>
      <c r="F6" s="159">
        <v>6</v>
      </c>
      <c r="G6" s="159">
        <v>7</v>
      </c>
      <c r="H6" s="159">
        <v>8</v>
      </c>
      <c r="I6" s="159">
        <v>9</v>
      </c>
    </row>
    <row r="7">
      <c r="A7" s="16" t="s">
        <v>16</v>
      </c>
      <c r="B7" s="17"/>
      <c r="C7" s="160"/>
      <c r="D7" s="160"/>
      <c r="E7" s="160"/>
      <c r="F7" s="160"/>
      <c r="G7" s="160"/>
      <c r="H7" s="160"/>
      <c r="I7" s="160"/>
    </row>
    <row r="8">
      <c r="A8" s="16" t="s">
        <v>17</v>
      </c>
      <c r="B8" s="19">
        <v>1110</v>
      </c>
      <c r="C8" s="161">
        <f>AVERAGE('1'!C8:D8)</f>
        <v>0</v>
      </c>
      <c r="D8" s="161">
        <f>AVERAGE('1'!D8:E8)</f>
        <v>0</v>
      </c>
      <c r="E8" s="161">
        <f>AVERAGE('1'!E8:F8)</f>
        <v>0</v>
      </c>
      <c r="F8" s="161">
        <f>AVERAGE('1'!F8:G8)</f>
        <v>0</v>
      </c>
      <c r="G8" s="161">
        <f>AVERAGE('1'!G8:H8)</f>
        <v>0</v>
      </c>
      <c r="H8" s="161">
        <f>AVERAGE('1'!H8:I8)</f>
        <v>37</v>
      </c>
      <c r="I8" s="161">
        <f>AVERAGE('1'!I8:J8)</f>
        <v>157.5</v>
      </c>
    </row>
    <row r="9">
      <c r="A9" s="16" t="s">
        <v>18</v>
      </c>
      <c r="B9" s="19">
        <v>1120</v>
      </c>
      <c r="C9" s="161">
        <f>AVERAGE('1'!C9:D9)</f>
        <v>0</v>
      </c>
      <c r="D9" s="161">
        <f>AVERAGE('1'!D9:E9)</f>
        <v>0</v>
      </c>
      <c r="E9" s="161">
        <f>AVERAGE('1'!E9:F9)</f>
        <v>0</v>
      </c>
      <c r="F9" s="161">
        <f>AVERAGE('1'!F9:G9)</f>
        <v>0</v>
      </c>
      <c r="G9" s="161">
        <f>AVERAGE('1'!G9:H9)</f>
        <v>0</v>
      </c>
      <c r="H9" s="161">
        <f>AVERAGE('1'!H9:I9)</f>
        <v>0</v>
      </c>
      <c r="I9" s="161">
        <f>AVERAGE('1'!I9:J9)</f>
        <v>0</v>
      </c>
    </row>
    <row r="10">
      <c r="A10" s="16" t="s">
        <v>19</v>
      </c>
      <c r="B10" s="19">
        <v>1130</v>
      </c>
      <c r="C10" s="161">
        <f>AVERAGE('1'!C10:D10)</f>
        <v>5918929.5</v>
      </c>
      <c r="D10" s="161">
        <f>AVERAGE('1'!D10:E10)</f>
        <v>3864455.5</v>
      </c>
      <c r="E10" s="161">
        <f>AVERAGE('1'!E10:F10)</f>
        <v>3918029</v>
      </c>
      <c r="F10" s="161">
        <f>AVERAGE('1'!F10:G10)</f>
        <v>3887179</v>
      </c>
      <c r="G10" s="161">
        <f>AVERAGE('1'!G10:H10)</f>
        <v>3888485</v>
      </c>
      <c r="H10" s="161">
        <f>AVERAGE('1'!H10:I10)</f>
        <v>3757944.5</v>
      </c>
      <c r="I10" s="161">
        <f>AVERAGE('1'!I10:J10)</f>
        <v>3596080</v>
      </c>
    </row>
    <row r="11" ht="18" customHeight="1">
      <c r="A11" s="16" t="s">
        <v>20</v>
      </c>
      <c r="B11" s="19">
        <v>1140</v>
      </c>
      <c r="C11" s="161">
        <f>AVERAGE('1'!C11:D11)</f>
        <v>0</v>
      </c>
      <c r="D11" s="161">
        <f>AVERAGE('1'!D11:E11)</f>
        <v>0</v>
      </c>
      <c r="E11" s="161">
        <f>AVERAGE('1'!E11:F11)</f>
        <v>0</v>
      </c>
      <c r="F11" s="161">
        <f>AVERAGE('1'!F11:G11)</f>
        <v>0</v>
      </c>
      <c r="G11" s="161">
        <f>AVERAGE('1'!G11:H11)</f>
        <v>0</v>
      </c>
      <c r="H11" s="161">
        <f>AVERAGE('1'!H11:I11)</f>
        <v>0</v>
      </c>
      <c r="I11" s="161">
        <f>AVERAGE('1'!I11:J11)</f>
        <v>0</v>
      </c>
    </row>
    <row r="12">
      <c r="A12" s="16" t="s">
        <v>21</v>
      </c>
      <c r="B12" s="19">
        <v>1150</v>
      </c>
      <c r="C12" s="161">
        <f>AVERAGE('1'!C12:D12)</f>
        <v>9265974</v>
      </c>
      <c r="D12" s="161">
        <f>AVERAGE('1'!D12:E12)</f>
        <v>11511022</v>
      </c>
      <c r="E12" s="161">
        <f>AVERAGE('1'!E12:F12)</f>
        <v>9597759.5</v>
      </c>
      <c r="F12" s="161">
        <f>AVERAGE('1'!F12:G12)</f>
        <v>5522664.5</v>
      </c>
      <c r="G12" s="161">
        <f>AVERAGE('1'!G12:H12)</f>
        <v>6791468.5</v>
      </c>
      <c r="H12" s="161">
        <f>AVERAGE('1'!H12:I12)</f>
        <v>9730324</v>
      </c>
      <c r="I12" s="161">
        <f>AVERAGE('1'!I12:J12)</f>
        <v>13721840.5</v>
      </c>
    </row>
    <row r="13">
      <c r="A13" s="16" t="s">
        <v>22</v>
      </c>
      <c r="B13" s="19">
        <v>1160</v>
      </c>
      <c r="C13" s="161">
        <f>AVERAGE('1'!C13:D13)</f>
        <v>162762.5</v>
      </c>
      <c r="D13" s="161">
        <f>AVERAGE('1'!D13:E13)</f>
        <v>159370</v>
      </c>
      <c r="E13" s="161">
        <f>AVERAGE('1'!E13:F13)</f>
        <v>160605</v>
      </c>
      <c r="F13" s="161">
        <f>AVERAGE('1'!F13:G13)</f>
        <v>157177.5</v>
      </c>
      <c r="G13" s="161">
        <f>AVERAGE('1'!G13:H13)</f>
        <v>146799.5</v>
      </c>
      <c r="H13" s="161">
        <f>AVERAGE('1'!H13:I13)</f>
        <v>103769</v>
      </c>
      <c r="I13" s="161">
        <f>AVERAGE('1'!I13:J13)</f>
        <v>60585.5</v>
      </c>
    </row>
    <row r="14">
      <c r="A14" s="16" t="s">
        <v>23</v>
      </c>
      <c r="B14" s="19">
        <v>1170</v>
      </c>
      <c r="C14" s="161">
        <f>AVERAGE('1'!C14:D14)</f>
        <v>1714408</v>
      </c>
      <c r="D14" s="161">
        <f>AVERAGE('1'!D14:E14)</f>
        <v>1307835</v>
      </c>
      <c r="E14" s="161">
        <f>AVERAGE('1'!E14:F14)</f>
        <v>467071.5</v>
      </c>
      <c r="F14" s="161">
        <f>AVERAGE('1'!F14:G14)</f>
        <v>235754.5</v>
      </c>
      <c r="G14" s="161">
        <f>AVERAGE('1'!G14:H14)</f>
        <v>43113.5</v>
      </c>
      <c r="H14" s="161">
        <f>AVERAGE('1'!H14:I14)</f>
        <v>71671.5</v>
      </c>
      <c r="I14" s="161">
        <f>AVERAGE('1'!I14:J14)</f>
        <v>81726</v>
      </c>
    </row>
    <row r="15" s="6" customFormat="1">
      <c r="A15" s="21" t="s">
        <v>24</v>
      </c>
      <c r="B15" s="22">
        <v>1100</v>
      </c>
      <c r="C15" s="162">
        <f>SUM(C8:C14)</f>
        <v>17062074</v>
      </c>
      <c r="D15" s="162">
        <f t="shared" ref="D15:I15" si="94">SUM(D8:D14)</f>
        <v>16842682.5</v>
      </c>
      <c r="E15" s="162">
        <f t="shared" si="94"/>
        <v>14143465</v>
      </c>
      <c r="F15" s="162">
        <f t="shared" si="94"/>
        <v>9802775.5</v>
      </c>
      <c r="G15" s="162">
        <f t="shared" si="94"/>
        <v>10869866.5</v>
      </c>
      <c r="H15" s="162">
        <f t="shared" si="94"/>
        <v>13663746</v>
      </c>
      <c r="I15" s="162">
        <f t="shared" si="94"/>
        <v>17460389.5</v>
      </c>
    </row>
    <row r="16">
      <c r="A16" s="16" t="s">
        <v>25</v>
      </c>
      <c r="B16" s="17"/>
      <c r="C16" s="160"/>
      <c r="D16" s="160"/>
      <c r="E16" s="160"/>
      <c r="F16" s="160"/>
      <c r="G16" s="160"/>
      <c r="H16" s="160"/>
      <c r="I16" s="160"/>
    </row>
    <row r="17">
      <c r="A17" s="16" t="s">
        <v>26</v>
      </c>
      <c r="B17" s="19">
        <v>1210</v>
      </c>
      <c r="C17" s="161">
        <f>AVERAGE('1'!C17:D17)</f>
        <v>2906666.5</v>
      </c>
      <c r="D17" s="161">
        <f>AVERAGE('1'!D17:E17)</f>
        <v>2524122</v>
      </c>
      <c r="E17" s="161">
        <f>AVERAGE('1'!E17:F17)</f>
        <v>2388830</v>
      </c>
      <c r="F17" s="161">
        <f>AVERAGE('1'!F17:G17)</f>
        <v>2077538.5</v>
      </c>
      <c r="G17" s="161">
        <f>AVERAGE('1'!G17:H17)</f>
        <v>1819431</v>
      </c>
      <c r="H17" s="161">
        <f>AVERAGE('1'!H17:I17)</f>
        <v>1586497</v>
      </c>
      <c r="I17" s="161">
        <f>AVERAGE('1'!I17:J17)</f>
        <v>1658479.5</v>
      </c>
    </row>
    <row r="18" ht="31.199999999999999">
      <c r="A18" s="16" t="s">
        <v>27</v>
      </c>
      <c r="B18" s="19">
        <v>1220</v>
      </c>
      <c r="C18" s="161">
        <f>AVERAGE('1'!C18:D18)</f>
        <v>24808.5</v>
      </c>
      <c r="D18" s="161">
        <f>AVERAGE('1'!D18:E18)</f>
        <v>283046.5</v>
      </c>
      <c r="E18" s="161">
        <f>AVERAGE('1'!E18:F18)</f>
        <v>367992</v>
      </c>
      <c r="F18" s="161">
        <f>AVERAGE('1'!F18:G18)</f>
        <v>309569.5</v>
      </c>
      <c r="G18" s="161">
        <f>AVERAGE('1'!G18:H18)</f>
        <v>322904.5</v>
      </c>
      <c r="H18" s="161">
        <f>AVERAGE('1'!H18:I18)</f>
        <v>204800.5</v>
      </c>
      <c r="I18" s="161">
        <f>AVERAGE('1'!I18:J18)</f>
        <v>120017</v>
      </c>
    </row>
    <row r="19">
      <c r="A19" s="16" t="s">
        <v>28</v>
      </c>
      <c r="B19" s="19">
        <v>1230</v>
      </c>
      <c r="C19" s="161">
        <f>AVERAGE('1'!C19:D19)</f>
        <v>2900695.5</v>
      </c>
      <c r="D19" s="161">
        <f>AVERAGE('1'!D19:E19)</f>
        <v>3169324</v>
      </c>
      <c r="E19" s="161">
        <f>AVERAGE('1'!E19:F19)</f>
        <v>3473442</v>
      </c>
      <c r="F19" s="161">
        <f>AVERAGE('1'!F19:G19)</f>
        <v>4543106</v>
      </c>
      <c r="G19" s="161">
        <f>AVERAGE('1'!G19:H19)</f>
        <v>5464375</v>
      </c>
      <c r="H19" s="161">
        <f>AVERAGE('1'!H19:I19)</f>
        <v>4973655</v>
      </c>
      <c r="I19" s="161">
        <f>AVERAGE('1'!I19:J19)</f>
        <v>4498850</v>
      </c>
    </row>
    <row r="20">
      <c r="A20" s="25" t="s">
        <v>29</v>
      </c>
      <c r="B20" s="19">
        <v>1231</v>
      </c>
      <c r="C20" s="161">
        <f>AVERAGE('1'!C20:D20)</f>
        <v>0</v>
      </c>
      <c r="D20" s="161">
        <f>AVERAGE('1'!D20:E20)</f>
        <v>50684.5</v>
      </c>
      <c r="E20" s="161">
        <f>AVERAGE('1'!E20:F20)</f>
        <v>50684.5</v>
      </c>
      <c r="F20" s="161">
        <f>AVERAGE('1'!F20:G20)</f>
        <v>103362</v>
      </c>
      <c r="G20" s="161">
        <f>AVERAGE('1'!G20:H20)</f>
        <v>251059.5</v>
      </c>
      <c r="H20" s="161">
        <f>AVERAGE('1'!H20:I20)</f>
        <v>1038160.5</v>
      </c>
      <c r="I20" s="161">
        <f>AVERAGE('1'!I20:J20)</f>
        <v>2250700</v>
      </c>
    </row>
    <row r="21">
      <c r="A21" s="25" t="s">
        <v>30</v>
      </c>
      <c r="B21" s="19">
        <v>1232</v>
      </c>
      <c r="C21" s="161">
        <f>AVERAGE('1'!C21:D21)</f>
        <v>2900695.5</v>
      </c>
      <c r="D21" s="161">
        <f>AVERAGE('1'!D21:E21)</f>
        <v>3118639.5</v>
      </c>
      <c r="E21" s="161">
        <f>AVERAGE('1'!E21:F21)</f>
        <v>3422757.5</v>
      </c>
      <c r="F21" s="161">
        <f>AVERAGE('1'!F21:G21)</f>
        <v>4439744</v>
      </c>
      <c r="G21" s="161">
        <f>AVERAGE('1'!G21:H21)</f>
        <v>5213315.5</v>
      </c>
      <c r="H21" s="161">
        <f>AVERAGE('1'!H21:I21)</f>
        <v>3935494.5</v>
      </c>
      <c r="I21" s="161">
        <f>AVERAGE('1'!I21:J21)</f>
        <v>2248150</v>
      </c>
    </row>
    <row r="22" ht="31.199999999999999">
      <c r="A22" s="16" t="s">
        <v>31</v>
      </c>
      <c r="B22" s="19">
        <v>1240</v>
      </c>
      <c r="C22" s="161">
        <f>AVERAGE('1'!C22:D22)</f>
        <v>22810806</v>
      </c>
      <c r="D22" s="161">
        <f>AVERAGE('1'!D22:E22)</f>
        <v>24773744.5</v>
      </c>
      <c r="E22" s="161">
        <f>AVERAGE('1'!E22:F22)</f>
        <v>30412640.5</v>
      </c>
      <c r="F22" s="161">
        <f>AVERAGE('1'!F22:G22)</f>
        <v>31760161.5</v>
      </c>
      <c r="G22" s="161">
        <f>AVERAGE('1'!G22:H22)</f>
        <v>24442883.5</v>
      </c>
      <c r="H22" s="161">
        <f>AVERAGE('1'!H22:I22)</f>
        <v>17246720</v>
      </c>
      <c r="I22" s="161">
        <f>AVERAGE('1'!I22:J22)</f>
        <v>7069694</v>
      </c>
    </row>
    <row r="23">
      <c r="A23" s="16" t="s">
        <v>32</v>
      </c>
      <c r="B23" s="19">
        <v>1250</v>
      </c>
      <c r="C23" s="161">
        <f>AVERAGE('1'!C23:D23)</f>
        <v>2202480</v>
      </c>
      <c r="D23" s="161">
        <f>AVERAGE('1'!D23:E23)</f>
        <v>2064377.5</v>
      </c>
      <c r="E23" s="161">
        <f>AVERAGE('1'!E23:F23)</f>
        <v>3834733.5</v>
      </c>
      <c r="F23" s="161">
        <f>AVERAGE('1'!F23:G23)</f>
        <v>5601657</v>
      </c>
      <c r="G23" s="161">
        <f>AVERAGE('1'!G23:H23)</f>
        <v>5191600.5</v>
      </c>
      <c r="H23" s="161">
        <f>AVERAGE('1'!H23:I23)</f>
        <v>2118984</v>
      </c>
      <c r="I23" s="161">
        <f>AVERAGE('1'!I23:J23)</f>
        <v>670529.5</v>
      </c>
    </row>
    <row r="24">
      <c r="A24" s="16" t="s">
        <v>33</v>
      </c>
      <c r="B24" s="19">
        <v>1260</v>
      </c>
      <c r="C24" s="161">
        <f>AVERAGE('1'!C24:D24)</f>
        <v>471537.5</v>
      </c>
      <c r="D24" s="161">
        <f>AVERAGE('1'!D24:E24)</f>
        <v>184538.5</v>
      </c>
      <c r="E24" s="161">
        <f>AVERAGE('1'!E24:F24)</f>
        <v>169257.5</v>
      </c>
      <c r="F24" s="161">
        <f>AVERAGE('1'!F24:G24)</f>
        <v>265941</v>
      </c>
      <c r="G24" s="161">
        <f>AVERAGE('1'!G24:H24)</f>
        <v>234944</v>
      </c>
      <c r="H24" s="161">
        <f>AVERAGE('1'!H24:I24)</f>
        <v>110492</v>
      </c>
      <c r="I24" s="161">
        <f>AVERAGE('1'!I24:J24)</f>
        <v>90916</v>
      </c>
    </row>
    <row r="25" s="6" customFormat="1">
      <c r="A25" s="21" t="s">
        <v>34</v>
      </c>
      <c r="B25" s="22">
        <v>1200</v>
      </c>
      <c r="C25" s="162">
        <f t="shared" ref="C25:I25" si="95">SUM(C17:C19,C22,C23,C24)</f>
        <v>31316994</v>
      </c>
      <c r="D25" s="162">
        <f t="shared" si="95"/>
        <v>32999153</v>
      </c>
      <c r="E25" s="162">
        <f t="shared" si="95"/>
        <v>40646895.5</v>
      </c>
      <c r="F25" s="162">
        <f t="shared" si="95"/>
        <v>44557973.5</v>
      </c>
      <c r="G25" s="162">
        <f t="shared" si="95"/>
        <v>37476138.5</v>
      </c>
      <c r="H25" s="162">
        <f t="shared" si="95"/>
        <v>26241148.5</v>
      </c>
      <c r="I25" s="162">
        <f t="shared" si="95"/>
        <v>14108486</v>
      </c>
    </row>
    <row r="26" s="6" customFormat="1">
      <c r="A26" s="21" t="s">
        <v>35</v>
      </c>
      <c r="B26" s="22">
        <v>1600</v>
      </c>
      <c r="C26" s="162">
        <f t="shared" ref="C26:I26" si="96">C15+C25</f>
        <v>48379068</v>
      </c>
      <c r="D26" s="162">
        <f t="shared" si="96"/>
        <v>49841835.5</v>
      </c>
      <c r="E26" s="162">
        <f t="shared" si="96"/>
        <v>54790360.5</v>
      </c>
      <c r="F26" s="162">
        <f t="shared" si="96"/>
        <v>54360749</v>
      </c>
      <c r="G26" s="162">
        <f t="shared" si="96"/>
        <v>48346005</v>
      </c>
      <c r="H26" s="162">
        <f t="shared" si="96"/>
        <v>39904894.5</v>
      </c>
      <c r="I26" s="162">
        <f t="shared" si="96"/>
        <v>31568875.5</v>
      </c>
    </row>
    <row r="27">
      <c r="A27" s="26"/>
      <c r="B27" s="26"/>
      <c r="C27" s="163"/>
      <c r="D27" s="163"/>
      <c r="E27" s="163"/>
      <c r="F27" s="163"/>
      <c r="G27" s="163"/>
      <c r="H27" s="163"/>
      <c r="I27" s="163"/>
    </row>
    <row r="28" s="164" customFormat="1" ht="31.199999999999999">
      <c r="A28" s="10" t="s">
        <v>36</v>
      </c>
      <c r="B28" s="10" t="s">
        <v>7</v>
      </c>
      <c r="C28" s="165" t="str">
        <f t="shared" ref="C28:I28" si="97">C5</f>
        <v xml:space="preserve">2019 год</v>
      </c>
      <c r="D28" s="165" t="str">
        <f t="shared" si="97"/>
        <v xml:space="preserve">2018 год</v>
      </c>
      <c r="E28" s="165" t="str">
        <f t="shared" si="97"/>
        <v xml:space="preserve">2017 год</v>
      </c>
      <c r="F28" s="165" t="str">
        <f t="shared" si="97"/>
        <v xml:space="preserve">2016 год</v>
      </c>
      <c r="G28" s="165" t="str">
        <f t="shared" si="97"/>
        <v xml:space="preserve">2015 год</v>
      </c>
      <c r="H28" s="165" t="str">
        <f t="shared" si="97"/>
        <v xml:space="preserve">2014 год</v>
      </c>
      <c r="I28" s="165" t="str">
        <f t="shared" si="97"/>
        <v xml:space="preserve">2013 год</v>
      </c>
    </row>
    <row r="29" s="164" customFormat="1">
      <c r="A29" s="13">
        <f>A6</f>
        <v>1</v>
      </c>
      <c r="B29" s="13">
        <f t="shared" ref="B29:I29" si="98">B6</f>
        <v>2</v>
      </c>
      <c r="C29" s="166">
        <f t="shared" si="98"/>
        <v>3</v>
      </c>
      <c r="D29" s="166">
        <f t="shared" si="98"/>
        <v>4</v>
      </c>
      <c r="E29" s="166">
        <f t="shared" si="98"/>
        <v>5</v>
      </c>
      <c r="F29" s="166">
        <f t="shared" si="98"/>
        <v>6</v>
      </c>
      <c r="G29" s="166">
        <f t="shared" si="98"/>
        <v>7</v>
      </c>
      <c r="H29" s="166">
        <f t="shared" si="98"/>
        <v>8</v>
      </c>
      <c r="I29" s="166">
        <f t="shared" si="98"/>
        <v>9</v>
      </c>
    </row>
    <row r="30">
      <c r="A30" s="16" t="s">
        <v>37</v>
      </c>
      <c r="B30" s="17"/>
      <c r="C30" s="160"/>
      <c r="D30" s="160"/>
      <c r="E30" s="160"/>
      <c r="F30" s="160"/>
      <c r="G30" s="160"/>
      <c r="H30" s="160"/>
      <c r="I30" s="160"/>
    </row>
    <row r="31" ht="31.199999999999999">
      <c r="A31" s="16" t="s">
        <v>38</v>
      </c>
      <c r="B31" s="19">
        <v>1310</v>
      </c>
      <c r="C31" s="161">
        <f>AVERAGE('1'!C31:D31)</f>
        <v>218860</v>
      </c>
      <c r="D31" s="161">
        <f>AVERAGE('1'!D31:E31)</f>
        <v>218860</v>
      </c>
      <c r="E31" s="161">
        <f>AVERAGE('1'!E31:F31)</f>
        <v>218860</v>
      </c>
      <c r="F31" s="161">
        <f>AVERAGE('1'!F31:G31)</f>
        <v>218860</v>
      </c>
      <c r="G31" s="161">
        <f>AVERAGE('1'!G31:H31)</f>
        <v>218860</v>
      </c>
      <c r="H31" s="161">
        <f>AVERAGE('1'!H31:I31)</f>
        <v>218860</v>
      </c>
      <c r="I31" s="161">
        <f>AVERAGE('1'!I31:J31)</f>
        <v>218860</v>
      </c>
    </row>
    <row r="32" ht="15" customHeight="1">
      <c r="A32" s="16" t="s">
        <v>39</v>
      </c>
      <c r="B32" s="19">
        <v>1320</v>
      </c>
      <c r="C32" s="161">
        <f>AVERAGE('1'!C32:D32)</f>
        <v>0</v>
      </c>
      <c r="D32" s="161">
        <f>AVERAGE('1'!D32:E32)</f>
        <v>-48323.5</v>
      </c>
      <c r="E32" s="161">
        <f>AVERAGE('1'!E32:F32)</f>
        <v>-48323.5</v>
      </c>
      <c r="F32" s="161">
        <f>AVERAGE('1'!F32:G32)</f>
        <v>-10423.5</v>
      </c>
      <c r="G32" s="161">
        <f>AVERAGE('1'!G32:H32)</f>
        <v>-10423.5</v>
      </c>
      <c r="H32" s="161">
        <f>AVERAGE('1'!H32:I32)</f>
        <v>0</v>
      </c>
      <c r="I32" s="161">
        <f>AVERAGE('1'!I32:J32)</f>
        <v>0</v>
      </c>
    </row>
    <row r="33">
      <c r="A33" s="16" t="s">
        <v>40</v>
      </c>
      <c r="B33" s="19">
        <v>1340</v>
      </c>
      <c r="C33" s="161">
        <f>AVERAGE('1'!C33:D33)</f>
        <v>418064.5</v>
      </c>
      <c r="D33" s="161">
        <f>AVERAGE('1'!D33:E33)</f>
        <v>419773</v>
      </c>
      <c r="E33" s="161">
        <f>AVERAGE('1'!E33:F33)</f>
        <v>452738.5</v>
      </c>
      <c r="F33" s="161">
        <f>AVERAGE('1'!F33:G33)</f>
        <v>501500.5</v>
      </c>
      <c r="G33" s="161">
        <f>AVERAGE('1'!G33:H33)</f>
        <v>524881.5</v>
      </c>
      <c r="H33" s="161">
        <f>AVERAGE('1'!H33:I33)</f>
        <v>537337</v>
      </c>
      <c r="I33" s="161">
        <f>AVERAGE('1'!I33:J33)</f>
        <v>553521.5</v>
      </c>
    </row>
    <row r="34">
      <c r="A34" s="16" t="s">
        <v>41</v>
      </c>
      <c r="B34" s="19">
        <v>1350</v>
      </c>
      <c r="C34" s="161">
        <f>AVERAGE('1'!C34:D34)</f>
        <v>84000</v>
      </c>
      <c r="D34" s="161">
        <f>AVERAGE('1'!D34:E34)</f>
        <v>84000</v>
      </c>
      <c r="E34" s="161">
        <f>AVERAGE('1'!E34:F34)</f>
        <v>84000</v>
      </c>
      <c r="F34" s="161">
        <f>AVERAGE('1'!F34:G34)</f>
        <v>84000</v>
      </c>
      <c r="G34" s="161">
        <f>AVERAGE('1'!G34:H34)</f>
        <v>84000</v>
      </c>
      <c r="H34" s="161">
        <f>AVERAGE('1'!H34:I34)</f>
        <v>84000</v>
      </c>
      <c r="I34" s="161">
        <f>AVERAGE('1'!I34:J34)</f>
        <v>84000</v>
      </c>
    </row>
    <row r="35">
      <c r="A35" s="16" t="s">
        <v>42</v>
      </c>
      <c r="B35" s="19">
        <v>1360</v>
      </c>
      <c r="C35" s="161">
        <f>AVERAGE('1'!C35:D35)</f>
        <v>32829</v>
      </c>
      <c r="D35" s="161">
        <f>AVERAGE('1'!D35:E35)</f>
        <v>32829</v>
      </c>
      <c r="E35" s="161">
        <f>AVERAGE('1'!E35:F35)</f>
        <v>32829</v>
      </c>
      <c r="F35" s="161">
        <f>AVERAGE('1'!F35:G35)</f>
        <v>32829</v>
      </c>
      <c r="G35" s="161">
        <f>AVERAGE('1'!G35:H35)</f>
        <v>32829</v>
      </c>
      <c r="H35" s="161">
        <f>AVERAGE('1'!H35:I35)</f>
        <v>32829</v>
      </c>
      <c r="I35" s="161">
        <f>AVERAGE('1'!I35:J35)</f>
        <v>32829</v>
      </c>
    </row>
    <row r="36">
      <c r="A36" s="16" t="s">
        <v>43</v>
      </c>
      <c r="B36" s="19">
        <v>1370</v>
      </c>
      <c r="C36" s="161">
        <f>AVERAGE('1'!C36:D36)</f>
        <v>42327609.5</v>
      </c>
      <c r="D36" s="161">
        <f>AVERAGE('1'!D36:E36)</f>
        <v>45679195.5</v>
      </c>
      <c r="E36" s="161">
        <f>AVERAGE('1'!E36:F36)</f>
        <v>43402090</v>
      </c>
      <c r="F36" s="161">
        <f>AVERAGE('1'!F36:G36)</f>
        <v>37256537</v>
      </c>
      <c r="G36" s="161">
        <f>AVERAGE('1'!G36:H36)</f>
        <v>29673019</v>
      </c>
      <c r="H36" s="161">
        <f>AVERAGE('1'!H36:I36)</f>
        <v>25147755</v>
      </c>
      <c r="I36" s="161">
        <f>AVERAGE('1'!I36:J36)</f>
        <v>23094996</v>
      </c>
    </row>
    <row r="37" s="6" customFormat="1">
      <c r="A37" s="21" t="s">
        <v>44</v>
      </c>
      <c r="B37" s="22">
        <v>1300</v>
      </c>
      <c r="C37" s="162">
        <f t="shared" ref="C37:I37" si="99">SUM(C31:C36)</f>
        <v>43081363</v>
      </c>
      <c r="D37" s="162">
        <f t="shared" si="99"/>
        <v>46386334</v>
      </c>
      <c r="E37" s="162">
        <f t="shared" si="99"/>
        <v>44142194</v>
      </c>
      <c r="F37" s="162">
        <f t="shared" si="99"/>
        <v>38083303</v>
      </c>
      <c r="G37" s="162">
        <f t="shared" si="99"/>
        <v>30523166</v>
      </c>
      <c r="H37" s="162">
        <f t="shared" si="99"/>
        <v>26020781</v>
      </c>
      <c r="I37" s="162">
        <f t="shared" si="99"/>
        <v>23984206.5</v>
      </c>
    </row>
    <row r="38" ht="19.949999999999999" customHeight="1">
      <c r="A38" s="16" t="s">
        <v>45</v>
      </c>
      <c r="B38" s="17"/>
      <c r="C38" s="160"/>
      <c r="D38" s="160"/>
      <c r="E38" s="160"/>
      <c r="F38" s="160"/>
      <c r="G38" s="160"/>
      <c r="H38" s="160"/>
      <c r="I38" s="160"/>
    </row>
    <row r="39" ht="17.399999999999999" customHeight="1">
      <c r="A39" s="16" t="s">
        <v>46</v>
      </c>
      <c r="B39" s="19">
        <v>1410</v>
      </c>
      <c r="C39" s="161">
        <f>AVERAGE('1'!C39:D39)</f>
        <v>0</v>
      </c>
      <c r="D39" s="161">
        <f>AVERAGE('1'!D39:E39)</f>
        <v>0</v>
      </c>
      <c r="E39" s="161">
        <f>AVERAGE('1'!E39:F39)</f>
        <v>1500000</v>
      </c>
      <c r="F39" s="161">
        <f>AVERAGE('1'!F39:G39)</f>
        <v>6966202.5</v>
      </c>
      <c r="G39" s="161">
        <f>AVERAGE('1'!G39:H39)</f>
        <v>9685582.5</v>
      </c>
      <c r="H39" s="161">
        <f>AVERAGE('1'!H39:I39)</f>
        <v>6674070</v>
      </c>
      <c r="I39" s="161">
        <f>AVERAGE('1'!I39:J39)</f>
        <v>5182158.5</v>
      </c>
    </row>
    <row r="40">
      <c r="A40" s="16" t="s">
        <v>47</v>
      </c>
      <c r="B40" s="19">
        <v>1420</v>
      </c>
      <c r="C40" s="161">
        <f>AVERAGE('1'!C40:D40)</f>
        <v>613551</v>
      </c>
      <c r="D40" s="161">
        <f>AVERAGE('1'!D40:E40)</f>
        <v>485837.5</v>
      </c>
      <c r="E40" s="161">
        <f>AVERAGE('1'!E40:F40)</f>
        <v>340568.5</v>
      </c>
      <c r="F40" s="161">
        <f>AVERAGE('1'!F40:G40)</f>
        <v>268380.5</v>
      </c>
      <c r="G40" s="161">
        <f>AVERAGE('1'!G40:H40)</f>
        <v>218474</v>
      </c>
      <c r="H40" s="161">
        <f>AVERAGE('1'!H40:I40)</f>
        <v>142979.5</v>
      </c>
      <c r="I40" s="161">
        <f>AVERAGE('1'!I40:J40)</f>
        <v>118755</v>
      </c>
    </row>
    <row r="41">
      <c r="A41" s="16" t="s">
        <v>48</v>
      </c>
      <c r="B41" s="19">
        <v>1430</v>
      </c>
      <c r="C41" s="161">
        <f>AVERAGE('1'!C41:D41)</f>
        <v>0</v>
      </c>
      <c r="D41" s="161">
        <f>AVERAGE('1'!D41:E41)</f>
        <v>0</v>
      </c>
      <c r="E41" s="161">
        <f>AVERAGE('1'!E41:F41)</f>
        <v>0</v>
      </c>
      <c r="F41" s="161">
        <f>AVERAGE('1'!F41:G41)</f>
        <v>0</v>
      </c>
      <c r="G41" s="161">
        <f>AVERAGE('1'!G41:H41)</f>
        <v>0</v>
      </c>
      <c r="H41" s="161">
        <f>AVERAGE('1'!H41:I41)</f>
        <v>0</v>
      </c>
      <c r="I41" s="161">
        <f>AVERAGE('1'!I41:J41)</f>
        <v>0</v>
      </c>
    </row>
    <row r="42">
      <c r="A42" s="16" t="s">
        <v>49</v>
      </c>
      <c r="B42" s="19">
        <v>1450</v>
      </c>
      <c r="C42" s="161">
        <f>AVERAGE('1'!C42:D42)</f>
        <v>0</v>
      </c>
      <c r="D42" s="161">
        <f>AVERAGE('1'!D42:E42)</f>
        <v>0</v>
      </c>
      <c r="E42" s="161">
        <f>AVERAGE('1'!E42:F42)</f>
        <v>0</v>
      </c>
      <c r="F42" s="161">
        <f>AVERAGE('1'!F42:G42)</f>
        <v>0</v>
      </c>
      <c r="G42" s="161">
        <f>AVERAGE('1'!G42:H42)</f>
        <v>14968.5</v>
      </c>
      <c r="H42" s="161">
        <f>AVERAGE('1'!H42:I42)</f>
        <v>14968.5</v>
      </c>
      <c r="I42" s="161">
        <f>AVERAGE('1'!I42:J42)</f>
        <v>0</v>
      </c>
    </row>
    <row r="43" s="6" customFormat="1">
      <c r="A43" s="21" t="s">
        <v>50</v>
      </c>
      <c r="B43" s="22">
        <v>1400</v>
      </c>
      <c r="C43" s="162">
        <f t="shared" ref="C43:I43" si="100">SUM(C39:C42)</f>
        <v>613551</v>
      </c>
      <c r="D43" s="162">
        <f t="shared" si="100"/>
        <v>485837.5</v>
      </c>
      <c r="E43" s="162">
        <f t="shared" si="100"/>
        <v>1840568.5</v>
      </c>
      <c r="F43" s="162">
        <f t="shared" si="100"/>
        <v>7234583</v>
      </c>
      <c r="G43" s="162">
        <f t="shared" si="100"/>
        <v>9919025</v>
      </c>
      <c r="H43" s="162">
        <f t="shared" si="100"/>
        <v>6832018</v>
      </c>
      <c r="I43" s="162">
        <f t="shared" si="100"/>
        <v>5300913.5</v>
      </c>
    </row>
    <row r="44">
      <c r="A44" s="16" t="s">
        <v>51</v>
      </c>
      <c r="B44" s="17"/>
      <c r="C44" s="160"/>
      <c r="D44" s="160"/>
      <c r="E44" s="160"/>
      <c r="F44" s="160"/>
      <c r="G44" s="160"/>
      <c r="H44" s="160"/>
      <c r="I44" s="160"/>
    </row>
    <row r="45">
      <c r="A45" s="16" t="s">
        <v>46</v>
      </c>
      <c r="B45" s="19">
        <v>1510</v>
      </c>
      <c r="C45" s="161">
        <f>AVERAGE('1'!C45:D45)</f>
        <v>0</v>
      </c>
      <c r="D45" s="161">
        <f>AVERAGE('1'!D45:E45)</f>
        <v>433270.5</v>
      </c>
      <c r="E45" s="161">
        <f>AVERAGE('1'!E45:F45)</f>
        <v>5796574.5</v>
      </c>
      <c r="F45" s="161">
        <f>AVERAGE('1'!F45:G45)</f>
        <v>5370976.5</v>
      </c>
      <c r="G45" s="161">
        <f>AVERAGE('1'!G45:H45)</f>
        <v>4797677.5</v>
      </c>
      <c r="H45" s="161">
        <f>AVERAGE('1'!H45:I45)</f>
        <v>5118882</v>
      </c>
      <c r="I45" s="161">
        <f>AVERAGE('1'!I45:J45)</f>
        <v>627405</v>
      </c>
    </row>
    <row r="46">
      <c r="A46" s="16" t="s">
        <v>52</v>
      </c>
      <c r="B46" s="19">
        <v>1520</v>
      </c>
      <c r="C46" s="161">
        <f>AVERAGE('1'!C46:D46)</f>
        <v>4422336</v>
      </c>
      <c r="D46" s="161">
        <f>AVERAGE('1'!D46:E46)</f>
        <v>2296283.5</v>
      </c>
      <c r="E46" s="161">
        <f>AVERAGE('1'!E46:F46)</f>
        <v>2788064</v>
      </c>
      <c r="F46" s="161">
        <f>AVERAGE('1'!F46:G46)</f>
        <v>3481279</v>
      </c>
      <c r="G46" s="161">
        <f>AVERAGE('1'!G46:H46)</f>
        <v>2976565.5</v>
      </c>
      <c r="H46" s="161">
        <f>AVERAGE('1'!H46:I46)</f>
        <v>1837002.5</v>
      </c>
      <c r="I46" s="161">
        <f>AVERAGE('1'!I46:J46)</f>
        <v>1554821</v>
      </c>
    </row>
    <row r="47">
      <c r="A47" s="16" t="s">
        <v>53</v>
      </c>
      <c r="B47" s="19">
        <v>1530</v>
      </c>
      <c r="C47" s="161">
        <f>AVERAGE('1'!C47:D47)</f>
        <v>4293.5</v>
      </c>
      <c r="D47" s="161">
        <f>AVERAGE('1'!D47:E47)</f>
        <v>1005.5</v>
      </c>
      <c r="E47" s="161">
        <f>AVERAGE('1'!E47:F47)</f>
        <v>1164.5</v>
      </c>
      <c r="F47" s="161">
        <f>AVERAGE('1'!F47:G47)</f>
        <v>1323.5</v>
      </c>
      <c r="G47" s="161">
        <f>AVERAGE('1'!G47:H47)</f>
        <v>1482.5</v>
      </c>
      <c r="H47" s="161">
        <f>AVERAGE('1'!H47:I47)</f>
        <v>1642</v>
      </c>
      <c r="I47" s="161">
        <f>AVERAGE('1'!I47:J47)</f>
        <v>1945</v>
      </c>
    </row>
    <row r="48">
      <c r="A48" s="16" t="s">
        <v>48</v>
      </c>
      <c r="B48" s="19">
        <v>1540</v>
      </c>
      <c r="C48" s="161">
        <f>AVERAGE('1'!C48:D48)</f>
        <v>229153</v>
      </c>
      <c r="D48" s="161">
        <f>AVERAGE('1'!D48:E48)</f>
        <v>199595</v>
      </c>
      <c r="E48" s="161">
        <f>AVERAGE('1'!E48:F48)</f>
        <v>201228.5</v>
      </c>
      <c r="F48" s="161">
        <f>AVERAGE('1'!F48:G48)</f>
        <v>185696</v>
      </c>
      <c r="G48" s="161">
        <f>AVERAGE('1'!G48:H48)</f>
        <v>127225.5</v>
      </c>
      <c r="H48" s="161">
        <f>AVERAGE('1'!H48:I48)</f>
        <v>90034.5</v>
      </c>
      <c r="I48" s="161">
        <f>AVERAGE('1'!I48:J48)</f>
        <v>93754</v>
      </c>
    </row>
    <row r="49">
      <c r="A49" s="16" t="s">
        <v>49</v>
      </c>
      <c r="B49" s="19">
        <v>1550</v>
      </c>
      <c r="C49" s="161">
        <f>AVERAGE('1'!C49:D49)</f>
        <v>28371.5</v>
      </c>
      <c r="D49" s="161">
        <f>AVERAGE('1'!D49:E49)</f>
        <v>39509.5</v>
      </c>
      <c r="E49" s="161">
        <f>AVERAGE('1'!E49:F49)</f>
        <v>20566.5</v>
      </c>
      <c r="F49" s="161">
        <f>AVERAGE('1'!F49:G49)</f>
        <v>3588</v>
      </c>
      <c r="G49" s="161">
        <f>AVERAGE('1'!G49:H49)</f>
        <v>863</v>
      </c>
      <c r="H49" s="161">
        <f>AVERAGE('1'!H49:I49)</f>
        <v>4534.5</v>
      </c>
      <c r="I49" s="161">
        <f>AVERAGE('1'!I49:J49)</f>
        <v>5830.5</v>
      </c>
    </row>
    <row r="50" s="6" customFormat="1">
      <c r="A50" s="21" t="s">
        <v>54</v>
      </c>
      <c r="B50" s="22">
        <v>1500</v>
      </c>
      <c r="C50" s="162">
        <f t="shared" ref="C50:I50" si="101">SUM(C45:C49)</f>
        <v>4684154</v>
      </c>
      <c r="D50" s="162">
        <f t="shared" si="101"/>
        <v>2969664</v>
      </c>
      <c r="E50" s="162">
        <f t="shared" si="101"/>
        <v>8807598</v>
      </c>
      <c r="F50" s="162">
        <f t="shared" si="101"/>
        <v>9042863</v>
      </c>
      <c r="G50" s="162">
        <f t="shared" si="101"/>
        <v>7903814</v>
      </c>
      <c r="H50" s="162">
        <f t="shared" si="101"/>
        <v>7052095.5</v>
      </c>
      <c r="I50" s="162">
        <f t="shared" si="101"/>
        <v>2283755.5</v>
      </c>
    </row>
    <row r="51" s="6" customFormat="1">
      <c r="A51" s="21" t="s">
        <v>55</v>
      </c>
      <c r="B51" s="22">
        <v>1700</v>
      </c>
      <c r="C51" s="162">
        <f t="shared" ref="C51:I51" si="102">C37+C43+C50</f>
        <v>48379068</v>
      </c>
      <c r="D51" s="162">
        <f t="shared" si="102"/>
        <v>49841835.5</v>
      </c>
      <c r="E51" s="162">
        <f t="shared" si="102"/>
        <v>54790360.5</v>
      </c>
      <c r="F51" s="162">
        <f t="shared" si="102"/>
        <v>54360749</v>
      </c>
      <c r="G51" s="162">
        <f t="shared" si="102"/>
        <v>48346005</v>
      </c>
      <c r="H51" s="162">
        <f t="shared" si="102"/>
        <v>39904894.5</v>
      </c>
      <c r="I51" s="162">
        <f t="shared" si="102"/>
        <v>31568875.5</v>
      </c>
    </row>
    <row r="52" s="167" customFormat="1">
      <c r="B52" s="168"/>
      <c r="C52" s="169">
        <f t="shared" ref="C52:I52" si="103">C26-C51</f>
        <v>0</v>
      </c>
      <c r="D52" s="169">
        <f t="shared" si="103"/>
        <v>0</v>
      </c>
      <c r="E52" s="169">
        <f t="shared" si="103"/>
        <v>0</v>
      </c>
      <c r="F52" s="169">
        <f t="shared" si="103"/>
        <v>0</v>
      </c>
      <c r="G52" s="169">
        <f t="shared" si="103"/>
        <v>0</v>
      </c>
      <c r="H52" s="169">
        <f t="shared" si="103"/>
        <v>0</v>
      </c>
      <c r="I52" s="169">
        <f t="shared" si="103"/>
        <v>0</v>
      </c>
    </row>
    <row r="53">
      <c r="D53" s="3"/>
      <c r="E53" s="1"/>
      <c r="G53" s="4"/>
      <c r="I53" s="1"/>
    </row>
    <row r="54">
      <c r="A54" s="1" t="s">
        <v>327</v>
      </c>
      <c r="C54" s="170">
        <f>AVERAGE('3'!C142:D142)</f>
        <v>43085656.5</v>
      </c>
      <c r="D54" s="170">
        <f>AVERAGE('3'!D142:E142)</f>
        <v>46387339.5</v>
      </c>
      <c r="E54" s="170">
        <f>AVERAGE('3'!E142:F142)</f>
        <v>44143358.5</v>
      </c>
      <c r="F54" s="170">
        <f>AVERAGE('3'!F142:G142)</f>
        <v>38084626.5</v>
      </c>
      <c r="G54" s="170">
        <f>AVERAGE('3'!G142:H142)</f>
        <v>30524648.5</v>
      </c>
      <c r="H54" s="170">
        <f>AVERAGE('3'!H142:I142)</f>
        <v>26022423</v>
      </c>
      <c r="I54" s="170">
        <f>AVERAGE('3'!I142:J142)</f>
        <v>23986151.5</v>
      </c>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100" workbookViewId="0">
      <selection activeCell="D30" activeCellId="0" sqref="D30"/>
    </sheetView>
  </sheetViews>
  <sheetFormatPr defaultColWidth="9.109375" defaultRowHeight="14.4"/>
  <cols>
    <col customWidth="1" min="1" max="2" style="171" width="53.88671875"/>
    <col min="3" max="16384" style="171" width="9.109375"/>
  </cols>
  <sheetData>
    <row r="1">
      <c r="A1" s="172" t="s">
        <v>328</v>
      </c>
    </row>
    <row r="3">
      <c r="A3" s="173" t="s">
        <v>329</v>
      </c>
      <c r="B3" s="173" t="s">
        <v>330</v>
      </c>
    </row>
    <row r="4">
      <c r="A4" s="174" t="s">
        <v>331</v>
      </c>
      <c r="B4" s="174" t="s">
        <v>332</v>
      </c>
    </row>
    <row r="5">
      <c r="A5" s="174" t="s">
        <v>333</v>
      </c>
      <c r="B5" s="174" t="s">
        <v>334</v>
      </c>
    </row>
    <row r="6">
      <c r="A6" s="174" t="s">
        <v>335</v>
      </c>
      <c r="B6" s="174" t="s">
        <v>336</v>
      </c>
    </row>
    <row r="7">
      <c r="A7" s="174" t="s">
        <v>337</v>
      </c>
      <c r="B7" s="174" t="s">
        <v>338</v>
      </c>
    </row>
    <row r="8">
      <c r="A8" s="174" t="s">
        <v>339</v>
      </c>
      <c r="B8" s="174" t="s">
        <v>340</v>
      </c>
    </row>
    <row r="9">
      <c r="A9" s="175"/>
      <c r="B9" s="175"/>
    </row>
    <row r="10">
      <c r="A10" s="175"/>
      <c r="B10" s="175"/>
    </row>
    <row r="11">
      <c r="A11" s="173" t="s">
        <v>341</v>
      </c>
      <c r="B11" s="173" t="s">
        <v>342</v>
      </c>
    </row>
    <row r="12" ht="26.399999999999999">
      <c r="A12" s="174" t="s">
        <v>343</v>
      </c>
      <c r="B12" s="174" t="s">
        <v>344</v>
      </c>
    </row>
    <row r="13">
      <c r="A13" s="174" t="s">
        <v>345</v>
      </c>
      <c r="B13" s="174" t="s">
        <v>346</v>
      </c>
    </row>
    <row r="14">
      <c r="A14" s="174" t="s">
        <v>347</v>
      </c>
      <c r="B14" s="174" t="s">
        <v>348</v>
      </c>
    </row>
    <row r="15">
      <c r="A15" s="174" t="s">
        <v>349</v>
      </c>
      <c r="B15" s="174" t="s">
        <v>350</v>
      </c>
    </row>
    <row r="16">
      <c r="A16" s="174" t="s">
        <v>351</v>
      </c>
      <c r="B16" s="174" t="s">
        <v>352</v>
      </c>
    </row>
    <row r="17">
      <c r="A17" s="174" t="s">
        <v>353</v>
      </c>
      <c r="B17" s="174" t="s">
        <v>354</v>
      </c>
    </row>
    <row r="18">
      <c r="A18" s="175"/>
      <c r="B18" s="175"/>
    </row>
    <row r="19">
      <c r="A19" s="176" t="s">
        <v>355</v>
      </c>
      <c r="B19" s="176"/>
    </row>
    <row r="20">
      <c r="A20" s="173" t="s">
        <v>356</v>
      </c>
      <c r="B20" s="173" t="s">
        <v>357</v>
      </c>
    </row>
    <row r="21">
      <c r="A21" s="174" t="s">
        <v>358</v>
      </c>
      <c r="B21" s="174" t="s">
        <v>359</v>
      </c>
    </row>
    <row r="22">
      <c r="A22" s="174" t="s">
        <v>360</v>
      </c>
      <c r="B22" s="174" t="s">
        <v>361</v>
      </c>
    </row>
    <row r="23">
      <c r="A23" s="174" t="s">
        <v>362</v>
      </c>
      <c r="B23" s="174" t="s">
        <v>363</v>
      </c>
    </row>
    <row r="24">
      <c r="A24" s="174" t="s">
        <v>364</v>
      </c>
      <c r="B24" s="174" t="s">
        <v>365</v>
      </c>
    </row>
    <row r="25">
      <c r="A25" s="174" t="s">
        <v>366</v>
      </c>
      <c r="B25" s="174" t="s">
        <v>367</v>
      </c>
    </row>
    <row r="26">
      <c r="A26" s="174"/>
      <c r="B26" s="174" t="s">
        <v>368</v>
      </c>
    </row>
    <row r="27">
      <c r="A27" s="175"/>
      <c r="B27" s="175"/>
    </row>
    <row r="30" ht="106.8" customHeight="1">
      <c r="A30" s="177" t="s">
        <v>369</v>
      </c>
      <c r="B30" s="178"/>
    </row>
  </sheetData>
  <mergeCells count="2">
    <mergeCell ref="A19:B19"/>
    <mergeCell ref="A30:B3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1"/>
  </sheetPr>
  <sheetViews>
    <sheetView zoomScale="100" workbookViewId="0">
      <pane xSplit="1" topLeftCell="B1" activePane="topRight" state="frozen"/>
      <selection activeCell="A1" activeCellId="0" sqref="A1"/>
    </sheetView>
  </sheetViews>
  <sheetFormatPr defaultColWidth="9.109375" defaultRowHeight="15.6"/>
  <cols>
    <col customWidth="1" min="1" max="1" style="64" width="49.88671875"/>
    <col customWidth="1" min="2" max="22" style="64" width="20.44140625"/>
    <col min="23" max="16384" style="64" width="9.109375"/>
  </cols>
  <sheetData>
    <row r="1">
      <c r="A1" s="66" t="s">
        <v>370</v>
      </c>
    </row>
    <row r="2">
      <c r="A2" s="66" t="s">
        <v>371</v>
      </c>
    </row>
    <row r="3" s="33" customFormat="1">
      <c r="A3" s="179" t="s">
        <v>177</v>
      </c>
      <c r="B3" s="179" t="str">
        <f>бс!C5</f>
        <v xml:space="preserve">2019 год</v>
      </c>
      <c r="C3" s="179" t="str">
        <f>бс!D5</f>
        <v xml:space="preserve">2018 год</v>
      </c>
      <c r="D3" s="179" t="str">
        <f>бс!E5</f>
        <v xml:space="preserve">2017 год</v>
      </c>
      <c r="E3" s="179" t="str">
        <f>бс!F5</f>
        <v xml:space="preserve">2016 год</v>
      </c>
      <c r="F3" s="179" t="str">
        <f>бс!G5</f>
        <v xml:space="preserve">2015 год</v>
      </c>
      <c r="G3" s="179" t="str">
        <f>бс!H5</f>
        <v xml:space="preserve">2014 год</v>
      </c>
      <c r="H3" s="179" t="str">
        <f>бс!I5</f>
        <v xml:space="preserve">2013 год</v>
      </c>
    </row>
    <row r="4">
      <c r="A4" s="180" t="s">
        <v>372</v>
      </c>
      <c r="B4" s="181">
        <f>бс!C51</f>
        <v>48379068</v>
      </c>
      <c r="C4" s="181">
        <f>бс!D51</f>
        <v>49841835.5</v>
      </c>
      <c r="D4" s="181">
        <f>бс!E51</f>
        <v>54790360.5</v>
      </c>
      <c r="E4" s="181">
        <f>бс!F51</f>
        <v>54360749</v>
      </c>
      <c r="F4" s="181">
        <f>бс!G51</f>
        <v>48346005</v>
      </c>
      <c r="G4" s="181">
        <f>бс!H51</f>
        <v>39904894.5</v>
      </c>
      <c r="H4" s="181">
        <f>бс!I51</f>
        <v>31568875.5</v>
      </c>
    </row>
    <row r="5">
      <c r="A5" s="182" t="s">
        <v>373</v>
      </c>
      <c r="B5" s="181">
        <v>2654</v>
      </c>
      <c r="C5" s="181">
        <v>2635</v>
      </c>
      <c r="D5" s="181">
        <v>2623</v>
      </c>
      <c r="E5" s="181">
        <v>2567</v>
      </c>
      <c r="F5" s="181">
        <v>2619</v>
      </c>
      <c r="G5" s="181">
        <v>2323</v>
      </c>
      <c r="H5" s="181">
        <v>2209</v>
      </c>
    </row>
    <row r="6">
      <c r="A6" s="182" t="s">
        <v>67</v>
      </c>
      <c r="B6" s="183">
        <f>'2'!C7</f>
        <v>21650314</v>
      </c>
      <c r="C6" s="181">
        <f>'2'!D7</f>
        <v>27154819</v>
      </c>
      <c r="D6" s="181">
        <f>'2'!E7</f>
        <v>24000677</v>
      </c>
      <c r="E6" s="181">
        <f>'2'!F7</f>
        <v>23253619</v>
      </c>
      <c r="F6" s="181">
        <f>'2'!G7</f>
        <v>26654915</v>
      </c>
      <c r="G6" s="183">
        <f>'2'!H7</f>
        <v>16131092</v>
      </c>
      <c r="H6" s="181">
        <f>'2'!I7</f>
        <v>17359621</v>
      </c>
    </row>
    <row r="7">
      <c r="A7" s="182" t="s">
        <v>374</v>
      </c>
      <c r="B7" s="183">
        <f>'2'!C25</f>
        <v>3687983</v>
      </c>
      <c r="C7" s="181">
        <f>'2'!D25</f>
        <v>4745980</v>
      </c>
      <c r="D7" s="181">
        <f>'2'!E25</f>
        <v>8056307</v>
      </c>
      <c r="E7" s="181">
        <f>'2'!F25</f>
        <v>7458998</v>
      </c>
      <c r="F7" s="181">
        <f>'2'!G25</f>
        <v>9074394</v>
      </c>
      <c r="G7" s="183">
        <f>'2'!H25</f>
        <v>412488</v>
      </c>
      <c r="H7" s="181">
        <f>'2'!I25</f>
        <v>4028440</v>
      </c>
    </row>
    <row r="8">
      <c r="A8" s="182" t="s">
        <v>375</v>
      </c>
      <c r="B8" s="183">
        <f>'2'!C20</f>
        <v>-655018</v>
      </c>
      <c r="C8" s="181">
        <f>'2'!D20</f>
        <v>-2302336</v>
      </c>
      <c r="D8" s="181">
        <f>'2'!E20</f>
        <v>-1823795</v>
      </c>
      <c r="E8" s="181">
        <f>'2'!F20</f>
        <v>-1959181</v>
      </c>
      <c r="F8" s="181">
        <f>'2'!G20</f>
        <v>-2218641</v>
      </c>
      <c r="G8" s="183">
        <f>'2'!H20</f>
        <v>-190864</v>
      </c>
      <c r="H8" s="181">
        <f>'2'!I20</f>
        <v>-1066641</v>
      </c>
    </row>
    <row r="9">
      <c r="A9" s="182" t="s">
        <v>376</v>
      </c>
      <c r="B9" s="181">
        <f>'4'!C17</f>
        <v>-1204253</v>
      </c>
      <c r="C9" s="181">
        <f>'4'!D17</f>
        <v>-2152383</v>
      </c>
      <c r="D9" s="181">
        <f>'4'!E17</f>
        <v>-1945566</v>
      </c>
      <c r="E9" s="181">
        <f>'4'!F17</f>
        <v>-1933528</v>
      </c>
      <c r="F9" s="181">
        <f>'4'!G17</f>
        <v>-1576844</v>
      </c>
      <c r="G9" s="181">
        <f>'4'!H17</f>
        <v>-753463</v>
      </c>
      <c r="H9" s="181">
        <f>'4'!I17</f>
        <v>-1127412</v>
      </c>
    </row>
    <row r="10" ht="16.5" customHeight="1">
      <c r="A10" s="182" t="s">
        <v>377</v>
      </c>
      <c r="B10" s="184">
        <f>бс!C22</f>
        <v>22810806</v>
      </c>
      <c r="C10" s="184">
        <f>бс!D22</f>
        <v>24773744.5</v>
      </c>
      <c r="D10" s="184">
        <f>бс!E22</f>
        <v>30412640.5</v>
      </c>
      <c r="E10" s="184">
        <f>бс!F22</f>
        <v>31760161.5</v>
      </c>
      <c r="F10" s="184">
        <f>бс!G22</f>
        <v>24442883.5</v>
      </c>
      <c r="G10" s="184">
        <f>бс!H22</f>
        <v>17246720</v>
      </c>
      <c r="H10" s="184">
        <f>бс!I22</f>
        <v>7069694</v>
      </c>
    </row>
    <row r="11" ht="69.599999999999994" customHeight="1">
      <c r="A11" s="185" t="s">
        <v>378</v>
      </c>
      <c r="B11" s="186" t="s">
        <v>379</v>
      </c>
      <c r="C11" s="187"/>
      <c r="D11" s="187"/>
      <c r="E11" s="187"/>
      <c r="F11" s="187"/>
      <c r="G11" s="187"/>
      <c r="H11" s="188"/>
    </row>
    <row r="12" ht="16.199999999999999" customHeight="1">
      <c r="A12" s="189" t="s">
        <v>380</v>
      </c>
      <c r="B12" s="190"/>
      <c r="C12" s="190"/>
    </row>
    <row r="14">
      <c r="A14" s="66" t="s">
        <v>381</v>
      </c>
    </row>
    <row r="15">
      <c r="A15" s="179" t="s">
        <v>177</v>
      </c>
      <c r="B15" s="179" t="str">
        <f>B3</f>
        <v xml:space="preserve">2019 год</v>
      </c>
      <c r="C15" s="179" t="str">
        <f t="shared" ref="C15:H15" si="104">C3</f>
        <v xml:space="preserve">2018 год</v>
      </c>
      <c r="D15" s="179" t="str">
        <f t="shared" si="104"/>
        <v xml:space="preserve">2017 год</v>
      </c>
      <c r="E15" s="179" t="str">
        <f t="shared" si="104"/>
        <v xml:space="preserve">2016 год</v>
      </c>
      <c r="F15" s="179" t="str">
        <f t="shared" si="104"/>
        <v xml:space="preserve">2015 год</v>
      </c>
      <c r="G15" s="179" t="str">
        <f t="shared" si="104"/>
        <v xml:space="preserve">2014 год</v>
      </c>
      <c r="H15" s="179" t="str">
        <f t="shared" si="104"/>
        <v xml:space="preserve">2013 год</v>
      </c>
    </row>
    <row r="16">
      <c r="A16" s="182" t="s">
        <v>382</v>
      </c>
      <c r="B16" s="184">
        <f>бс!C31</f>
        <v>218860</v>
      </c>
      <c r="C16" s="184">
        <f>бс!D31</f>
        <v>218860</v>
      </c>
      <c r="D16" s="184">
        <f>бс!E31</f>
        <v>218860</v>
      </c>
      <c r="E16" s="184">
        <f>бс!F31</f>
        <v>218860</v>
      </c>
      <c r="F16" s="184">
        <f>бс!G31</f>
        <v>218860</v>
      </c>
      <c r="G16" s="184">
        <f>бс!H31</f>
        <v>218860</v>
      </c>
      <c r="H16" s="184">
        <f>бс!I31</f>
        <v>218860</v>
      </c>
    </row>
    <row r="17">
      <c r="A17" s="182" t="s">
        <v>383</v>
      </c>
      <c r="B17" s="191">
        <f>($B$16/$B$4) * 100</f>
        <v>0.45238573012609501</v>
      </c>
      <c r="C17" s="191">
        <f>($C$16/$C$4) * 100</f>
        <v>0.43910902920098116</v>
      </c>
      <c r="D17" s="191">
        <f>($D$16/$D$4) * 100</f>
        <v>0.39944982658035261</v>
      </c>
      <c r="E17" s="191">
        <f>($E$16/$E$4) * 100</f>
        <v>0.40260666754242114</v>
      </c>
      <c r="F17" s="191">
        <f>($F$16/$F$4) * 100</f>
        <v>0.45269510893402676</v>
      </c>
      <c r="G17" s="191">
        <f>($G$16/$G$4) * 100</f>
        <v>0.54845402485652484</v>
      </c>
      <c r="H17" s="191">
        <f>($H$16/$H$4) * 100</f>
        <v>0.69327778241578486</v>
      </c>
    </row>
    <row r="18">
      <c r="A18" s="182" t="s">
        <v>384</v>
      </c>
      <c r="B18" s="184">
        <f>бс!C37</f>
        <v>43081363</v>
      </c>
      <c r="C18" s="184">
        <f>бс!D37</f>
        <v>46386334</v>
      </c>
      <c r="D18" s="184">
        <f>бс!E37</f>
        <v>44142194</v>
      </c>
      <c r="E18" s="184">
        <f>бс!F37</f>
        <v>38083303</v>
      </c>
      <c r="F18" s="184">
        <f>бс!G37</f>
        <v>30523166</v>
      </c>
      <c r="G18" s="184">
        <f>бс!H37</f>
        <v>26020781</v>
      </c>
      <c r="H18" s="184">
        <f>бс!I37</f>
        <v>23984206.5</v>
      </c>
    </row>
    <row r="19">
      <c r="A19" s="182" t="s">
        <v>385</v>
      </c>
      <c r="B19" s="192">
        <f>(B$18/B$4)</f>
        <v>0.89049592687482115</v>
      </c>
      <c r="C19" s="192">
        <f t="shared" ref="C19:H19" si="105">(C$18/C$4)</f>
        <v>0.93067066119585429</v>
      </c>
      <c r="D19" s="192">
        <f t="shared" si="105"/>
        <v>0.80565620662415605</v>
      </c>
      <c r="E19" s="192">
        <f t="shared" si="105"/>
        <v>0.70056619344961568</v>
      </c>
      <c r="F19" s="192">
        <f t="shared" si="105"/>
        <v>0.63134825721380705</v>
      </c>
      <c r="G19" s="192">
        <f t="shared" si="105"/>
        <v>0.6520699108727126</v>
      </c>
      <c r="H19" s="192">
        <f t="shared" si="105"/>
        <v>0.75974218657234083</v>
      </c>
    </row>
    <row r="20">
      <c r="A20" s="182" t="s">
        <v>386</v>
      </c>
      <c r="B20" s="184">
        <f>бс!C54</f>
        <v>43085656.5</v>
      </c>
      <c r="C20" s="184">
        <f>бс!D54</f>
        <v>46387339.5</v>
      </c>
      <c r="D20" s="184">
        <f>бс!E54</f>
        <v>44143358.5</v>
      </c>
      <c r="E20" s="184">
        <f>бс!F54</f>
        <v>38084626.5</v>
      </c>
      <c r="F20" s="184">
        <f>бс!G54</f>
        <v>30524648.5</v>
      </c>
      <c r="G20" s="184">
        <f>бс!H54</f>
        <v>26022423</v>
      </c>
      <c r="H20" s="184">
        <f>бс!I54</f>
        <v>23986151.5</v>
      </c>
    </row>
    <row r="21" ht="17.25" customHeight="1">
      <c r="A21" s="182" t="s">
        <v>387</v>
      </c>
      <c r="B21" s="191">
        <f>B$20/B$16</f>
        <v>196.86400667093119</v>
      </c>
      <c r="C21" s="191">
        <f t="shared" ref="C21:H21" si="106">C$20/C$16</f>
        <v>211.94982865758934</v>
      </c>
      <c r="D21" s="191">
        <f t="shared" si="106"/>
        <v>201.69678561637576</v>
      </c>
      <c r="E21" s="191">
        <f t="shared" si="106"/>
        <v>174.01364570958603</v>
      </c>
      <c r="F21" s="191">
        <f t="shared" si="106"/>
        <v>139.47111623869139</v>
      </c>
      <c r="G21" s="191">
        <f>G$20/G$16</f>
        <v>118.89985835694051</v>
      </c>
      <c r="H21" s="191">
        <f t="shared" si="106"/>
        <v>109.59586722105456</v>
      </c>
    </row>
    <row r="22">
      <c r="A22" s="182" t="s">
        <v>388</v>
      </c>
      <c r="B22" s="184">
        <f>бс!C39</f>
        <v>0</v>
      </c>
      <c r="C22" s="184">
        <f>бс!D39</f>
        <v>0</v>
      </c>
      <c r="D22" s="184">
        <f>бс!E39</f>
        <v>1500000</v>
      </c>
      <c r="E22" s="184">
        <f>бс!F39</f>
        <v>6966202.5</v>
      </c>
      <c r="F22" s="184">
        <f>бс!G39</f>
        <v>9685582.5</v>
      </c>
      <c r="G22" s="184">
        <f>бс!H39</f>
        <v>6674070</v>
      </c>
      <c r="H22" s="184">
        <f>бс!I39</f>
        <v>5182158.5</v>
      </c>
    </row>
    <row r="23">
      <c r="A23" s="182" t="s">
        <v>385</v>
      </c>
      <c r="B23" s="192">
        <f>B$22/B$4</f>
        <v>0</v>
      </c>
      <c r="C23" s="192">
        <f t="shared" ref="C23:H23" si="107">C$22/C$4</f>
        <v>0</v>
      </c>
      <c r="D23" s="192">
        <f t="shared" si="107"/>
        <v>0.027377078491754036</v>
      </c>
      <c r="E23" s="192">
        <f t="shared" si="107"/>
        <v>0.12814765484559457</v>
      </c>
      <c r="F23" s="192">
        <f t="shared" si="107"/>
        <v>0.2003388387520334</v>
      </c>
      <c r="G23" s="192">
        <f t="shared" si="107"/>
        <v>0.16724940846542019</v>
      </c>
      <c r="H23" s="192">
        <f t="shared" si="107"/>
        <v>0.1641540415337252</v>
      </c>
    </row>
    <row r="24" ht="17.25" customHeight="1">
      <c r="A24" s="182" t="s">
        <v>389</v>
      </c>
      <c r="B24" s="184">
        <f>бс!C45</f>
        <v>0</v>
      </c>
      <c r="C24" s="184">
        <f>бс!D45</f>
        <v>433270.5</v>
      </c>
      <c r="D24" s="184">
        <f>бс!E45</f>
        <v>5796574.5</v>
      </c>
      <c r="E24" s="184">
        <f>бс!F45</f>
        <v>5370976.5</v>
      </c>
      <c r="F24" s="184">
        <f>бс!G45</f>
        <v>4797677.5</v>
      </c>
      <c r="G24" s="184">
        <f>бс!H45</f>
        <v>5118882</v>
      </c>
      <c r="H24" s="184">
        <f>бс!I45</f>
        <v>627405</v>
      </c>
    </row>
    <row r="25">
      <c r="A25" s="182" t="s">
        <v>385</v>
      </c>
      <c r="B25" s="192">
        <f>B$24/B$4</f>
        <v>0</v>
      </c>
      <c r="C25" s="192">
        <f t="shared" ref="C25:H25" si="108">C$24/C$4</f>
        <v>0.0086929081895469121</v>
      </c>
      <c r="D25" s="192">
        <f t="shared" si="108"/>
        <v>0.10579551671319995</v>
      </c>
      <c r="E25" s="192">
        <f t="shared" si="108"/>
        <v>0.098802474189603237</v>
      </c>
      <c r="F25" s="192">
        <f t="shared" si="108"/>
        <v>0.099236276089410075</v>
      </c>
      <c r="G25" s="192">
        <f t="shared" si="108"/>
        <v>0.12827704631570946</v>
      </c>
      <c r="H25" s="192">
        <f t="shared" si="108"/>
        <v>0.019874163715460819</v>
      </c>
    </row>
    <row r="26" ht="31.199999999999999">
      <c r="A26" s="182" t="s">
        <v>390</v>
      </c>
      <c r="B26" s="184"/>
      <c r="C26" s="184"/>
      <c r="D26" s="184"/>
      <c r="E26" s="184"/>
      <c r="F26" s="184"/>
      <c r="G26" s="184"/>
      <c r="H26" s="184"/>
    </row>
    <row r="27">
      <c r="A27" s="182" t="s">
        <v>385</v>
      </c>
      <c r="B27" s="191"/>
      <c r="C27" s="191"/>
      <c r="D27" s="191"/>
      <c r="E27" s="191"/>
      <c r="F27" s="191"/>
      <c r="G27" s="191"/>
      <c r="H27" s="191"/>
    </row>
    <row r="28">
      <c r="A28" s="182" t="s">
        <v>391</v>
      </c>
      <c r="B28" s="184">
        <f>бс!C46</f>
        <v>4422336</v>
      </c>
      <c r="C28" s="184">
        <f>бс!D46</f>
        <v>2296283.5</v>
      </c>
      <c r="D28" s="184">
        <f>бс!E46</f>
        <v>2788064</v>
      </c>
      <c r="E28" s="184">
        <f>бс!F46</f>
        <v>3481279</v>
      </c>
      <c r="F28" s="184">
        <f>бс!G46</f>
        <v>2976565.5</v>
      </c>
      <c r="G28" s="184">
        <f>бс!H46</f>
        <v>1837002.5</v>
      </c>
      <c r="H28" s="184">
        <f>бс!I46</f>
        <v>1554821</v>
      </c>
    </row>
    <row r="29">
      <c r="A29" s="182" t="s">
        <v>385</v>
      </c>
      <c r="B29" s="192">
        <f>B$28/B$4</f>
        <v>0.091410111496980473</v>
      </c>
      <c r="C29" s="192">
        <f t="shared" ref="C29:H29" si="109">C$28/C$4</f>
        <v>0.046071407221750488</v>
      </c>
      <c r="D29" s="192">
        <f t="shared" si="109"/>
        <v>0.050886031312022489</v>
      </c>
      <c r="E29" s="192">
        <f t="shared" si="109"/>
        <v>0.064040305993576352</v>
      </c>
      <c r="F29" s="192">
        <f t="shared" si="109"/>
        <v>0.061567972369175078</v>
      </c>
      <c r="G29" s="192">
        <f t="shared" si="109"/>
        <v>0.046034515891277446</v>
      </c>
      <c r="H29" s="192">
        <f t="shared" si="109"/>
        <v>0.049251706795828062</v>
      </c>
    </row>
    <row r="30">
      <c r="A30" s="182" t="s">
        <v>392</v>
      </c>
      <c r="B30" s="184">
        <f>бс!C37-бс!C15</f>
        <v>26019289</v>
      </c>
      <c r="C30" s="184">
        <f>бс!D37-бс!D15</f>
        <v>29543651.5</v>
      </c>
      <c r="D30" s="184">
        <f>бс!E37-бс!E15</f>
        <v>29998729</v>
      </c>
      <c r="E30" s="184">
        <f>бс!F37-бс!F15</f>
        <v>28280527.5</v>
      </c>
      <c r="F30" s="184">
        <f>бс!G37-бс!G15</f>
        <v>19653299.5</v>
      </c>
      <c r="G30" s="184">
        <f>бс!H37-бс!H15</f>
        <v>12357035</v>
      </c>
      <c r="H30" s="184">
        <f>бс!I37-бс!I15</f>
        <v>6523817</v>
      </c>
    </row>
    <row r="31" ht="137.40000000000001" customHeight="1">
      <c r="A31" s="193" t="s">
        <v>393</v>
      </c>
      <c r="B31" s="194" t="s">
        <v>394</v>
      </c>
      <c r="C31" s="195"/>
      <c r="D31" s="195"/>
      <c r="E31" s="195"/>
      <c r="F31" s="195"/>
      <c r="G31" s="195"/>
      <c r="H31" s="196"/>
    </row>
    <row r="32">
      <c r="A32" s="189" t="s">
        <v>380</v>
      </c>
      <c r="B32" s="197"/>
      <c r="C32" s="197"/>
    </row>
    <row r="33">
      <c r="A33" s="78"/>
    </row>
    <row r="34">
      <c r="A34" s="66" t="s">
        <v>395</v>
      </c>
    </row>
    <row r="35" s="198" customFormat="1">
      <c r="A35" s="179" t="s">
        <v>177</v>
      </c>
      <c r="B35" s="179" t="str">
        <f>B15</f>
        <v xml:space="preserve">2019 год</v>
      </c>
      <c r="C35" s="179" t="str">
        <f t="shared" ref="C35:H35" si="110">C15</f>
        <v xml:space="preserve">2018 год</v>
      </c>
      <c r="D35" s="179" t="str">
        <f t="shared" si="110"/>
        <v xml:space="preserve">2017 год</v>
      </c>
      <c r="E35" s="179" t="str">
        <f t="shared" si="110"/>
        <v xml:space="preserve">2016 год</v>
      </c>
      <c r="F35" s="179" t="str">
        <f t="shared" si="110"/>
        <v xml:space="preserve">2015 год</v>
      </c>
      <c r="G35" s="179" t="str">
        <f t="shared" si="110"/>
        <v xml:space="preserve">2014 год</v>
      </c>
      <c r="H35" s="179" t="str">
        <f t="shared" si="110"/>
        <v xml:space="preserve">2013 год</v>
      </c>
    </row>
    <row r="36" s="198" customFormat="1" ht="18.75" customHeight="1">
      <c r="A36" s="199" t="s">
        <v>396</v>
      </c>
      <c r="B36" s="200">
        <f>B$7/B$18 * 100</f>
        <v>8.5605067787664932</v>
      </c>
      <c r="C36" s="200">
        <f t="shared" ref="C36:H36" si="111">C$7/C$18 * 100</f>
        <v>10.23141858979414</v>
      </c>
      <c r="D36" s="200">
        <f t="shared" si="111"/>
        <v>18.250807832524139</v>
      </c>
      <c r="E36" s="200">
        <f t="shared" si="111"/>
        <v>19.586005972223575</v>
      </c>
      <c r="F36" s="200">
        <f t="shared" si="111"/>
        <v>29.729530678436177</v>
      </c>
      <c r="G36" s="200">
        <f t="shared" si="111"/>
        <v>1.5852252858974525</v>
      </c>
      <c r="H36" s="200">
        <f t="shared" si="111"/>
        <v>16.79621962894624</v>
      </c>
      <c r="I36" s="198" t="s">
        <v>397</v>
      </c>
    </row>
    <row r="37" s="201" customFormat="1">
      <c r="A37" s="202" t="s">
        <v>398</v>
      </c>
      <c r="B37" s="203">
        <v>6.5</v>
      </c>
      <c r="C37" s="203">
        <v>7.2999999999999998</v>
      </c>
      <c r="D37" s="203">
        <v>7.7999999999999998</v>
      </c>
      <c r="E37" s="203">
        <v>9.0999999999999996</v>
      </c>
      <c r="F37" s="203">
        <v>12.5</v>
      </c>
      <c r="G37" s="203">
        <v>10</v>
      </c>
      <c r="H37" s="203">
        <v>10</v>
      </c>
    </row>
    <row r="38" s="198" customFormat="1">
      <c r="A38" s="199" t="s">
        <v>399</v>
      </c>
      <c r="B38" s="192">
        <f>'2'!C$19/э!B$4 *100</f>
        <v>9.2344110473562662</v>
      </c>
      <c r="C38" s="192">
        <f>'2'!D$19/э!C$4 *100</f>
        <v>14.416844660546261</v>
      </c>
      <c r="D38" s="192">
        <f>'2'!E$19/э!D$4 *100</f>
        <v>18.32743005952662</v>
      </c>
      <c r="E38" s="192">
        <f>'2'!F$19/э!E$4 *100</f>
        <v>17.271610808747319</v>
      </c>
      <c r="F38" s="192">
        <f>'2'!G$19/э!F$4 *100</f>
        <v>23.567446782831382</v>
      </c>
      <c r="G38" s="192">
        <f>'2'!H$19/э!G$4 *100</f>
        <v>1.4171745273001535</v>
      </c>
      <c r="H38" s="192">
        <f>'2'!I$19/э!H$4 *100</f>
        <v>16.1402676506485</v>
      </c>
    </row>
    <row r="39" s="201" customFormat="1">
      <c r="A39" s="202" t="s">
        <v>400</v>
      </c>
      <c r="B39" s="203">
        <v>9.0399999999999991</v>
      </c>
      <c r="C39" s="203">
        <v>8.9100000000000001</v>
      </c>
      <c r="D39" s="203">
        <v>10.609999999999999</v>
      </c>
      <c r="E39" s="203">
        <v>12.82</v>
      </c>
      <c r="F39" s="203">
        <v>15.369999999999999</v>
      </c>
      <c r="G39" s="203">
        <v>11.4</v>
      </c>
      <c r="H39" s="203">
        <v>10.48</v>
      </c>
    </row>
    <row r="40" s="198" customFormat="1" ht="31.199999999999999">
      <c r="A40" s="199" t="s">
        <v>401</v>
      </c>
      <c r="B40" s="191">
        <f>B$6/B$4</f>
        <v>0.44751407778256497</v>
      </c>
      <c r="C40" s="191">
        <f t="shared" ref="C40:H40" si="112">C$6/C$4</f>
        <v>0.54481980303474176</v>
      </c>
      <c r="D40" s="191">
        <f t="shared" si="112"/>
        <v>0.43804561205615722</v>
      </c>
      <c r="E40" s="191">
        <f t="shared" si="112"/>
        <v>0.42776487498360261</v>
      </c>
      <c r="F40" s="191">
        <f t="shared" si="112"/>
        <v>0.55133645479083537</v>
      </c>
      <c r="G40" s="191">
        <f t="shared" si="112"/>
        <v>0.40423843245594848</v>
      </c>
      <c r="H40" s="191">
        <f t="shared" si="112"/>
        <v>0.54989671710036048</v>
      </c>
    </row>
    <row r="41" s="198" customFormat="1">
      <c r="A41" s="199" t="s">
        <v>402</v>
      </c>
      <c r="B41" s="204">
        <f>B$6/B$5</f>
        <v>8157.6164280331577</v>
      </c>
      <c r="C41" s="204">
        <f t="shared" ref="C41:H41" si="113">C$6/C$5</f>
        <v>10305.434155597723</v>
      </c>
      <c r="D41" s="204">
        <f t="shared" si="113"/>
        <v>9150.0865421273356</v>
      </c>
      <c r="E41" s="204">
        <f t="shared" si="113"/>
        <v>9058.6751071289436</v>
      </c>
      <c r="F41" s="204">
        <f t="shared" si="113"/>
        <v>10177.516227567774</v>
      </c>
      <c r="G41" s="204">
        <f t="shared" si="113"/>
        <v>6944.0774860094707</v>
      </c>
      <c r="H41" s="204">
        <f t="shared" si="113"/>
        <v>7858.5880488909006</v>
      </c>
    </row>
    <row r="42" s="198" customFormat="1" ht="82.200000000000003" customHeight="1">
      <c r="A42" s="205" t="s">
        <v>403</v>
      </c>
      <c r="B42" s="194" t="s">
        <v>404</v>
      </c>
      <c r="C42" s="195"/>
      <c r="D42" s="195"/>
      <c r="E42" s="195"/>
      <c r="F42" s="195"/>
      <c r="G42" s="195"/>
      <c r="H42" s="196"/>
    </row>
    <row r="43" s="198" customFormat="1">
      <c r="A43" s="189" t="s">
        <v>380</v>
      </c>
      <c r="B43" s="206"/>
      <c r="C43" s="206"/>
    </row>
    <row r="44" s="198" customFormat="1"/>
    <row r="45" s="198" customFormat="1">
      <c r="A45" s="207" t="s">
        <v>405</v>
      </c>
    </row>
    <row r="46" s="208" customFormat="1">
      <c r="A46" s="209" t="str">
        <f>A3</f>
        <v>Показатель</v>
      </c>
      <c r="B46" s="210" t="s">
        <v>406</v>
      </c>
      <c r="C46" s="210" t="s">
        <v>407</v>
      </c>
      <c r="D46" s="210" t="s">
        <v>408</v>
      </c>
      <c r="E46" s="210" t="s">
        <v>409</v>
      </c>
      <c r="F46" s="210" t="s">
        <v>410</v>
      </c>
      <c r="G46" s="210" t="s">
        <v>411</v>
      </c>
    </row>
    <row r="47" s="198" customFormat="1">
      <c r="A47" s="211" t="s">
        <v>412</v>
      </c>
      <c r="B47" s="212">
        <f>(B4-C4)/C4*100</f>
        <v>-2.9348186825904516</v>
      </c>
      <c r="C47" s="212">
        <f t="shared" ref="C47:G47" si="114">(C4-D4)/D4*100</f>
        <v>-9.0317438228938105</v>
      </c>
      <c r="D47" s="212">
        <f t="shared" si="114"/>
        <v>0.7902972418573555</v>
      </c>
      <c r="E47" s="212">
        <f t="shared" si="114"/>
        <v>12.441036234534787</v>
      </c>
      <c r="F47" s="212">
        <f t="shared" si="114"/>
        <v>21.153070583860334</v>
      </c>
      <c r="G47" s="212">
        <f t="shared" si="114"/>
        <v>26.405815436789947</v>
      </c>
    </row>
    <row r="48" s="198" customFormat="1">
      <c r="A48" s="211" t="s">
        <v>413</v>
      </c>
      <c r="B48" s="212">
        <f t="shared" ref="B48:B49" si="115">(B6-C6)/C6*100</f>
        <v>-20.270821911941304</v>
      </c>
      <c r="C48" s="212">
        <f t="shared" ref="C48:G49" si="116">(C6-D6)/D6*100</f>
        <v>13.141887622586646</v>
      </c>
      <c r="D48" s="212">
        <f t="shared" si="116"/>
        <v>3.2126526197922138</v>
      </c>
      <c r="E48" s="212">
        <f t="shared" si="116"/>
        <v>-12.760483385521956</v>
      </c>
      <c r="F48" s="212">
        <f t="shared" si="116"/>
        <v>65.239371271331166</v>
      </c>
      <c r="G48" s="212">
        <f t="shared" si="116"/>
        <v>-7.0769344561151417</v>
      </c>
    </row>
    <row r="49" s="198" customFormat="1">
      <c r="A49" s="211" t="s">
        <v>414</v>
      </c>
      <c r="B49" s="212">
        <f t="shared" si="115"/>
        <v>-22.292487536820634</v>
      </c>
      <c r="C49" s="212">
        <f t="shared" si="116"/>
        <v>-41.089881505260415</v>
      </c>
      <c r="D49" s="212">
        <f t="shared" si="116"/>
        <v>8.0078986480489736</v>
      </c>
      <c r="E49" s="212">
        <f t="shared" si="116"/>
        <v>-17.801695628380255</v>
      </c>
      <c r="F49" s="212">
        <f t="shared" si="116"/>
        <v>2099.9170884971199</v>
      </c>
      <c r="G49" s="212">
        <f t="shared" si="116"/>
        <v>-89.760602118934372</v>
      </c>
    </row>
    <row r="50" s="198" customFormat="1">
      <c r="A50" s="211" t="s">
        <v>415</v>
      </c>
      <c r="B50" s="212">
        <v>3.0499999999999998</v>
      </c>
      <c r="C50" s="212">
        <v>4.2699999999999996</v>
      </c>
      <c r="D50" s="212">
        <v>2.52</v>
      </c>
      <c r="E50" s="212">
        <v>5.3799999999999999</v>
      </c>
      <c r="F50" s="212">
        <v>12.91</v>
      </c>
      <c r="G50" s="212">
        <v>11.359999999999999</v>
      </c>
    </row>
    <row r="51" s="198" customFormat="1" ht="31.5" customHeight="1">
      <c r="A51" s="205" t="s">
        <v>416</v>
      </c>
      <c r="B51" s="213"/>
      <c r="C51" s="214"/>
      <c r="D51" s="214"/>
      <c r="E51" s="214"/>
      <c r="F51" s="214"/>
      <c r="G51" s="215"/>
    </row>
    <row r="52" s="198" customFormat="1">
      <c r="A52" s="189" t="s">
        <v>380</v>
      </c>
    </row>
    <row r="53" s="198" customFormat="1"/>
    <row r="54" s="198" customFormat="1"/>
    <row r="55" s="198" customFormat="1">
      <c r="A55" s="216" t="s">
        <v>417</v>
      </c>
    </row>
    <row r="56" s="198" customFormat="1">
      <c r="A56" s="179" t="s">
        <v>177</v>
      </c>
      <c r="B56" s="179" t="str">
        <f>B3</f>
        <v xml:space="preserve">2019 год</v>
      </c>
      <c r="C56" s="179" t="str">
        <f t="shared" ref="C56:H56" si="117">C3</f>
        <v xml:space="preserve">2018 год</v>
      </c>
      <c r="D56" s="179" t="str">
        <f t="shared" si="117"/>
        <v xml:space="preserve">2017 год</v>
      </c>
      <c r="E56" s="179" t="str">
        <f t="shared" si="117"/>
        <v xml:space="preserve">2016 год</v>
      </c>
      <c r="F56" s="179" t="str">
        <f t="shared" si="117"/>
        <v xml:space="preserve">2015 год</v>
      </c>
      <c r="G56" s="179" t="str">
        <f t="shared" si="117"/>
        <v xml:space="preserve">2014 год</v>
      </c>
      <c r="H56" s="179" t="str">
        <f t="shared" si="117"/>
        <v xml:space="preserve">2013 год</v>
      </c>
    </row>
    <row r="57" s="198" customFormat="1" ht="16.5" customHeight="1">
      <c r="A57" s="199" t="s">
        <v>396</v>
      </c>
      <c r="B57" s="217">
        <f>B36</f>
        <v>8.5605067787664932</v>
      </c>
      <c r="C57" s="217">
        <f t="shared" ref="C57:H57" si="118">C36</f>
        <v>10.23141858979414</v>
      </c>
      <c r="D57" s="217">
        <f t="shared" si="118"/>
        <v>18.250807832524139</v>
      </c>
      <c r="E57" s="217">
        <f t="shared" si="118"/>
        <v>19.586005972223575</v>
      </c>
      <c r="F57" s="217">
        <f t="shared" si="118"/>
        <v>29.729530678436177</v>
      </c>
      <c r="G57" s="217">
        <f t="shared" si="118"/>
        <v>1.5852252858974525</v>
      </c>
      <c r="H57" s="217">
        <f t="shared" si="118"/>
        <v>16.79621962894624</v>
      </c>
    </row>
    <row r="58" s="198" customFormat="1">
      <c r="A58" s="199" t="s">
        <v>413</v>
      </c>
      <c r="B58" s="217">
        <f>B48</f>
        <v>-20.270821911941304</v>
      </c>
      <c r="C58" s="217">
        <f t="shared" ref="C58:H58" si="119">C48</f>
        <v>13.141887622586646</v>
      </c>
      <c r="D58" s="217">
        <f t="shared" si="119"/>
        <v>3.2126526197922138</v>
      </c>
      <c r="E58" s="217">
        <f t="shared" si="119"/>
        <v>-12.760483385521956</v>
      </c>
      <c r="F58" s="217">
        <f t="shared" si="119"/>
        <v>65.239371271331166</v>
      </c>
      <c r="G58" s="217">
        <f t="shared" si="119"/>
        <v>-7.0769344561151417</v>
      </c>
      <c r="H58" s="217">
        <f t="shared" si="119"/>
        <v>0</v>
      </c>
    </row>
    <row r="59" s="198" customFormat="1" ht="84" customHeight="1">
      <c r="A59" s="218" t="s">
        <v>418</v>
      </c>
      <c r="B59" s="194"/>
      <c r="C59" s="195"/>
      <c r="D59" s="195"/>
      <c r="E59" s="195"/>
      <c r="F59" s="195"/>
      <c r="G59" s="195"/>
      <c r="H59" s="196"/>
    </row>
    <row r="60" s="198" customFormat="1">
      <c r="A60" s="189" t="s">
        <v>380</v>
      </c>
    </row>
    <row r="61" s="198" customFormat="1"/>
    <row r="62" s="219" customFormat="1">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219" customFormat="1">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220" customFormat="1">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219" customFormat="1">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219" customFormat="1">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219" customFormat="1">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219" customFormat="1">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198" customFormat="1">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198" customFormat="1">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198" customFormat="1">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198" customFormat="1">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198" customFormat="1">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198" customFormat="1">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198" customFormat="1">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198" customFormat="1">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198" customFormat="1">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198" customFormat="1">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198" customFormat="1">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198" customFormat="1">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198" customFormat="1">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198" customFormat="1">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198" customFormat="1">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198" customFormat="1">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198" customFormat="1">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198" customFormat="1">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198" customFormat="1" ht="16.5" customHeight="1">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198" customFormat="1">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198" customFormat="1">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198" customFormat="1">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198" customFormat="1">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198" customFormat="1">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198" customFormat="1">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198" customFormat="1">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198" customFormat="1">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198" customFormat="1">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198" customFormat="1">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198" customFormat="1">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198" customFormat="1" ht="15.75" customHeight="1">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rintOptions headings="0" gridLines="0"/>
  <pageMargins left="0.75" right="0.75" top="0.47000000000000003" bottom="0.51000000000000023" header="0.5" footer="0.5"/>
  <pageSetup paperSize="9" scale="31" fitToWidth="1" fitToHeight="1" pageOrder="downThenOver" orientation="portrait" usePrinterDefaults="1" blackAndWhite="0" draft="0" cellComments="none" useFirstPageNumber="0" errors="displayed" horizontalDpi="4294967293"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85" zoomScale="70" workbookViewId="0">
      <pane xSplit="1" topLeftCell="B1" activePane="topRight" state="frozen"/>
      <selection activeCell="D101" activeCellId="0" sqref="D101"/>
    </sheetView>
  </sheetViews>
  <sheetFormatPr defaultColWidth="9.109375" defaultRowHeight="12.75"/>
  <cols>
    <col customWidth="1" min="1" max="1" style="221" width="53.109375"/>
    <col customWidth="1" min="2" max="2" style="221" width="15.6640625"/>
    <col customWidth="1" min="3" max="6" style="221" width="16.33203125"/>
    <col customWidth="1" min="7" max="7" style="221" width="21.88671875"/>
    <col customWidth="1" min="8" max="18" style="221" width="16.33203125"/>
    <col customWidth="1" min="19" max="24" style="221" width="16.88671875"/>
    <col bestFit="1" customWidth="1" min="25" max="25" style="221" width="18.33203125"/>
    <col customWidth="1" min="26" max="39" style="221" width="16.88671875"/>
    <col min="40" max="16384" style="221" width="9.109375"/>
  </cols>
  <sheetData>
    <row r="1" ht="15">
      <c r="A1" s="222" t="s">
        <v>419</v>
      </c>
    </row>
    <row r="2" ht="15.75" customHeight="1">
      <c r="A2" s="223" t="s">
        <v>177</v>
      </c>
      <c r="B2" s="224" t="s">
        <v>420</v>
      </c>
      <c r="C2" s="225" t="s">
        <v>421</v>
      </c>
      <c r="D2" s="225"/>
      <c r="E2" s="225"/>
      <c r="F2" s="225"/>
      <c r="G2" s="225"/>
      <c r="H2" s="225"/>
      <c r="I2" s="225"/>
      <c r="J2" s="225"/>
      <c r="K2" s="226" t="s">
        <v>422</v>
      </c>
      <c r="L2" s="226"/>
      <c r="M2" s="226"/>
      <c r="N2" s="226"/>
      <c r="O2" s="226"/>
      <c r="P2" s="226"/>
      <c r="Q2" s="226"/>
      <c r="R2" s="226"/>
      <c r="S2" s="227" t="s">
        <v>423</v>
      </c>
      <c r="T2" s="227"/>
      <c r="U2" s="227"/>
      <c r="V2" s="227"/>
      <c r="W2" s="227"/>
      <c r="X2" s="227"/>
      <c r="Y2" s="227"/>
      <c r="Z2" s="227"/>
      <c r="AA2" s="227"/>
      <c r="AB2" s="227"/>
      <c r="AC2" s="227"/>
      <c r="AD2" s="227"/>
      <c r="AE2" s="227"/>
      <c r="AF2" s="227"/>
      <c r="AG2" s="227"/>
      <c r="AH2" s="227"/>
      <c r="AI2" s="227"/>
      <c r="AJ2" s="227"/>
      <c r="AK2" s="227"/>
      <c r="AL2" s="227"/>
      <c r="AM2" s="227"/>
    </row>
    <row r="3" ht="15">
      <c r="A3" s="228"/>
      <c r="B3" s="229"/>
      <c r="C3" s="225"/>
      <c r="D3" s="225"/>
      <c r="E3" s="225"/>
      <c r="F3" s="225"/>
      <c r="G3" s="225"/>
      <c r="H3" s="225"/>
      <c r="I3" s="225"/>
      <c r="J3" s="225"/>
      <c r="K3" s="226"/>
      <c r="L3" s="226"/>
      <c r="M3" s="226"/>
      <c r="N3" s="226"/>
      <c r="O3" s="226"/>
      <c r="P3" s="226"/>
      <c r="Q3" s="226"/>
      <c r="R3" s="226"/>
      <c r="S3" s="230" t="s">
        <v>320</v>
      </c>
      <c r="T3" s="230"/>
      <c r="U3" s="230"/>
      <c r="V3" s="231" t="s">
        <v>321</v>
      </c>
      <c r="W3" s="231"/>
      <c r="X3" s="231"/>
      <c r="Y3" s="231" t="s">
        <v>322</v>
      </c>
      <c r="Z3" s="231"/>
      <c r="AA3" s="231"/>
      <c r="AB3" s="231" t="s">
        <v>323</v>
      </c>
      <c r="AC3" s="231"/>
      <c r="AD3" s="231"/>
      <c r="AE3" s="231" t="s">
        <v>324</v>
      </c>
      <c r="AF3" s="231"/>
      <c r="AG3" s="231"/>
      <c r="AH3" s="232" t="s">
        <v>325</v>
      </c>
      <c r="AI3" s="233"/>
      <c r="AJ3" s="234"/>
      <c r="AK3" s="235" t="s">
        <v>326</v>
      </c>
      <c r="AL3" s="235"/>
      <c r="AM3" s="235"/>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row>
    <row r="4" ht="30">
      <c r="A4" s="230"/>
      <c r="B4" s="237"/>
      <c r="C4" s="238" t="s">
        <v>424</v>
      </c>
      <c r="D4" s="238" t="s">
        <v>425</v>
      </c>
      <c r="E4" s="238" t="s">
        <v>426</v>
      </c>
      <c r="F4" s="238" t="s">
        <v>427</v>
      </c>
      <c r="G4" s="238" t="s">
        <v>428</v>
      </c>
      <c r="H4" s="238" t="s">
        <v>429</v>
      </c>
      <c r="I4" s="238" t="s">
        <v>430</v>
      </c>
      <c r="J4" s="238" t="s">
        <v>431</v>
      </c>
      <c r="K4" s="239" t="str">
        <f t="shared" ref="K4:R4" si="120">C4</f>
        <v>31.12.2019</v>
      </c>
      <c r="L4" s="239" t="str">
        <f t="shared" si="120"/>
        <v>31.12.2018</v>
      </c>
      <c r="M4" s="239" t="str">
        <f t="shared" si="120"/>
        <v>31.12.2017</v>
      </c>
      <c r="N4" s="239" t="str">
        <f t="shared" si="120"/>
        <v>31.12.2016</v>
      </c>
      <c r="O4" s="239" t="str">
        <f t="shared" si="120"/>
        <v>31.12.2015</v>
      </c>
      <c r="P4" s="239" t="str">
        <f t="shared" si="120"/>
        <v>31.12.2014</v>
      </c>
      <c r="Q4" s="239" t="str">
        <f t="shared" si="120"/>
        <v>31.12.2013</v>
      </c>
      <c r="R4" s="239" t="str">
        <f t="shared" si="120"/>
        <v>31.12.2012</v>
      </c>
      <c r="S4" s="239" t="s">
        <v>432</v>
      </c>
      <c r="T4" s="239" t="s">
        <v>433</v>
      </c>
      <c r="U4" s="240" t="s">
        <v>434</v>
      </c>
      <c r="V4" s="240" t="s">
        <v>432</v>
      </c>
      <c r="W4" s="240" t="s">
        <v>433</v>
      </c>
      <c r="X4" s="240" t="s">
        <v>434</v>
      </c>
      <c r="Y4" s="240" t="str">
        <f t="shared" ref="Y4:AM4" si="121">V4</f>
        <v xml:space="preserve">в тыс. руб.</v>
      </c>
      <c r="Z4" s="240" t="str">
        <f t="shared" si="121"/>
        <v xml:space="preserve">темп прироста, %</v>
      </c>
      <c r="AA4" s="240" t="str">
        <f t="shared" si="121"/>
        <v xml:space="preserve">в структуре, %</v>
      </c>
      <c r="AB4" s="240" t="str">
        <f t="shared" si="121"/>
        <v xml:space="preserve">в тыс. руб.</v>
      </c>
      <c r="AC4" s="240" t="str">
        <f t="shared" si="121"/>
        <v xml:space="preserve">темп прироста, %</v>
      </c>
      <c r="AD4" s="240" t="str">
        <f t="shared" si="121"/>
        <v xml:space="preserve">в структуре, %</v>
      </c>
      <c r="AE4" s="240" t="str">
        <f t="shared" si="121"/>
        <v xml:space="preserve">в тыс. руб.</v>
      </c>
      <c r="AF4" s="240" t="str">
        <f t="shared" si="121"/>
        <v xml:space="preserve">темп прироста, %</v>
      </c>
      <c r="AG4" s="240" t="str">
        <f t="shared" si="121"/>
        <v xml:space="preserve">в структуре, %</v>
      </c>
      <c r="AH4" s="240" t="str">
        <f t="shared" si="121"/>
        <v xml:space="preserve">в тыс. руб.</v>
      </c>
      <c r="AI4" s="240" t="str">
        <f t="shared" si="121"/>
        <v xml:space="preserve">темп прироста, %</v>
      </c>
      <c r="AJ4" s="240" t="str">
        <f t="shared" si="121"/>
        <v xml:space="preserve">в структуре, %</v>
      </c>
      <c r="AK4" s="240" t="str">
        <f t="shared" si="121"/>
        <v xml:space="preserve">в тыс. руб.</v>
      </c>
      <c r="AL4" s="240" t="str">
        <f t="shared" si="121"/>
        <v xml:space="preserve">темп прироста, %</v>
      </c>
      <c r="AM4" s="240" t="str">
        <f t="shared" si="121"/>
        <v xml:space="preserve">в структуре, %</v>
      </c>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c r="HV4" s="236"/>
      <c r="HW4" s="236"/>
      <c r="HX4" s="236"/>
      <c r="HY4" s="236"/>
      <c r="HZ4" s="236"/>
      <c r="IA4" s="236"/>
      <c r="IB4" s="236"/>
      <c r="IC4" s="236"/>
      <c r="ID4" s="236"/>
      <c r="IE4" s="236"/>
      <c r="IF4" s="236"/>
      <c r="IG4" s="236"/>
      <c r="IH4" s="236"/>
      <c r="II4" s="236"/>
      <c r="IJ4" s="236"/>
      <c r="IK4" s="236"/>
      <c r="IL4" s="236"/>
      <c r="IM4" s="236"/>
      <c r="IN4" s="236"/>
      <c r="IO4" s="236"/>
      <c r="IP4" s="236"/>
      <c r="IQ4" s="236"/>
      <c r="IR4" s="236"/>
      <c r="IS4" s="236"/>
      <c r="IT4" s="236"/>
      <c r="IU4" s="236"/>
      <c r="IV4" s="236"/>
    </row>
    <row r="5" ht="15">
      <c r="A5" s="241" t="s">
        <v>6</v>
      </c>
      <c r="B5" s="242"/>
      <c r="C5" s="242"/>
      <c r="D5" s="243"/>
      <c r="E5" s="244"/>
      <c r="F5" s="244"/>
      <c r="G5" s="244"/>
      <c r="H5" s="244"/>
      <c r="I5" s="244"/>
      <c r="J5" s="244"/>
      <c r="K5" s="244"/>
      <c r="L5" s="244"/>
      <c r="M5" s="244"/>
      <c r="N5" s="244"/>
      <c r="O5" s="244"/>
      <c r="P5" s="244"/>
      <c r="Q5" s="244"/>
      <c r="R5" s="244"/>
      <c r="S5" s="244"/>
      <c r="T5" s="245"/>
      <c r="U5" s="246"/>
      <c r="V5" s="246"/>
      <c r="W5" s="246"/>
      <c r="X5" s="246"/>
      <c r="Y5" s="246"/>
      <c r="Z5" s="246"/>
      <c r="AA5" s="246"/>
      <c r="AB5" s="246"/>
      <c r="AC5" s="246"/>
      <c r="AD5" s="246"/>
      <c r="AE5" s="246"/>
      <c r="AF5" s="246"/>
      <c r="AG5" s="246"/>
      <c r="AH5" s="246"/>
      <c r="AI5" s="246"/>
      <c r="AJ5" s="246"/>
      <c r="AK5" s="246"/>
      <c r="AL5" s="246"/>
      <c r="AM5" s="246"/>
    </row>
    <row r="6" ht="15">
      <c r="A6" s="247" t="s">
        <v>435</v>
      </c>
      <c r="B6" s="248" t="s">
        <v>436</v>
      </c>
      <c r="C6" s="249">
        <f>'1'!C15+'1'!C20</f>
        <v>19653099</v>
      </c>
      <c r="D6" s="249">
        <f>'1'!D15+'1'!D20</f>
        <v>14471049</v>
      </c>
      <c r="E6" s="249">
        <f>'1'!E15+'1'!E20</f>
        <v>19315685</v>
      </c>
      <c r="F6" s="249">
        <f>'1'!F15+'1'!F20</f>
        <v>9072614</v>
      </c>
      <c r="G6" s="249">
        <f>'1'!G15+'1'!G20</f>
        <v>10739661</v>
      </c>
      <c r="H6" s="249">
        <f>'1'!H15+'1'!H20</f>
        <v>11502191</v>
      </c>
      <c r="I6" s="249">
        <f>'1'!I15+'1'!I20</f>
        <v>17901622</v>
      </c>
      <c r="J6" s="249">
        <f>'1'!J15+'1'!J20</f>
        <v>21520557</v>
      </c>
      <c r="K6" s="250">
        <f t="shared" ref="K6:K9" si="122">(C6/C$10)*100</f>
        <v>40.789630383013801</v>
      </c>
      <c r="L6" s="250">
        <f t="shared" ref="L6:R9" si="123">(D6/D$10)*100</f>
        <v>29.790207328518527</v>
      </c>
      <c r="M6" s="250">
        <f t="shared" si="123"/>
        <v>37.794493337046582</v>
      </c>
      <c r="N6" s="250">
        <f t="shared" si="123"/>
        <v>15.515749163981408</v>
      </c>
      <c r="O6" s="250">
        <f t="shared" si="123"/>
        <v>21.373345259797631</v>
      </c>
      <c r="P6" s="250">
        <f t="shared" si="123"/>
        <v>24.765670949062802</v>
      </c>
      <c r="Q6" s="250">
        <f t="shared" si="123"/>
        <v>53.652773985210025</v>
      </c>
      <c r="R6" s="250">
        <f t="shared" si="123"/>
        <v>72.284421491375767</v>
      </c>
      <c r="S6" s="250">
        <f t="shared" ref="S6:S9" si="124">C6-D6</f>
        <v>5182050</v>
      </c>
      <c r="T6" s="251">
        <f t="shared" ref="T6:T9" si="125">((C6-D6)/D6)*100</f>
        <v>35.809774398524944</v>
      </c>
      <c r="U6" s="252"/>
      <c r="V6" s="252">
        <f t="shared" ref="V6:V9" si="126">D6-E6</f>
        <v>-4844636</v>
      </c>
      <c r="W6" s="252">
        <f t="shared" ref="W6:W9" si="127">((D6-E6)/E6)*100</f>
        <v>-25.081357456388421</v>
      </c>
      <c r="X6" s="253"/>
      <c r="Y6" s="252">
        <f t="shared" ref="Y6:Y9" si="128">E6-F6</f>
        <v>10243071</v>
      </c>
      <c r="Z6" s="252">
        <f t="shared" ref="Z6:Z9" si="129">((E6-F6)/F6)*100</f>
        <v>112.90098972578355</v>
      </c>
      <c r="AA6" s="253"/>
      <c r="AB6" s="252">
        <f t="shared" ref="AB6:AB9" si="130">F6-G6</f>
        <v>-1667047</v>
      </c>
      <c r="AC6" s="252">
        <f t="shared" ref="AC6:AC9" si="131">((F6-G6)/G6)*100</f>
        <v>-15.522342837450829</v>
      </c>
      <c r="AD6" s="253"/>
      <c r="AE6" s="252">
        <f t="shared" ref="AE6:AE9" si="132">G6-H6</f>
        <v>-762530</v>
      </c>
      <c r="AF6" s="252">
        <f t="shared" ref="AF6:AF9" si="133">((G6-H6)/H6)*100</f>
        <v>-6.6294326011452949</v>
      </c>
      <c r="AG6" s="253"/>
      <c r="AH6" s="252">
        <f t="shared" ref="AH6:AH9" si="134">H6-I6</f>
        <v>-6399431</v>
      </c>
      <c r="AI6" s="252">
        <f t="shared" ref="AI6:AI9" si="135">((H6-I6)/I6)*100</f>
        <v>-35.747771905808314</v>
      </c>
      <c r="AJ6" s="253"/>
      <c r="AK6" s="252">
        <f t="shared" ref="AK6:AK9" si="136">I6-J6</f>
        <v>-3618935</v>
      </c>
      <c r="AL6" s="252">
        <f t="shared" ref="AL6:AL9" si="137">((I6-J6)/J6)*100</f>
        <v>-16.816177202104946</v>
      </c>
      <c r="AM6" s="252"/>
    </row>
    <row r="7" ht="15">
      <c r="A7" s="247" t="s">
        <v>437</v>
      </c>
      <c r="B7" s="248" t="s">
        <v>438</v>
      </c>
      <c r="C7" s="249">
        <f>'1'!C17+'1'!C18</f>
        <v>3392526</v>
      </c>
      <c r="D7" s="249">
        <f>'1'!D17+'1'!D18</f>
        <v>2470424</v>
      </c>
      <c r="E7" s="249">
        <f>'1'!E17+'1'!E18</f>
        <v>3143913</v>
      </c>
      <c r="F7" s="249">
        <f>'1'!F17+'1'!F18</f>
        <v>2369731</v>
      </c>
      <c r="G7" s="249">
        <f>'1'!G17+'1'!G18</f>
        <v>2404485</v>
      </c>
      <c r="H7" s="249">
        <f>'1'!H17+'1'!H18</f>
        <v>1880186</v>
      </c>
      <c r="I7" s="249">
        <f>'1'!I17+'1'!I18</f>
        <v>1702409</v>
      </c>
      <c r="J7" s="249">
        <f>'1'!J17+'1'!J18</f>
        <v>1854584</v>
      </c>
      <c r="K7" s="250">
        <f t="shared" si="122"/>
        <v>7.0411227056233869</v>
      </c>
      <c r="L7" s="250">
        <f t="shared" si="123"/>
        <v>5.0856329177897228</v>
      </c>
      <c r="M7" s="250">
        <f t="shared" si="123"/>
        <v>6.1516119635805886</v>
      </c>
      <c r="N7" s="250">
        <f t="shared" si="123"/>
        <v>4.0526524970764575</v>
      </c>
      <c r="O7" s="250">
        <f t="shared" si="123"/>
        <v>4.7852430423087382</v>
      </c>
      <c r="P7" s="250">
        <f t="shared" si="123"/>
        <v>4.0482780888471233</v>
      </c>
      <c r="Q7" s="250">
        <f t="shared" si="123"/>
        <v>5.1022731519740168</v>
      </c>
      <c r="R7" s="250">
        <f t="shared" si="123"/>
        <v>6.229277966511817</v>
      </c>
      <c r="S7" s="250">
        <f t="shared" si="124"/>
        <v>922102</v>
      </c>
      <c r="T7" s="251">
        <f t="shared" si="125"/>
        <v>37.325657457991021</v>
      </c>
      <c r="U7" s="252"/>
      <c r="V7" s="252">
        <f t="shared" si="126"/>
        <v>-673489</v>
      </c>
      <c r="W7" s="252">
        <f t="shared" si="127"/>
        <v>-21.421998636730724</v>
      </c>
      <c r="X7" s="253"/>
      <c r="Y7" s="252">
        <f t="shared" si="128"/>
        <v>774182</v>
      </c>
      <c r="Z7" s="252">
        <f t="shared" si="129"/>
        <v>32.669615243249126</v>
      </c>
      <c r="AA7" s="253"/>
      <c r="AB7" s="252">
        <f t="shared" si="130"/>
        <v>-34754</v>
      </c>
      <c r="AC7" s="252">
        <f t="shared" si="131"/>
        <v>-1.4453822752065411</v>
      </c>
      <c r="AD7" s="253"/>
      <c r="AE7" s="252">
        <f t="shared" si="132"/>
        <v>524299</v>
      </c>
      <c r="AF7" s="252">
        <f t="shared" si="133"/>
        <v>27.885485797681721</v>
      </c>
      <c r="AG7" s="253"/>
      <c r="AH7" s="252">
        <f t="shared" si="134"/>
        <v>177777</v>
      </c>
      <c r="AI7" s="252">
        <f t="shared" si="135"/>
        <v>10.442672706734985</v>
      </c>
      <c r="AJ7" s="253"/>
      <c r="AK7" s="252">
        <f t="shared" si="136"/>
        <v>-152175</v>
      </c>
      <c r="AL7" s="252">
        <f t="shared" si="137"/>
        <v>-8.2053441634350346</v>
      </c>
      <c r="AM7" s="252"/>
    </row>
    <row r="8" ht="15">
      <c r="A8" s="247" t="s">
        <v>439</v>
      </c>
      <c r="B8" s="248" t="s">
        <v>440</v>
      </c>
      <c r="C8" s="249">
        <f>'1'!C24+'1'!C21</f>
        <v>3430183</v>
      </c>
      <c r="D8" s="249">
        <f>'1'!D24+'1'!D21</f>
        <v>3314283</v>
      </c>
      <c r="E8" s="249">
        <f>'1'!E24+'1'!E21</f>
        <v>3292073</v>
      </c>
      <c r="F8" s="249">
        <f>'1'!F24+'1'!F21</f>
        <v>3891957</v>
      </c>
      <c r="G8" s="249">
        <f>'1'!G24+'1'!G21</f>
        <v>5519413</v>
      </c>
      <c r="H8" s="249">
        <f>'1'!H24+'1'!H21</f>
        <v>5377106</v>
      </c>
      <c r="I8" s="249">
        <f>'1'!I24+'1'!I21</f>
        <v>2714867</v>
      </c>
      <c r="J8" s="249">
        <f>'1'!J24+'1'!J21</f>
        <v>1963265</v>
      </c>
      <c r="K8" s="250">
        <f t="shared" si="122"/>
        <v>7.119279087542246</v>
      </c>
      <c r="L8" s="250">
        <f t="shared" si="123"/>
        <v>6.8228072280996601</v>
      </c>
      <c r="M8" s="250">
        <f t="shared" si="123"/>
        <v>6.441512742808289</v>
      </c>
      <c r="N8" s="250">
        <f t="shared" si="123"/>
        <v>6.6559239232487561</v>
      </c>
      <c r="O8" s="250">
        <f t="shared" si="123"/>
        <v>10.984361580911671</v>
      </c>
      <c r="P8" s="250">
        <f t="shared" si="123"/>
        <v>11.577588813664393</v>
      </c>
      <c r="Q8" s="250">
        <f t="shared" si="123"/>
        <v>8.1367009956363265</v>
      </c>
      <c r="R8" s="250">
        <f t="shared" si="123"/>
        <v>6.5943216413620638</v>
      </c>
      <c r="S8" s="250">
        <f t="shared" si="124"/>
        <v>115900</v>
      </c>
      <c r="T8" s="251">
        <f t="shared" si="125"/>
        <v>3.4969856225313292</v>
      </c>
      <c r="U8" s="252"/>
      <c r="V8" s="252">
        <f t="shared" si="126"/>
        <v>22210</v>
      </c>
      <c r="W8" s="252">
        <f t="shared" si="127"/>
        <v>0.67465089625898333</v>
      </c>
      <c r="X8" s="253"/>
      <c r="Y8" s="252">
        <f t="shared" si="128"/>
        <v>-599884</v>
      </c>
      <c r="Z8" s="252">
        <f t="shared" si="129"/>
        <v>-15.41342825730089</v>
      </c>
      <c r="AA8" s="253"/>
      <c r="AB8" s="252">
        <f t="shared" si="130"/>
        <v>-1627456</v>
      </c>
      <c r="AC8" s="252">
        <f t="shared" si="131"/>
        <v>-29.486034112685534</v>
      </c>
      <c r="AD8" s="253"/>
      <c r="AE8" s="252">
        <f t="shared" si="132"/>
        <v>142307</v>
      </c>
      <c r="AF8" s="252">
        <f t="shared" si="133"/>
        <v>2.6465351436255857</v>
      </c>
      <c r="AG8" s="253"/>
      <c r="AH8" s="252">
        <f t="shared" si="134"/>
        <v>2662239</v>
      </c>
      <c r="AI8" s="252">
        <f t="shared" si="135"/>
        <v>98.06148883168126</v>
      </c>
      <c r="AJ8" s="253"/>
      <c r="AK8" s="252">
        <f t="shared" si="136"/>
        <v>751602</v>
      </c>
      <c r="AL8" s="252">
        <f t="shared" si="137"/>
        <v>38.283267923586472</v>
      </c>
      <c r="AM8" s="252"/>
    </row>
    <row r="9" ht="15">
      <c r="A9" s="247" t="s">
        <v>441</v>
      </c>
      <c r="B9" s="248" t="s">
        <v>442</v>
      </c>
      <c r="C9" s="249">
        <f>'1'!C22+'1'!C23</f>
        <v>21705798</v>
      </c>
      <c r="D9" s="249">
        <f>'1'!D22+'1'!D23</f>
        <v>28320774</v>
      </c>
      <c r="E9" s="249">
        <f>'1'!E22+'1'!E23</f>
        <v>25355470</v>
      </c>
      <c r="F9" s="249">
        <f>'1'!F22+'1'!F23</f>
        <v>43139278</v>
      </c>
      <c r="G9" s="249">
        <f>'1'!G22+'1'!G23</f>
        <v>31584359</v>
      </c>
      <c r="H9" s="249">
        <f>'1'!H22+'1'!H23</f>
        <v>27684609</v>
      </c>
      <c r="I9" s="249">
        <f>'1'!I22+'1'!I23</f>
        <v>11046799</v>
      </c>
      <c r="J9" s="249">
        <f>'1'!J22+'1'!J23</f>
        <v>4433648</v>
      </c>
      <c r="K9" s="250">
        <f t="shared" si="122"/>
        <v>45.049967823820566</v>
      </c>
      <c r="L9" s="250">
        <f t="shared" si="123"/>
        <v>58.301352525592087</v>
      </c>
      <c r="M9" s="250">
        <f t="shared" si="123"/>
        <v>49.612381956564548</v>
      </c>
      <c r="N9" s="250">
        <f t="shared" si="123"/>
        <v>73.775674415693388</v>
      </c>
      <c r="O9" s="250">
        <f t="shared" si="123"/>
        <v>62.857050116981959</v>
      </c>
      <c r="P9" s="250">
        <f t="shared" si="123"/>
        <v>59.60846214842568</v>
      </c>
      <c r="Q9" s="250">
        <f t="shared" si="123"/>
        <v>33.108251867179639</v>
      </c>
      <c r="R9" s="250">
        <f t="shared" si="123"/>
        <v>14.891978900750347</v>
      </c>
      <c r="S9" s="250">
        <f t="shared" si="124"/>
        <v>-6614976</v>
      </c>
      <c r="T9" s="251">
        <f t="shared" si="125"/>
        <v>-23.357327734051335</v>
      </c>
      <c r="U9" s="252"/>
      <c r="V9" s="252">
        <f t="shared" si="126"/>
        <v>2965304</v>
      </c>
      <c r="W9" s="252">
        <f t="shared" si="127"/>
        <v>11.69492815554198</v>
      </c>
      <c r="X9" s="253"/>
      <c r="Y9" s="252">
        <f t="shared" si="128"/>
        <v>-17783808</v>
      </c>
      <c r="Z9" s="252">
        <f t="shared" si="129"/>
        <v>-41.224166987681151</v>
      </c>
      <c r="AA9" s="253"/>
      <c r="AB9" s="252">
        <f t="shared" si="130"/>
        <v>11554919</v>
      </c>
      <c r="AC9" s="252">
        <f t="shared" si="131"/>
        <v>36.584307441540922</v>
      </c>
      <c r="AD9" s="253"/>
      <c r="AE9" s="252">
        <f t="shared" si="132"/>
        <v>3899750</v>
      </c>
      <c r="AF9" s="252">
        <f t="shared" si="133"/>
        <v>14.086346677318073</v>
      </c>
      <c r="AG9" s="253"/>
      <c r="AH9" s="252">
        <f t="shared" si="134"/>
        <v>16637810</v>
      </c>
      <c r="AI9" s="252">
        <f t="shared" si="135"/>
        <v>150.61204607778237</v>
      </c>
      <c r="AJ9" s="253"/>
      <c r="AK9" s="252">
        <f t="shared" si="136"/>
        <v>6613151</v>
      </c>
      <c r="AL9" s="252">
        <f t="shared" si="137"/>
        <v>149.1582326788234</v>
      </c>
      <c r="AM9" s="252"/>
    </row>
    <row r="10" ht="15">
      <c r="A10" s="254" t="s">
        <v>443</v>
      </c>
      <c r="B10" s="255"/>
      <c r="C10" s="256">
        <f t="shared" ref="C10:J10" si="138">SUM(C6:C9)</f>
        <v>48181606</v>
      </c>
      <c r="D10" s="256">
        <f t="shared" si="138"/>
        <v>48576530</v>
      </c>
      <c r="E10" s="256">
        <f t="shared" si="138"/>
        <v>51107141</v>
      </c>
      <c r="F10" s="256">
        <f t="shared" si="138"/>
        <v>58473580</v>
      </c>
      <c r="G10" s="256">
        <f t="shared" si="138"/>
        <v>50247918</v>
      </c>
      <c r="H10" s="256">
        <f t="shared" si="138"/>
        <v>46444092</v>
      </c>
      <c r="I10" s="256">
        <f t="shared" si="138"/>
        <v>33365697</v>
      </c>
      <c r="J10" s="256">
        <f t="shared" si="138"/>
        <v>29772054</v>
      </c>
      <c r="K10" s="250"/>
      <c r="L10" s="250"/>
      <c r="M10" s="250"/>
      <c r="N10" s="250"/>
      <c r="O10" s="250"/>
      <c r="P10" s="250"/>
      <c r="Q10" s="250"/>
      <c r="R10" s="250"/>
      <c r="S10" s="250">
        <f>C10-D10</f>
        <v>-394924</v>
      </c>
      <c r="T10" s="251">
        <f>((C10-D10)/D10)*100</f>
        <v>-0.81299343530713297</v>
      </c>
      <c r="U10" s="252"/>
      <c r="V10" s="252">
        <f>D10-E10</f>
        <v>-2530611</v>
      </c>
      <c r="W10" s="252">
        <f>((D10-E10)/E10)*100</f>
        <v>-4.9515800541454666</v>
      </c>
      <c r="X10" s="253"/>
      <c r="Y10" s="252">
        <f>E10-F10</f>
        <v>-7366439</v>
      </c>
      <c r="Z10" s="252">
        <f>((E10-F10)/F10)*100</f>
        <v>-12.597892928738071</v>
      </c>
      <c r="AA10" s="253"/>
      <c r="AB10" s="252">
        <f>F10-G10</f>
        <v>8225662</v>
      </c>
      <c r="AC10" s="252">
        <f>((F10-G10)/G10)*100</f>
        <v>16.37015487885488</v>
      </c>
      <c r="AD10" s="253"/>
      <c r="AE10" s="252">
        <f>G10-H10</f>
        <v>3803826</v>
      </c>
      <c r="AF10" s="252">
        <f>((G10-H10)/H10)*100</f>
        <v>8.1901181317098413</v>
      </c>
      <c r="AG10" s="253"/>
      <c r="AH10" s="252">
        <f>H10-I10</f>
        <v>13078395</v>
      </c>
      <c r="AI10" s="252">
        <f>((H10-I10)/I10)*100</f>
        <v>39.197128116340565</v>
      </c>
      <c r="AJ10" s="253"/>
      <c r="AK10" s="252">
        <f>I10-J10</f>
        <v>3593643</v>
      </c>
      <c r="AL10" s="252">
        <f>((I10-J10)/J10)*100</f>
        <v>12.070524257412673</v>
      </c>
      <c r="AM10" s="252"/>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c r="BR10" s="257"/>
      <c r="BS10" s="257"/>
      <c r="BT10" s="257"/>
      <c r="BU10" s="257"/>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257"/>
      <c r="DD10" s="257"/>
      <c r="DE10" s="257"/>
      <c r="DF10" s="257"/>
      <c r="DG10" s="257"/>
      <c r="DH10" s="257"/>
      <c r="DI10" s="257"/>
      <c r="DJ10" s="257"/>
      <c r="DK10" s="257"/>
      <c r="DL10" s="257"/>
      <c r="DM10" s="257"/>
      <c r="DN10" s="257"/>
      <c r="DO10" s="257"/>
      <c r="DP10" s="257"/>
      <c r="DQ10" s="257"/>
      <c r="DR10" s="257"/>
      <c r="DS10" s="257"/>
      <c r="DT10" s="257"/>
      <c r="DU10" s="257"/>
      <c r="DV10" s="257"/>
      <c r="DW10" s="257"/>
      <c r="DX10" s="257"/>
      <c r="DY10" s="257"/>
      <c r="DZ10" s="257"/>
      <c r="EA10" s="257"/>
      <c r="EB10" s="257"/>
      <c r="EC10" s="257"/>
      <c r="ED10" s="257"/>
      <c r="EE10" s="257"/>
      <c r="EF10" s="257"/>
      <c r="EG10" s="257"/>
      <c r="EH10" s="257"/>
      <c r="EI10" s="257"/>
      <c r="EJ10" s="257"/>
      <c r="EK10" s="257"/>
      <c r="EL10" s="257"/>
      <c r="EM10" s="257"/>
      <c r="EN10" s="257"/>
      <c r="EO10" s="257"/>
      <c r="EP10" s="257"/>
      <c r="EQ10" s="257"/>
      <c r="ER10" s="257"/>
      <c r="ES10" s="257"/>
      <c r="ET10" s="257"/>
      <c r="EU10" s="257"/>
      <c r="EV10" s="257"/>
      <c r="EW10" s="257"/>
      <c r="EX10" s="257"/>
      <c r="EY10" s="257"/>
      <c r="EZ10" s="257"/>
      <c r="FA10" s="257"/>
      <c r="FB10" s="257"/>
      <c r="FC10" s="257"/>
      <c r="FD10" s="257"/>
      <c r="FE10" s="257"/>
      <c r="FF10" s="257"/>
      <c r="FG10" s="257"/>
      <c r="FH10" s="257"/>
      <c r="FI10" s="257"/>
      <c r="FJ10" s="257"/>
      <c r="FK10" s="257"/>
      <c r="FL10" s="257"/>
      <c r="FM10" s="257"/>
      <c r="FN10" s="257"/>
      <c r="FO10" s="257"/>
      <c r="FP10" s="257"/>
      <c r="FQ10" s="257"/>
      <c r="FR10" s="257"/>
      <c r="FS10" s="257"/>
      <c r="FT10" s="257"/>
      <c r="FU10" s="257"/>
      <c r="FV10" s="257"/>
      <c r="FW10" s="257"/>
      <c r="FX10" s="257"/>
      <c r="FY10" s="257"/>
      <c r="FZ10" s="257"/>
      <c r="GA10" s="257"/>
      <c r="GB10" s="257"/>
      <c r="GC10" s="257"/>
      <c r="GD10" s="257"/>
      <c r="GE10" s="257"/>
      <c r="GF10" s="257"/>
      <c r="GG10" s="257"/>
      <c r="GH10" s="257"/>
      <c r="GI10" s="257"/>
      <c r="GJ10" s="257"/>
      <c r="GK10" s="257"/>
      <c r="GL10" s="257"/>
      <c r="GM10" s="257"/>
      <c r="GN10" s="257"/>
      <c r="GO10" s="257"/>
      <c r="GP10" s="257"/>
      <c r="GQ10" s="257"/>
      <c r="GR10" s="257"/>
      <c r="GS10" s="257"/>
      <c r="GT10" s="257"/>
      <c r="GU10" s="257"/>
      <c r="GV10" s="257"/>
      <c r="GW10" s="257"/>
      <c r="GX10" s="257"/>
      <c r="GY10" s="257"/>
      <c r="GZ10" s="257"/>
      <c r="HA10" s="257"/>
      <c r="HB10" s="257"/>
      <c r="HC10" s="257"/>
      <c r="HD10" s="257"/>
      <c r="HE10" s="257"/>
      <c r="HF10" s="257"/>
      <c r="HG10" s="257"/>
      <c r="HH10" s="257"/>
      <c r="HI10" s="257"/>
      <c r="HJ10" s="257"/>
      <c r="HK10" s="257"/>
      <c r="HL10" s="257"/>
      <c r="HM10" s="257"/>
      <c r="HN10" s="257"/>
      <c r="HO10" s="257"/>
      <c r="HP10" s="257"/>
      <c r="HQ10" s="257"/>
      <c r="HR10" s="257"/>
      <c r="HS10" s="257"/>
      <c r="HT10" s="257"/>
      <c r="HU10" s="257"/>
      <c r="HV10" s="257"/>
      <c r="HW10" s="257"/>
      <c r="HX10" s="257"/>
      <c r="HY10" s="257"/>
      <c r="HZ10" s="257"/>
      <c r="IA10" s="257"/>
      <c r="IB10" s="257"/>
      <c r="IC10" s="257"/>
      <c r="ID10" s="257"/>
      <c r="IE10" s="257"/>
      <c r="IF10" s="257"/>
      <c r="IG10" s="257"/>
      <c r="IH10" s="257"/>
      <c r="II10" s="257"/>
      <c r="IJ10" s="257"/>
      <c r="IK10" s="257"/>
      <c r="IL10" s="257"/>
      <c r="IM10" s="257"/>
      <c r="IN10" s="257"/>
      <c r="IO10" s="257"/>
      <c r="IP10" s="257"/>
      <c r="IQ10" s="257"/>
      <c r="IR10" s="257"/>
      <c r="IS10" s="257"/>
      <c r="IT10" s="257"/>
      <c r="IU10" s="257"/>
      <c r="IV10" s="257"/>
    </row>
    <row r="11" ht="15">
      <c r="A11" s="241" t="s">
        <v>36</v>
      </c>
      <c r="B11" s="248"/>
      <c r="C11" s="248"/>
      <c r="D11" s="243"/>
      <c r="E11" s="244"/>
      <c r="F11" s="244"/>
      <c r="G11" s="250"/>
      <c r="H11" s="250"/>
      <c r="I11" s="250"/>
      <c r="J11" s="250"/>
      <c r="K11" s="250"/>
      <c r="L11" s="250"/>
      <c r="M11" s="250"/>
      <c r="N11" s="250"/>
      <c r="O11" s="250"/>
      <c r="P11" s="250"/>
      <c r="Q11" s="250"/>
      <c r="R11" s="250"/>
      <c r="S11" s="250"/>
      <c r="T11" s="251"/>
      <c r="U11" s="252"/>
      <c r="V11" s="252"/>
      <c r="W11" s="252"/>
      <c r="X11" s="253"/>
      <c r="Y11" s="252"/>
      <c r="Z11" s="252"/>
      <c r="AA11" s="253"/>
      <c r="AB11" s="252"/>
      <c r="AC11" s="252"/>
      <c r="AD11" s="253"/>
      <c r="AE11" s="252"/>
      <c r="AF11" s="252"/>
      <c r="AG11" s="253"/>
      <c r="AH11" s="252"/>
      <c r="AI11" s="252"/>
      <c r="AJ11" s="253"/>
      <c r="AK11" s="252"/>
      <c r="AL11" s="252"/>
      <c r="AM11" s="252"/>
    </row>
    <row r="12" ht="15">
      <c r="A12" s="247" t="s">
        <v>444</v>
      </c>
      <c r="B12" s="248" t="s">
        <v>445</v>
      </c>
      <c r="C12" s="249">
        <f>'1'!C37</f>
        <v>40418692</v>
      </c>
      <c r="D12" s="249">
        <f>'1'!D37</f>
        <v>45744034</v>
      </c>
      <c r="E12" s="249">
        <f>'1'!E37</f>
        <v>47028634</v>
      </c>
      <c r="F12" s="249">
        <f>'1'!F37</f>
        <v>41255754</v>
      </c>
      <c r="G12" s="249">
        <f>'1'!G37</f>
        <v>34910852</v>
      </c>
      <c r="H12" s="249">
        <f>'1'!H37</f>
        <v>26135480</v>
      </c>
      <c r="I12" s="249">
        <f>'1'!I37</f>
        <v>25906082</v>
      </c>
      <c r="J12" s="249">
        <f>'1'!J37</f>
        <v>22062331</v>
      </c>
      <c r="K12" s="250">
        <f t="shared" ref="K12:R15" si="139">(C12/$C$16)*100</f>
        <v>83.888220745485313</v>
      </c>
      <c r="L12" s="250">
        <f t="shared" si="139"/>
        <v>94.940866022606215</v>
      </c>
      <c r="M12" s="250">
        <f t="shared" si="139"/>
        <v>97.607028707179254</v>
      </c>
      <c r="N12" s="250">
        <f t="shared" si="139"/>
        <v>85.625526886754258</v>
      </c>
      <c r="O12" s="250">
        <f t="shared" si="139"/>
        <v>72.456804366379984</v>
      </c>
      <c r="P12" s="250">
        <f t="shared" si="139"/>
        <v>54.243687933523844</v>
      </c>
      <c r="Q12" s="250">
        <f t="shared" si="139"/>
        <v>53.76757678023435</v>
      </c>
      <c r="R12" s="250">
        <f t="shared" si="139"/>
        <v>45.789945233456933</v>
      </c>
      <c r="S12" s="250">
        <f t="shared" ref="S12:S16" si="140">C12-D12</f>
        <v>-5325342</v>
      </c>
      <c r="T12" s="251">
        <f t="shared" ref="T12:T16" si="141">((C12-D12)/D12)*100</f>
        <v>-11.641609920104553</v>
      </c>
      <c r="U12" s="252"/>
      <c r="V12" s="252">
        <f t="shared" ref="V12:V16" si="142">D12-E12</f>
        <v>-1284600</v>
      </c>
      <c r="W12" s="252">
        <f t="shared" ref="W12:W16" si="143">((D12-E12)/E12)*100</f>
        <v>-2.7315273499119703</v>
      </c>
      <c r="X12" s="253"/>
      <c r="Y12" s="252">
        <f t="shared" ref="Y12:Y16" si="144">E12-F12</f>
        <v>5772880</v>
      </c>
      <c r="Z12" s="252">
        <f t="shared" ref="Z12:Z16" si="145">((E12-F12)/F12)*100</f>
        <v>13.992908722502079</v>
      </c>
      <c r="AA12" s="253"/>
      <c r="AB12" s="252">
        <f t="shared" ref="AB12:AB16" si="146">F12-G12</f>
        <v>6344902</v>
      </c>
      <c r="AC12" s="252">
        <f t="shared" ref="AC12:AC16" si="147">((F12-G12)/G12)*100</f>
        <v>18.17458365095186</v>
      </c>
      <c r="AD12" s="253"/>
      <c r="AE12" s="252">
        <f t="shared" ref="AE12:AE16" si="148">G12-H12</f>
        <v>8775372</v>
      </c>
      <c r="AF12" s="252">
        <f t="shared" ref="AF12:AF16" si="149">((G12-H12)/H12)*100</f>
        <v>33.576471524532934</v>
      </c>
      <c r="AG12" s="253"/>
      <c r="AH12" s="252">
        <f t="shared" ref="AH12:AH16" si="150">H12-I12</f>
        <v>229398</v>
      </c>
      <c r="AI12" s="252">
        <f t="shared" ref="AI12:AI16" si="151">((H12-I12)/I12)*100</f>
        <v>0.88549862538071178</v>
      </c>
      <c r="AJ12" s="253"/>
      <c r="AK12" s="252">
        <f t="shared" ref="AK12:AK16" si="152">I12-J12</f>
        <v>3843751</v>
      </c>
      <c r="AL12" s="252">
        <f t="shared" ref="AL12:AL16" si="153">((I12-J12)/J12)*100</f>
        <v>17.422234305160231</v>
      </c>
      <c r="AM12" s="252"/>
    </row>
    <row r="13" ht="15">
      <c r="A13" s="247" t="s">
        <v>446</v>
      </c>
      <c r="B13" s="248" t="s">
        <v>447</v>
      </c>
      <c r="C13" s="249">
        <f>'1'!C43</f>
        <v>675161</v>
      </c>
      <c r="D13" s="249">
        <f>'1'!D43</f>
        <v>551941</v>
      </c>
      <c r="E13" s="249">
        <f>'1'!E43</f>
        <v>419734</v>
      </c>
      <c r="F13" s="249">
        <f>'1'!F43</f>
        <v>3261403</v>
      </c>
      <c r="G13" s="249">
        <f>'1'!G43</f>
        <v>11207763</v>
      </c>
      <c r="H13" s="249">
        <f>'1'!H43</f>
        <v>8630287</v>
      </c>
      <c r="I13" s="249">
        <f>'1'!I43</f>
        <v>5033749</v>
      </c>
      <c r="J13" s="249">
        <f>'1'!J43</f>
        <v>5568078</v>
      </c>
      <c r="K13" s="250">
        <f t="shared" si="139"/>
        <v>1.401283718106034</v>
      </c>
      <c r="L13" s="250">
        <f t="shared" si="139"/>
        <v>1.1455429692401702</v>
      </c>
      <c r="M13" s="250">
        <f t="shared" si="139"/>
        <v>0.87114987408265299</v>
      </c>
      <c r="N13" s="250">
        <f t="shared" si="139"/>
        <v>6.7689794316943273</v>
      </c>
      <c r="O13" s="250">
        <f t="shared" si="139"/>
        <v>23.261497344027926</v>
      </c>
      <c r="P13" s="250">
        <f t="shared" si="139"/>
        <v>17.911995295466074</v>
      </c>
      <c r="Q13" s="250">
        <f t="shared" si="139"/>
        <v>10.447449593108209</v>
      </c>
      <c r="R13" s="250">
        <f t="shared" si="139"/>
        <v>11.556439193828449</v>
      </c>
      <c r="S13" s="250">
        <f t="shared" si="140"/>
        <v>123220</v>
      </c>
      <c r="T13" s="251">
        <f t="shared" si="141"/>
        <v>22.324849938670983</v>
      </c>
      <c r="U13" s="252"/>
      <c r="V13" s="252">
        <f t="shared" si="142"/>
        <v>132207</v>
      </c>
      <c r="W13" s="252">
        <f t="shared" si="143"/>
        <v>31.497805753167484</v>
      </c>
      <c r="X13" s="253"/>
      <c r="Y13" s="252">
        <f t="shared" si="144"/>
        <v>-2841669</v>
      </c>
      <c r="Z13" s="252">
        <f t="shared" si="145"/>
        <v>-87.130262650767165</v>
      </c>
      <c r="AA13" s="253"/>
      <c r="AB13" s="252">
        <f t="shared" si="146"/>
        <v>-7946360</v>
      </c>
      <c r="AC13" s="252">
        <f t="shared" si="147"/>
        <v>-70.90049994811632</v>
      </c>
      <c r="AD13" s="253"/>
      <c r="AE13" s="252">
        <f t="shared" si="148"/>
        <v>2577476</v>
      </c>
      <c r="AF13" s="252">
        <f t="shared" si="149"/>
        <v>29.865472608268995</v>
      </c>
      <c r="AG13" s="253"/>
      <c r="AH13" s="252">
        <f t="shared" si="150"/>
        <v>3596538</v>
      </c>
      <c r="AI13" s="252">
        <f t="shared" si="151"/>
        <v>71.448496935385535</v>
      </c>
      <c r="AJ13" s="253"/>
      <c r="AK13" s="252">
        <f t="shared" si="152"/>
        <v>-534329</v>
      </c>
      <c r="AL13" s="252">
        <f t="shared" si="153"/>
        <v>-9.5962915749384265</v>
      </c>
      <c r="AM13" s="252"/>
    </row>
    <row r="14" ht="15">
      <c r="A14" s="247" t="s">
        <v>448</v>
      </c>
      <c r="B14" s="248" t="s">
        <v>449</v>
      </c>
      <c r="C14" s="249">
        <f>'1'!C45+'1'!C47+'1'!C48</f>
        <v>257551</v>
      </c>
      <c r="D14" s="249">
        <f>'1'!D45+'1'!D47+'1'!D48</f>
        <v>209342</v>
      </c>
      <c r="E14" s="249">
        <f>'1'!E45+'1'!E47+'1'!E48</f>
        <v>1058400</v>
      </c>
      <c r="F14" s="249">
        <f>'1'!F45+'1'!F47+'1'!F48</f>
        <v>10939535</v>
      </c>
      <c r="G14" s="249">
        <f>'1'!G45+'1'!G47+'1'!G48</f>
        <v>176457</v>
      </c>
      <c r="H14" s="249">
        <f>'1'!H45+'1'!H47+'1'!H48</f>
        <v>9676314</v>
      </c>
      <c r="I14" s="249">
        <f>'1'!I45+'1'!I47+'1'!I48</f>
        <v>744803</v>
      </c>
      <c r="J14" s="249">
        <f>'1'!J45+'1'!J47+'1'!J48</f>
        <v>701405</v>
      </c>
      <c r="K14" s="250">
        <f t="shared" si="139"/>
        <v>0.53454216532342236</v>
      </c>
      <c r="L14" s="250">
        <f t="shared" si="139"/>
        <v>0.43448530960134457</v>
      </c>
      <c r="M14" s="250">
        <f t="shared" si="139"/>
        <v>2.1966889190036545</v>
      </c>
      <c r="N14" s="250">
        <f t="shared" si="139"/>
        <v>22.704795269796527</v>
      </c>
      <c r="O14" s="250">
        <f t="shared" si="139"/>
        <v>0.36623312224171189</v>
      </c>
      <c r="P14" s="250">
        <f t="shared" si="139"/>
        <v>20.083004290060401</v>
      </c>
      <c r="Q14" s="250">
        <f t="shared" si="139"/>
        <v>1.5458243546302712</v>
      </c>
      <c r="R14" s="250">
        <f t="shared" si="139"/>
        <v>1.4557526372201042</v>
      </c>
      <c r="S14" s="250">
        <f t="shared" si="140"/>
        <v>48209</v>
      </c>
      <c r="T14" s="251">
        <f t="shared" si="141"/>
        <v>23.028823647428609</v>
      </c>
      <c r="U14" s="252"/>
      <c r="V14" s="252">
        <f t="shared" si="142"/>
        <v>-849058</v>
      </c>
      <c r="W14" s="252">
        <f t="shared" si="143"/>
        <v>-80.220899470899482</v>
      </c>
      <c r="X14" s="253"/>
      <c r="Y14" s="252">
        <f t="shared" si="144"/>
        <v>-9881135</v>
      </c>
      <c r="Z14" s="252">
        <f t="shared" si="145"/>
        <v>-90.325000102838004</v>
      </c>
      <c r="AA14" s="253"/>
      <c r="AB14" s="252">
        <f t="shared" si="146"/>
        <v>10763078</v>
      </c>
      <c r="AC14" s="252">
        <f t="shared" si="147"/>
        <v>6099.5471984676151</v>
      </c>
      <c r="AD14" s="253"/>
      <c r="AE14" s="252">
        <f t="shared" si="148"/>
        <v>-9499857</v>
      </c>
      <c r="AF14" s="252">
        <f t="shared" si="149"/>
        <v>-98.17640270871739</v>
      </c>
      <c r="AG14" s="253"/>
      <c r="AH14" s="252">
        <f t="shared" si="150"/>
        <v>8931511</v>
      </c>
      <c r="AI14" s="252">
        <f t="shared" si="151"/>
        <v>1199.1776348913741</v>
      </c>
      <c r="AJ14" s="253"/>
      <c r="AK14" s="252">
        <f t="shared" si="152"/>
        <v>43398</v>
      </c>
      <c r="AL14" s="252">
        <f t="shared" si="153"/>
        <v>6.187295499746936</v>
      </c>
      <c r="AM14" s="252"/>
    </row>
    <row r="15" ht="15">
      <c r="A15" s="247" t="s">
        <v>450</v>
      </c>
      <c r="B15" s="248" t="s">
        <v>451</v>
      </c>
      <c r="C15" s="249">
        <f>'1'!C46+'1'!C49</f>
        <v>6830202</v>
      </c>
      <c r="D15" s="249">
        <f>'1'!D46+'1'!D49</f>
        <v>2071213</v>
      </c>
      <c r="E15" s="249">
        <f>'1'!E46+'1'!E49</f>
        <v>2600373</v>
      </c>
      <c r="F15" s="249">
        <f>'1'!F46+'1'!F49</f>
        <v>3016888</v>
      </c>
      <c r="G15" s="249">
        <f>'1'!G46+'1'!G49</f>
        <v>3952846</v>
      </c>
      <c r="H15" s="249">
        <f>'1'!H46+'1'!H49</f>
        <v>2002011</v>
      </c>
      <c r="I15" s="249">
        <f>'1'!I46+'1'!I49</f>
        <v>1681063</v>
      </c>
      <c r="J15" s="249">
        <f>'1'!J46+'1'!J49</f>
        <v>1440240</v>
      </c>
      <c r="K15" s="250">
        <f t="shared" si="139"/>
        <v>14.175953371085223</v>
      </c>
      <c r="L15" s="250">
        <f t="shared" si="139"/>
        <v>4.2987628930426274</v>
      </c>
      <c r="M15" s="250">
        <f t="shared" si="139"/>
        <v>5.3970243333109318</v>
      </c>
      <c r="N15" s="250">
        <f t="shared" si="139"/>
        <v>6.2614932345758669</v>
      </c>
      <c r="O15" s="250">
        <f t="shared" si="139"/>
        <v>8.2040561288056679</v>
      </c>
      <c r="P15" s="250">
        <f t="shared" si="139"/>
        <v>4.1551354680871366</v>
      </c>
      <c r="Q15" s="250">
        <f t="shared" si="139"/>
        <v>3.4890140440731674</v>
      </c>
      <c r="R15" s="250">
        <f t="shared" si="139"/>
        <v>2.989190522208828</v>
      </c>
      <c r="S15" s="250">
        <f t="shared" si="140"/>
        <v>4758989</v>
      </c>
      <c r="T15" s="251">
        <f t="shared" si="141"/>
        <v>229.76820829146979</v>
      </c>
      <c r="U15" s="252"/>
      <c r="V15" s="252">
        <f t="shared" si="142"/>
        <v>-529160</v>
      </c>
      <c r="W15" s="252">
        <f t="shared" si="143"/>
        <v>-20.349388337750007</v>
      </c>
      <c r="X15" s="253"/>
      <c r="Y15" s="252">
        <f t="shared" si="144"/>
        <v>-416515</v>
      </c>
      <c r="Z15" s="252">
        <f t="shared" si="145"/>
        <v>-13.806114114942286</v>
      </c>
      <c r="AA15" s="253"/>
      <c r="AB15" s="252">
        <f t="shared" si="146"/>
        <v>-935958</v>
      </c>
      <c r="AC15" s="252">
        <f t="shared" si="147"/>
        <v>-23.678079034700566</v>
      </c>
      <c r="AD15" s="253"/>
      <c r="AE15" s="252">
        <f t="shared" si="148"/>
        <v>1950835</v>
      </c>
      <c r="AF15" s="252">
        <f t="shared" si="149"/>
        <v>97.443770288974434</v>
      </c>
      <c r="AG15" s="253"/>
      <c r="AH15" s="252">
        <f t="shared" si="150"/>
        <v>320948</v>
      </c>
      <c r="AI15" s="252">
        <f t="shared" si="151"/>
        <v>19.09196740395809</v>
      </c>
      <c r="AJ15" s="253"/>
      <c r="AK15" s="252">
        <f t="shared" si="152"/>
        <v>240823</v>
      </c>
      <c r="AL15" s="252">
        <f t="shared" si="153"/>
        <v>16.721032605676829</v>
      </c>
      <c r="AM15" s="252"/>
    </row>
    <row r="16" ht="15">
      <c r="A16" s="254" t="s">
        <v>443</v>
      </c>
      <c r="B16" s="255"/>
      <c r="C16" s="256">
        <f t="shared" ref="C16:J16" si="154">SUM(C12:C15)</f>
        <v>48181606</v>
      </c>
      <c r="D16" s="256">
        <f t="shared" si="154"/>
        <v>48576530</v>
      </c>
      <c r="E16" s="256">
        <f t="shared" si="154"/>
        <v>51107141</v>
      </c>
      <c r="F16" s="256">
        <f t="shared" si="154"/>
        <v>58473580</v>
      </c>
      <c r="G16" s="256">
        <f t="shared" si="154"/>
        <v>50247918</v>
      </c>
      <c r="H16" s="256">
        <f t="shared" si="154"/>
        <v>46444092</v>
      </c>
      <c r="I16" s="256">
        <f t="shared" si="154"/>
        <v>33365697</v>
      </c>
      <c r="J16" s="256">
        <f t="shared" si="154"/>
        <v>29772054</v>
      </c>
      <c r="K16" s="250"/>
      <c r="L16" s="250"/>
      <c r="M16" s="250"/>
      <c r="N16" s="250"/>
      <c r="O16" s="250"/>
      <c r="P16" s="250"/>
      <c r="Q16" s="250"/>
      <c r="R16" s="250"/>
      <c r="S16" s="250">
        <f t="shared" si="140"/>
        <v>-394924</v>
      </c>
      <c r="T16" s="251">
        <f t="shared" si="141"/>
        <v>-0.81299343530713297</v>
      </c>
      <c r="U16" s="252"/>
      <c r="V16" s="252">
        <f t="shared" si="142"/>
        <v>-2530611</v>
      </c>
      <c r="W16" s="252">
        <f t="shared" si="143"/>
        <v>-4.9515800541454666</v>
      </c>
      <c r="X16" s="253"/>
      <c r="Y16" s="252">
        <f t="shared" si="144"/>
        <v>-7366439</v>
      </c>
      <c r="Z16" s="252">
        <f t="shared" si="145"/>
        <v>-12.597892928738071</v>
      </c>
      <c r="AA16" s="253"/>
      <c r="AB16" s="252">
        <f t="shared" si="146"/>
        <v>8225662</v>
      </c>
      <c r="AC16" s="252">
        <f t="shared" si="147"/>
        <v>16.37015487885488</v>
      </c>
      <c r="AD16" s="253"/>
      <c r="AE16" s="252">
        <f t="shared" si="148"/>
        <v>3803826</v>
      </c>
      <c r="AF16" s="252">
        <f t="shared" si="149"/>
        <v>8.1901181317098413</v>
      </c>
      <c r="AG16" s="253"/>
      <c r="AH16" s="252">
        <f t="shared" si="150"/>
        <v>13078395</v>
      </c>
      <c r="AI16" s="252">
        <f t="shared" si="151"/>
        <v>39.197128116340565</v>
      </c>
      <c r="AJ16" s="253"/>
      <c r="AK16" s="252">
        <f t="shared" si="152"/>
        <v>3593643</v>
      </c>
      <c r="AL16" s="252">
        <f t="shared" si="153"/>
        <v>12.070524257412673</v>
      </c>
      <c r="AM16" s="252"/>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7"/>
      <c r="DL16" s="257"/>
      <c r="DM16" s="257"/>
      <c r="DN16" s="257"/>
      <c r="DO16" s="257"/>
      <c r="DP16" s="257"/>
      <c r="DQ16" s="257"/>
      <c r="DR16" s="257"/>
      <c r="DS16" s="257"/>
      <c r="DT16" s="257"/>
      <c r="DU16" s="257"/>
      <c r="DV16" s="257"/>
      <c r="DW16" s="257"/>
      <c r="DX16" s="257"/>
      <c r="DY16" s="257"/>
      <c r="DZ16" s="257"/>
      <c r="EA16" s="257"/>
      <c r="EB16" s="257"/>
      <c r="EC16" s="257"/>
      <c r="ED16" s="257"/>
      <c r="EE16" s="257"/>
      <c r="EF16" s="257"/>
      <c r="EG16" s="257"/>
      <c r="EH16" s="257"/>
      <c r="EI16" s="257"/>
      <c r="EJ16" s="257"/>
      <c r="EK16" s="257"/>
      <c r="EL16" s="257"/>
      <c r="EM16" s="257"/>
      <c r="EN16" s="257"/>
      <c r="EO16" s="257"/>
      <c r="EP16" s="257"/>
      <c r="EQ16" s="257"/>
      <c r="ER16" s="257"/>
      <c r="ES16" s="257"/>
      <c r="ET16" s="257"/>
      <c r="EU16" s="257"/>
      <c r="EV16" s="257"/>
      <c r="EW16" s="257"/>
      <c r="EX16" s="257"/>
      <c r="EY16" s="257"/>
      <c r="EZ16" s="257"/>
      <c r="FA16" s="257"/>
      <c r="FB16" s="257"/>
      <c r="FC16" s="257"/>
      <c r="FD16" s="257"/>
      <c r="FE16" s="257"/>
      <c r="FF16" s="257"/>
      <c r="FG16" s="257"/>
      <c r="FH16" s="257"/>
      <c r="FI16" s="257"/>
      <c r="FJ16" s="257"/>
      <c r="FK16" s="257"/>
      <c r="FL16" s="257"/>
      <c r="FM16" s="257"/>
      <c r="FN16" s="257"/>
      <c r="FO16" s="257"/>
      <c r="FP16" s="257"/>
      <c r="FQ16" s="257"/>
      <c r="FR16" s="257"/>
      <c r="FS16" s="257"/>
      <c r="FT16" s="257"/>
      <c r="FU16" s="257"/>
      <c r="FV16" s="257"/>
      <c r="FW16" s="257"/>
      <c r="FX16" s="257"/>
      <c r="FY16" s="257"/>
      <c r="FZ16" s="257"/>
      <c r="GA16" s="257"/>
      <c r="GB16" s="257"/>
      <c r="GC16" s="257"/>
      <c r="GD16" s="257"/>
      <c r="GE16" s="257"/>
      <c r="GF16" s="257"/>
      <c r="GG16" s="257"/>
      <c r="GH16" s="257"/>
      <c r="GI16" s="257"/>
      <c r="GJ16" s="257"/>
      <c r="GK16" s="257"/>
      <c r="GL16" s="257"/>
      <c r="GM16" s="257"/>
      <c r="GN16" s="257"/>
      <c r="GO16" s="257"/>
      <c r="GP16" s="257"/>
      <c r="GQ16" s="257"/>
      <c r="GR16" s="257"/>
      <c r="GS16" s="257"/>
      <c r="GT16" s="257"/>
      <c r="GU16" s="257"/>
      <c r="GV16" s="257"/>
      <c r="GW16" s="257"/>
      <c r="GX16" s="257"/>
      <c r="GY16" s="257"/>
      <c r="GZ16" s="257"/>
      <c r="HA16" s="257"/>
      <c r="HB16" s="257"/>
      <c r="HC16" s="257"/>
      <c r="HD16" s="257"/>
      <c r="HE16" s="257"/>
      <c r="HF16" s="257"/>
      <c r="HG16" s="257"/>
      <c r="HH16" s="257"/>
      <c r="HI16" s="257"/>
      <c r="HJ16" s="257"/>
      <c r="HK16" s="257"/>
      <c r="HL16" s="257"/>
      <c r="HM16" s="257"/>
      <c r="HN16" s="257"/>
      <c r="HO16" s="257"/>
      <c r="HP16" s="257"/>
      <c r="HQ16" s="257"/>
      <c r="HR16" s="257"/>
      <c r="HS16" s="257"/>
      <c r="HT16" s="257"/>
      <c r="HU16" s="257"/>
      <c r="HV16" s="257"/>
      <c r="HW16" s="257"/>
      <c r="HX16" s="257"/>
      <c r="HY16" s="257"/>
      <c r="HZ16" s="257"/>
      <c r="IA16" s="257"/>
      <c r="IB16" s="257"/>
      <c r="IC16" s="257"/>
      <c r="ID16" s="257"/>
      <c r="IE16" s="257"/>
      <c r="IF16" s="257"/>
      <c r="IG16" s="257"/>
      <c r="IH16" s="257"/>
      <c r="II16" s="257"/>
      <c r="IJ16" s="257"/>
      <c r="IK16" s="257"/>
      <c r="IL16" s="257"/>
      <c r="IM16" s="257"/>
      <c r="IN16" s="257"/>
      <c r="IO16" s="257"/>
      <c r="IP16" s="257"/>
      <c r="IQ16" s="257"/>
      <c r="IR16" s="257"/>
      <c r="IS16" s="257"/>
      <c r="IT16" s="257"/>
      <c r="IU16" s="257"/>
      <c r="IV16" s="257"/>
    </row>
    <row r="17" ht="15">
      <c r="A17" s="236" t="s">
        <v>452</v>
      </c>
      <c r="C17" s="258"/>
      <c r="D17" s="258"/>
      <c r="E17" s="258"/>
      <c r="F17" s="258"/>
      <c r="G17" s="258"/>
      <c r="H17" s="259"/>
      <c r="I17" s="259"/>
      <c r="J17" s="259"/>
    </row>
    <row r="18" ht="15">
      <c r="A18" s="221" t="s">
        <v>453</v>
      </c>
      <c r="C18" s="221">
        <f>C10-C16</f>
        <v>0</v>
      </c>
      <c r="D18" s="221">
        <f>D10-D16</f>
        <v>0</v>
      </c>
      <c r="E18" s="221">
        <f>E10-E16</f>
        <v>0</v>
      </c>
      <c r="F18" s="221">
        <f>F10-F16</f>
        <v>0</v>
      </c>
    </row>
    <row r="19">
      <c r="A19" s="222"/>
    </row>
    <row r="20" ht="15">
      <c r="A20" s="222" t="s">
        <v>454</v>
      </c>
    </row>
    <row r="21" ht="15.75" customHeight="1">
      <c r="A21" s="223" t="s">
        <v>177</v>
      </c>
      <c r="B21" s="224" t="s">
        <v>420</v>
      </c>
      <c r="C21" s="225" t="s">
        <v>421</v>
      </c>
      <c r="D21" s="225"/>
      <c r="E21" s="225"/>
      <c r="F21" s="225"/>
      <c r="G21" s="225"/>
      <c r="H21" s="225"/>
      <c r="I21" s="225"/>
      <c r="J21" s="225" t="s">
        <v>422</v>
      </c>
      <c r="K21" s="225"/>
      <c r="L21" s="225"/>
      <c r="M21" s="225"/>
      <c r="N21" s="225"/>
      <c r="O21" s="225"/>
      <c r="P21" s="225"/>
      <c r="Q21" s="260" t="s">
        <v>423</v>
      </c>
      <c r="R21" s="261"/>
      <c r="S21" s="261"/>
      <c r="T21" s="261"/>
      <c r="U21" s="261"/>
      <c r="V21" s="261"/>
      <c r="W21" s="261"/>
      <c r="X21" s="261"/>
      <c r="Y21" s="261"/>
      <c r="Z21" s="261"/>
      <c r="AA21" s="261"/>
      <c r="AB21" s="261"/>
      <c r="AC21" s="261"/>
      <c r="AD21" s="261"/>
      <c r="AE21" s="261"/>
      <c r="AF21" s="261"/>
      <c r="AG21" s="261"/>
      <c r="AH21" s="262"/>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c r="HV21" s="263"/>
      <c r="HW21" s="263"/>
      <c r="HX21" s="263"/>
      <c r="HY21" s="263"/>
      <c r="HZ21" s="263"/>
      <c r="IA21" s="263"/>
      <c r="IB21" s="263"/>
      <c r="IC21" s="263"/>
      <c r="ID21" s="263"/>
      <c r="IE21" s="263"/>
      <c r="IF21" s="263"/>
      <c r="IG21" s="263"/>
      <c r="IH21" s="263"/>
      <c r="II21" s="263"/>
      <c r="IJ21" s="263"/>
      <c r="IK21" s="263"/>
      <c r="IL21" s="263"/>
      <c r="IM21" s="263"/>
      <c r="IN21" s="263"/>
      <c r="IO21" s="263"/>
      <c r="IP21" s="263"/>
      <c r="IQ21" s="263"/>
      <c r="IR21" s="263"/>
      <c r="IS21" s="263"/>
      <c r="IT21" s="263"/>
      <c r="IU21" s="263"/>
      <c r="IV21"/>
    </row>
    <row r="22" ht="15.75" customHeight="1">
      <c r="A22" s="228"/>
      <c r="B22" s="229"/>
      <c r="C22" s="225"/>
      <c r="D22" s="225"/>
      <c r="E22" s="225"/>
      <c r="F22" s="225"/>
      <c r="G22" s="225"/>
      <c r="H22" s="225"/>
      <c r="I22" s="225"/>
      <c r="J22" s="225"/>
      <c r="K22" s="225"/>
      <c r="L22" s="225"/>
      <c r="M22" s="225"/>
      <c r="N22" s="225"/>
      <c r="O22" s="225"/>
      <c r="P22" s="225"/>
      <c r="Q22" s="238" t="s">
        <v>455</v>
      </c>
      <c r="R22" s="238"/>
      <c r="S22" s="238"/>
      <c r="T22" s="238" t="s">
        <v>456</v>
      </c>
      <c r="U22" s="238"/>
      <c r="V22" s="238"/>
      <c r="W22" s="238" t="s">
        <v>457</v>
      </c>
      <c r="X22" s="238"/>
      <c r="Y22" s="238"/>
      <c r="Z22" s="238" t="s">
        <v>458</v>
      </c>
      <c r="AA22" s="238"/>
      <c r="AB22" s="238"/>
      <c r="AC22" s="238" t="s">
        <v>459</v>
      </c>
      <c r="AD22" s="238"/>
      <c r="AE22" s="238"/>
      <c r="AF22" s="238" t="s">
        <v>460</v>
      </c>
      <c r="AG22" s="238"/>
      <c r="AH22" s="238"/>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c r="HV22" s="263"/>
      <c r="HW22" s="263"/>
      <c r="HX22" s="263"/>
      <c r="HY22" s="263"/>
      <c r="HZ22" s="263"/>
      <c r="IA22" s="263"/>
      <c r="IB22" s="263"/>
      <c r="IC22" s="263"/>
      <c r="ID22" s="263"/>
      <c r="IE22" s="263"/>
      <c r="IF22" s="263"/>
      <c r="IG22" s="263"/>
      <c r="IH22" s="263"/>
      <c r="II22" s="263"/>
      <c r="IJ22" s="263"/>
      <c r="IK22" s="263"/>
      <c r="IL22" s="263"/>
      <c r="IM22" s="263"/>
      <c r="IN22" s="263"/>
      <c r="IO22" s="263"/>
      <c r="IP22" s="263"/>
      <c r="IQ22" s="263"/>
      <c r="IR22" s="263"/>
      <c r="IS22" s="263"/>
      <c r="IT22" s="263"/>
      <c r="IU22" s="263"/>
      <c r="IV22"/>
    </row>
    <row r="23" ht="34.5" customHeight="1">
      <c r="A23" s="230"/>
      <c r="B23" s="237"/>
      <c r="C23" s="264" t="str">
        <f>бс!C5</f>
        <v xml:space="preserve">2019 год</v>
      </c>
      <c r="D23" s="264" t="str">
        <f>бс!D5</f>
        <v xml:space="preserve">2018 год</v>
      </c>
      <c r="E23" s="264" t="str">
        <f>бс!E5</f>
        <v xml:space="preserve">2017 год</v>
      </c>
      <c r="F23" s="264" t="str">
        <f>бс!F5</f>
        <v xml:space="preserve">2016 год</v>
      </c>
      <c r="G23" s="264" t="str">
        <f>бс!G5</f>
        <v xml:space="preserve">2015 год</v>
      </c>
      <c r="H23" s="264" t="str">
        <f>бс!H5</f>
        <v xml:space="preserve">2014 год</v>
      </c>
      <c r="I23" s="264" t="str">
        <f>бс!I5</f>
        <v xml:space="preserve">2013 год</v>
      </c>
      <c r="J23" s="225" t="str">
        <f t="shared" ref="J23:P23" si="155">C23</f>
        <v xml:space="preserve">2019 год</v>
      </c>
      <c r="K23" s="225" t="str">
        <f t="shared" si="155"/>
        <v xml:space="preserve">2018 год</v>
      </c>
      <c r="L23" s="225" t="str">
        <f t="shared" si="155"/>
        <v xml:space="preserve">2017 год</v>
      </c>
      <c r="M23" s="225" t="str">
        <f t="shared" si="155"/>
        <v xml:space="preserve">2016 год</v>
      </c>
      <c r="N23" s="225" t="str">
        <f t="shared" si="155"/>
        <v xml:space="preserve">2015 год</v>
      </c>
      <c r="O23" s="225" t="str">
        <f t="shared" si="155"/>
        <v xml:space="preserve">2014 год</v>
      </c>
      <c r="P23" s="225" t="str">
        <f t="shared" si="155"/>
        <v xml:space="preserve">2013 год</v>
      </c>
      <c r="Q23" s="223" t="str">
        <f t="shared" ref="Q23:AH23" si="156">S4</f>
        <v xml:space="preserve">в тыс. руб.</v>
      </c>
      <c r="R23" s="223" t="str">
        <f t="shared" si="156"/>
        <v xml:space="preserve">темп прироста, %</v>
      </c>
      <c r="S23" s="223" t="str">
        <f t="shared" si="156"/>
        <v xml:space="preserve">в структуре, %</v>
      </c>
      <c r="T23" s="223" t="str">
        <f t="shared" si="156"/>
        <v xml:space="preserve">в тыс. руб.</v>
      </c>
      <c r="U23" s="223" t="str">
        <f t="shared" si="156"/>
        <v xml:space="preserve">темп прироста, %</v>
      </c>
      <c r="V23" s="223" t="str">
        <f t="shared" si="156"/>
        <v xml:space="preserve">в структуре, %</v>
      </c>
      <c r="W23" s="223" t="str">
        <f t="shared" si="156"/>
        <v xml:space="preserve">в тыс. руб.</v>
      </c>
      <c r="X23" s="223" t="str">
        <f t="shared" si="156"/>
        <v xml:space="preserve">темп прироста, %</v>
      </c>
      <c r="Y23" s="223" t="str">
        <f t="shared" si="156"/>
        <v xml:space="preserve">в структуре, %</v>
      </c>
      <c r="Z23" s="223" t="str">
        <f t="shared" si="156"/>
        <v xml:space="preserve">в тыс. руб.</v>
      </c>
      <c r="AA23" s="223" t="str">
        <f t="shared" si="156"/>
        <v xml:space="preserve">темп прироста, %</v>
      </c>
      <c r="AB23" s="223" t="str">
        <f t="shared" si="156"/>
        <v xml:space="preserve">в структуре, %</v>
      </c>
      <c r="AC23" s="223" t="str">
        <f t="shared" si="156"/>
        <v xml:space="preserve">в тыс. руб.</v>
      </c>
      <c r="AD23" s="223" t="str">
        <f t="shared" si="156"/>
        <v xml:space="preserve">темп прироста, %</v>
      </c>
      <c r="AE23" s="223" t="str">
        <f t="shared" si="156"/>
        <v xml:space="preserve">в структуре, %</v>
      </c>
      <c r="AF23" s="223" t="str">
        <f t="shared" si="156"/>
        <v xml:space="preserve">в тыс. руб.</v>
      </c>
      <c r="AG23" s="223" t="str">
        <f t="shared" si="156"/>
        <v xml:space="preserve">темп прироста, %</v>
      </c>
      <c r="AH23" s="223" t="str">
        <f t="shared" si="156"/>
        <v xml:space="preserve">в структуре, %</v>
      </c>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c r="HV23" s="263"/>
      <c r="HW23" s="263"/>
      <c r="HX23" s="263"/>
      <c r="HY23" s="263"/>
      <c r="HZ23" s="263"/>
      <c r="IA23" s="263"/>
      <c r="IB23" s="263"/>
      <c r="IC23" s="263"/>
      <c r="ID23" s="263"/>
      <c r="IE23" s="263"/>
      <c r="IF23" s="263"/>
      <c r="IG23" s="263"/>
      <c r="IH23" s="263"/>
      <c r="II23" s="263"/>
      <c r="IJ23" s="263"/>
      <c r="IK23" s="263"/>
      <c r="IL23" s="263"/>
      <c r="IM23" s="263"/>
      <c r="IN23" s="263"/>
      <c r="IO23" s="263"/>
      <c r="IP23" s="263"/>
      <c r="IQ23" s="263"/>
      <c r="IR23" s="263"/>
      <c r="IS23" s="263"/>
      <c r="IT23" s="263"/>
      <c r="IU23" s="263"/>
      <c r="IV23"/>
    </row>
    <row r="24" ht="15.75" customHeight="1">
      <c r="A24" s="241" t="s">
        <v>6</v>
      </c>
      <c r="B24" s="242"/>
      <c r="C24" s="242"/>
      <c r="D24" s="242"/>
      <c r="E24" s="243"/>
      <c r="F24" s="244"/>
      <c r="G24" s="244"/>
      <c r="H24" s="244"/>
      <c r="I24" s="244"/>
      <c r="J24" s="244"/>
      <c r="K24" s="244"/>
      <c r="L24" s="244"/>
      <c r="M24" s="244"/>
      <c r="N24" s="244"/>
      <c r="O24" s="244"/>
      <c r="P24" s="245"/>
      <c r="Q24" s="246"/>
      <c r="R24" s="246"/>
      <c r="S24" s="246"/>
      <c r="T24" s="246"/>
      <c r="U24" s="246"/>
      <c r="V24" s="246"/>
      <c r="W24" s="246"/>
      <c r="X24" s="246"/>
      <c r="Y24" s="246"/>
      <c r="Z24" s="246"/>
      <c r="AA24" s="246"/>
      <c r="AB24" s="246"/>
      <c r="AC24" s="246"/>
      <c r="AD24" s="246"/>
      <c r="AE24" s="246"/>
      <c r="AF24" s="246"/>
      <c r="AG24" s="246"/>
      <c r="AH24" s="246"/>
      <c r="IV24"/>
    </row>
    <row r="25" ht="15.75" customHeight="1">
      <c r="A25" s="247" t="str">
        <f t="shared" ref="A25:A28" si="157">A6</f>
        <v xml:space="preserve">Труднореализуемые активы</v>
      </c>
      <c r="B25" s="249" t="s">
        <v>436</v>
      </c>
      <c r="C25" s="249">
        <f t="shared" ref="C25:C28" si="158">AVERAGE(C6,D6)</f>
        <v>17062074</v>
      </c>
      <c r="D25" s="249">
        <f t="shared" ref="D25:D28" si="159">AVERAGE(D6,E6)</f>
        <v>16893367</v>
      </c>
      <c r="E25" s="249">
        <f t="shared" ref="E25:E28" si="160">AVERAGE(E6,F6)</f>
        <v>14194149.5</v>
      </c>
      <c r="F25" s="249">
        <f t="shared" ref="F25:F28" si="161">AVERAGE(F6,G6)</f>
        <v>9906137.5</v>
      </c>
      <c r="G25" s="249">
        <f t="shared" ref="G25:G28" si="162">AVERAGE(G6,H6)</f>
        <v>11120926</v>
      </c>
      <c r="H25" s="249">
        <f t="shared" ref="H25:H28" si="163">AVERAGE(H6,I6)</f>
        <v>14701906.5</v>
      </c>
      <c r="I25" s="249">
        <f t="shared" ref="I25:I28" si="164">AVERAGE(I6,J6)</f>
        <v>19711089.5</v>
      </c>
      <c r="J25" s="265">
        <f t="shared" ref="J25:J28" si="165">C25/C$29*100</f>
        <v>35.267471461004583</v>
      </c>
      <c r="K25" s="265">
        <f t="shared" ref="K25:K28" si="166">D25/D$29*100</f>
        <v>33.893950394342923</v>
      </c>
      <c r="L25" s="265">
        <f t="shared" ref="L25:L28" si="167">E25/E$29*100</f>
        <v>25.90628966567942</v>
      </c>
      <c r="M25" s="265">
        <f t="shared" ref="M25:M28" si="168">F25/F$29*100</f>
        <v>18.222959915434572</v>
      </c>
      <c r="N25" s="265">
        <f t="shared" ref="N25:N28" si="169">G25/G$29*100</f>
        <v>23.002781718985883</v>
      </c>
      <c r="O25" s="265">
        <f t="shared" ref="O25:O28" si="170">H25/H$29*100</f>
        <v>36.842364036321406</v>
      </c>
      <c r="P25" s="266">
        <f t="shared" ref="P25:P28" si="171">I25/I$29*100</f>
        <v>62.438364331349085</v>
      </c>
      <c r="Q25" s="267">
        <f t="shared" ref="Q25:Q35" si="172">C25-D25</f>
        <v>168707</v>
      </c>
      <c r="R25" s="267">
        <f t="shared" ref="R25:R35" si="173">Q25/D25*100</f>
        <v>0.99865823077187632</v>
      </c>
      <c r="S25" s="253"/>
      <c r="T25" s="267">
        <f t="shared" ref="T25:T35" si="174">D25-E25</f>
        <v>2699217.5</v>
      </c>
      <c r="U25" s="267">
        <f t="shared" ref="U25:U35" si="175">T25/E25*100</f>
        <v>19.016408838021608</v>
      </c>
      <c r="V25" s="253"/>
      <c r="W25" s="267">
        <f t="shared" ref="W25:W35" si="176">E25-F25</f>
        <v>4288012</v>
      </c>
      <c r="X25" s="267">
        <f t="shared" ref="X25:X35" si="177">W25/F25*100</f>
        <v>43.286417132812865</v>
      </c>
      <c r="Y25" s="253"/>
      <c r="Z25" s="252">
        <f t="shared" ref="Z25:Z35" si="178">F25-G25</f>
        <v>-1214788.5</v>
      </c>
      <c r="AA25" s="252">
        <f t="shared" ref="AA25:AA35" si="179">Z25/G25*100</f>
        <v>-10.923447381989593</v>
      </c>
      <c r="AB25" s="253"/>
      <c r="AC25" s="252">
        <f t="shared" ref="AC25:AC35" si="180">G25-H25</f>
        <v>-3580980.5</v>
      </c>
      <c r="AD25" s="252">
        <f t="shared" ref="AD25:AD35" si="181">AC25/H25*100</f>
        <v>-24.35725257809251</v>
      </c>
      <c r="AE25" s="253"/>
      <c r="AF25" s="252">
        <f t="shared" ref="AF25:AF35" si="182">H25-I25</f>
        <v>-5009183</v>
      </c>
      <c r="AG25" s="252">
        <f t="shared" ref="AG25:AG35" si="183">AF25/I25*100</f>
        <v>-25.413019407171785</v>
      </c>
      <c r="AH25" s="252"/>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IV25"/>
    </row>
    <row r="26" ht="15.75" customHeight="1">
      <c r="A26" s="247" t="str">
        <f t="shared" si="157"/>
        <v xml:space="preserve">Медленно реализуемые активы</v>
      </c>
      <c r="B26" s="249" t="s">
        <v>438</v>
      </c>
      <c r="C26" s="249">
        <f t="shared" si="158"/>
        <v>2931475</v>
      </c>
      <c r="D26" s="249">
        <f t="shared" si="159"/>
        <v>2807168.5</v>
      </c>
      <c r="E26" s="249">
        <f t="shared" si="160"/>
        <v>2756822</v>
      </c>
      <c r="F26" s="249">
        <f t="shared" si="161"/>
        <v>2387108</v>
      </c>
      <c r="G26" s="249">
        <f t="shared" si="162"/>
        <v>2142335.5</v>
      </c>
      <c r="H26" s="249">
        <f t="shared" si="163"/>
        <v>1791297.5</v>
      </c>
      <c r="I26" s="249">
        <f t="shared" si="164"/>
        <v>1778496.5</v>
      </c>
      <c r="J26" s="265">
        <f t="shared" si="165"/>
        <v>6.0593870886475116</v>
      </c>
      <c r="K26" s="265">
        <f t="shared" si="166"/>
        <v>5.6321531336862591</v>
      </c>
      <c r="L26" s="265">
        <f t="shared" si="167"/>
        <v>5.0315821521196238</v>
      </c>
      <c r="M26" s="265">
        <f t="shared" si="168"/>
        <v>4.3912345652191069</v>
      </c>
      <c r="N26" s="265">
        <f t="shared" si="169"/>
        <v>4.4312565226433911</v>
      </c>
      <c r="O26" s="265">
        <f t="shared" si="170"/>
        <v>4.4889167668392158</v>
      </c>
      <c r="P26" s="266">
        <f t="shared" si="171"/>
        <v>5.6337024104643829</v>
      </c>
      <c r="Q26" s="267">
        <f t="shared" si="172"/>
        <v>124306.5</v>
      </c>
      <c r="R26" s="267">
        <f t="shared" si="173"/>
        <v>4.4281809232327873</v>
      </c>
      <c r="S26" s="253"/>
      <c r="T26" s="267">
        <f t="shared" si="174"/>
        <v>50346.5</v>
      </c>
      <c r="U26" s="267">
        <f t="shared" si="175"/>
        <v>1.8262513865603218</v>
      </c>
      <c r="V26" s="253"/>
      <c r="W26" s="267">
        <f t="shared" si="176"/>
        <v>369714</v>
      </c>
      <c r="X26" s="267">
        <f t="shared" si="177"/>
        <v>15.487946083713011</v>
      </c>
      <c r="Y26" s="253"/>
      <c r="Z26" s="252">
        <f t="shared" si="178"/>
        <v>244772.5</v>
      </c>
      <c r="AA26" s="252">
        <f t="shared" si="179"/>
        <v>11.425498013733144</v>
      </c>
      <c r="AB26" s="253"/>
      <c r="AC26" s="252">
        <f t="shared" si="180"/>
        <v>351038</v>
      </c>
      <c r="AD26" s="252">
        <f t="shared" si="181"/>
        <v>19.596856468565381</v>
      </c>
      <c r="AE26" s="253"/>
      <c r="AF26" s="252">
        <f t="shared" si="182"/>
        <v>12801</v>
      </c>
      <c r="AG26" s="252">
        <f t="shared" si="183"/>
        <v>0.71976526240001037</v>
      </c>
      <c r="AH26" s="252"/>
      <c r="IV26"/>
    </row>
    <row r="27" ht="15.75" customHeight="1">
      <c r="A27" s="247" t="str">
        <f t="shared" si="157"/>
        <v xml:space="preserve">Быстрореализуемые активы</v>
      </c>
      <c r="B27" s="249" t="s">
        <v>440</v>
      </c>
      <c r="C27" s="249">
        <f t="shared" si="158"/>
        <v>3372233</v>
      </c>
      <c r="D27" s="249">
        <f t="shared" si="159"/>
        <v>3303178</v>
      </c>
      <c r="E27" s="249">
        <f t="shared" si="160"/>
        <v>3592015</v>
      </c>
      <c r="F27" s="249">
        <f t="shared" si="161"/>
        <v>4705685</v>
      </c>
      <c r="G27" s="249">
        <f t="shared" si="162"/>
        <v>5448259.5</v>
      </c>
      <c r="H27" s="249">
        <f t="shared" si="163"/>
        <v>4045986.5</v>
      </c>
      <c r="I27" s="249">
        <f t="shared" si="164"/>
        <v>2339066</v>
      </c>
      <c r="J27" s="265">
        <f t="shared" si="165"/>
        <v>6.9704381241904034</v>
      </c>
      <c r="K27" s="265">
        <f t="shared" si="166"/>
        <v>6.6273201355114626</v>
      </c>
      <c r="L27" s="265">
        <f t="shared" si="167"/>
        <v>6.555925106570526</v>
      </c>
      <c r="M27" s="265">
        <f t="shared" si="168"/>
        <v>8.6564020668662973</v>
      </c>
      <c r="N27" s="265">
        <f t="shared" si="169"/>
        <v>11.269306533187178</v>
      </c>
      <c r="O27" s="265">
        <f t="shared" si="170"/>
        <v>10.139073290871625</v>
      </c>
      <c r="P27" s="266">
        <f t="shared" si="171"/>
        <v>7.4094055076494563</v>
      </c>
      <c r="Q27" s="267">
        <f t="shared" si="172"/>
        <v>69055</v>
      </c>
      <c r="R27" s="267">
        <f t="shared" si="173"/>
        <v>2.0905624825546791</v>
      </c>
      <c r="S27" s="253"/>
      <c r="T27" s="267">
        <f t="shared" si="174"/>
        <v>-288837</v>
      </c>
      <c r="U27" s="267">
        <f t="shared" si="175"/>
        <v>-8.0410855745312873</v>
      </c>
      <c r="V27" s="253"/>
      <c r="W27" s="267">
        <f t="shared" si="176"/>
        <v>-1113670</v>
      </c>
      <c r="X27" s="267">
        <f t="shared" si="177"/>
        <v>-23.666480013005543</v>
      </c>
      <c r="Y27" s="253"/>
      <c r="Z27" s="252">
        <f t="shared" si="178"/>
        <v>-742574.5</v>
      </c>
      <c r="AA27" s="252">
        <f t="shared" si="179"/>
        <v>-13.629572893875558</v>
      </c>
      <c r="AB27" s="253"/>
      <c r="AC27" s="252">
        <f t="shared" si="180"/>
        <v>1402273</v>
      </c>
      <c r="AD27" s="252">
        <f t="shared" si="181"/>
        <v>34.658370708849375</v>
      </c>
      <c r="AE27" s="253"/>
      <c r="AF27" s="252">
        <f t="shared" si="182"/>
        <v>1706920.5</v>
      </c>
      <c r="AG27" s="252">
        <f t="shared" si="183"/>
        <v>72.974447920665781</v>
      </c>
      <c r="AH27" s="252"/>
      <c r="IV27"/>
    </row>
    <row r="28" ht="15.75" customHeight="1">
      <c r="A28" s="247" t="str">
        <f t="shared" si="157"/>
        <v xml:space="preserve">Наиболее ликвидные активы</v>
      </c>
      <c r="B28" s="249" t="s">
        <v>442</v>
      </c>
      <c r="C28" s="249">
        <f t="shared" si="158"/>
        <v>25013286</v>
      </c>
      <c r="D28" s="249">
        <f t="shared" si="159"/>
        <v>26838122</v>
      </c>
      <c r="E28" s="249">
        <f t="shared" si="160"/>
        <v>34247374</v>
      </c>
      <c r="F28" s="249">
        <f t="shared" si="161"/>
        <v>37361818.5</v>
      </c>
      <c r="G28" s="249">
        <f t="shared" si="162"/>
        <v>29634484</v>
      </c>
      <c r="H28" s="249">
        <f t="shared" si="163"/>
        <v>19365704</v>
      </c>
      <c r="I28" s="249">
        <f t="shared" si="164"/>
        <v>7740223.5</v>
      </c>
      <c r="J28" s="265">
        <f t="shared" si="165"/>
        <v>51.702703326157504</v>
      </c>
      <c r="K28" s="265">
        <f t="shared" si="166"/>
        <v>53.846576336459364</v>
      </c>
      <c r="L28" s="265">
        <f t="shared" si="167"/>
        <v>62.506203075630431</v>
      </c>
      <c r="M28" s="265">
        <f t="shared" si="168"/>
        <v>68.729403452480014</v>
      </c>
      <c r="N28" s="265">
        <f t="shared" si="169"/>
        <v>61.296655225183549</v>
      </c>
      <c r="O28" s="265">
        <f t="shared" si="170"/>
        <v>48.529645905967747</v>
      </c>
      <c r="P28" s="266">
        <f t="shared" si="171"/>
        <v>24.518527750537075</v>
      </c>
      <c r="Q28" s="267">
        <f t="shared" si="172"/>
        <v>-1824836</v>
      </c>
      <c r="R28" s="267">
        <f t="shared" si="173"/>
        <v>-6.7994176343635377</v>
      </c>
      <c r="S28" s="253"/>
      <c r="T28" s="267">
        <f t="shared" si="174"/>
        <v>-7409252</v>
      </c>
      <c r="U28" s="267">
        <f t="shared" si="175"/>
        <v>-21.634511305888736</v>
      </c>
      <c r="V28" s="253"/>
      <c r="W28" s="267">
        <f t="shared" si="176"/>
        <v>-3114444.5</v>
      </c>
      <c r="X28" s="267">
        <f t="shared" si="177"/>
        <v>-8.3359017977136194</v>
      </c>
      <c r="Y28" s="253"/>
      <c r="Z28" s="252">
        <f t="shared" si="178"/>
        <v>7727334.5</v>
      </c>
      <c r="AA28" s="252">
        <f t="shared" si="179"/>
        <v>26.075481860929315</v>
      </c>
      <c r="AB28" s="253"/>
      <c r="AC28" s="252">
        <f t="shared" si="180"/>
        <v>10268780</v>
      </c>
      <c r="AD28" s="252">
        <f t="shared" si="181"/>
        <v>53.025596177655096</v>
      </c>
      <c r="AE28" s="253"/>
      <c r="AF28" s="252">
        <f t="shared" si="182"/>
        <v>11625480.5</v>
      </c>
      <c r="AG28" s="252">
        <f t="shared" si="183"/>
        <v>150.19566941445555</v>
      </c>
      <c r="AH28" s="252"/>
      <c r="IV28"/>
    </row>
    <row r="29" s="257" customFormat="1" ht="15.75" customHeight="1">
      <c r="A29" s="254" t="s">
        <v>443</v>
      </c>
      <c r="B29" s="255"/>
      <c r="C29" s="269">
        <f t="shared" ref="C29:P29" si="184">SUM(C25:C28)</f>
        <v>48379068</v>
      </c>
      <c r="D29" s="269">
        <f t="shared" si="184"/>
        <v>49841835.5</v>
      </c>
      <c r="E29" s="269">
        <f t="shared" si="184"/>
        <v>54790360.5</v>
      </c>
      <c r="F29" s="269">
        <f t="shared" si="184"/>
        <v>54360749</v>
      </c>
      <c r="G29" s="269">
        <f t="shared" si="184"/>
        <v>48346005</v>
      </c>
      <c r="H29" s="269">
        <f t="shared" si="184"/>
        <v>39904894.5</v>
      </c>
      <c r="I29" s="269">
        <f t="shared" si="184"/>
        <v>31568875.5</v>
      </c>
      <c r="J29" s="270">
        <f>SUM(J25:J28)</f>
        <v>100</v>
      </c>
      <c r="K29" s="270">
        <f t="shared" si="184"/>
        <v>100</v>
      </c>
      <c r="L29" s="270">
        <f t="shared" si="184"/>
        <v>100</v>
      </c>
      <c r="M29" s="270">
        <f t="shared" si="184"/>
        <v>100</v>
      </c>
      <c r="N29" s="270">
        <f t="shared" si="184"/>
        <v>100</v>
      </c>
      <c r="O29" s="270">
        <f t="shared" si="184"/>
        <v>100</v>
      </c>
      <c r="P29" s="271">
        <f t="shared" si="184"/>
        <v>100</v>
      </c>
      <c r="Q29" s="267">
        <f t="shared" si="172"/>
        <v>-1462767.5</v>
      </c>
      <c r="R29" s="267">
        <f t="shared" si="173"/>
        <v>-2.9348186825904516</v>
      </c>
      <c r="S29" s="272"/>
      <c r="T29" s="267">
        <f t="shared" si="174"/>
        <v>-4948525</v>
      </c>
      <c r="U29" s="267">
        <f t="shared" si="175"/>
        <v>-9.0317438228938105</v>
      </c>
      <c r="V29" s="272"/>
      <c r="W29" s="267">
        <f t="shared" si="176"/>
        <v>429611.5</v>
      </c>
      <c r="X29" s="267">
        <f t="shared" si="177"/>
        <v>0.7902972418573555</v>
      </c>
      <c r="Y29" s="272"/>
      <c r="Z29" s="252">
        <f t="shared" si="178"/>
        <v>6014744</v>
      </c>
      <c r="AA29" s="252">
        <f t="shared" si="179"/>
        <v>12.441036234534787</v>
      </c>
      <c r="AB29" s="272"/>
      <c r="AC29" s="252">
        <f t="shared" si="180"/>
        <v>8441110.5</v>
      </c>
      <c r="AD29" s="252">
        <f t="shared" si="181"/>
        <v>21.153070583860334</v>
      </c>
      <c r="AE29" s="272"/>
      <c r="AF29" s="252">
        <f t="shared" si="182"/>
        <v>8336019</v>
      </c>
      <c r="AG29" s="252">
        <f t="shared" si="183"/>
        <v>26.405815436789947</v>
      </c>
      <c r="AH29" s="252"/>
      <c r="IV29" s="273"/>
    </row>
    <row r="30" ht="15.75" customHeight="1">
      <c r="A30" s="241" t="s">
        <v>36</v>
      </c>
      <c r="B30" s="248"/>
      <c r="C30" s="248"/>
      <c r="D30" s="248"/>
      <c r="E30" s="248"/>
      <c r="F30" s="248"/>
      <c r="G30" s="248"/>
      <c r="H30" s="248"/>
      <c r="I30" s="248"/>
      <c r="J30" s="265"/>
      <c r="K30" s="265"/>
      <c r="L30" s="265"/>
      <c r="M30" s="265"/>
      <c r="N30" s="265"/>
      <c r="O30" s="265"/>
      <c r="P30" s="266"/>
      <c r="Q30" s="267"/>
      <c r="R30" s="267"/>
      <c r="S30" s="253"/>
      <c r="T30" s="267"/>
      <c r="U30" s="267"/>
      <c r="V30" s="253"/>
      <c r="W30" s="267"/>
      <c r="X30" s="267"/>
      <c r="Y30" s="253"/>
      <c r="Z30" s="252"/>
      <c r="AA30" s="252"/>
      <c r="AB30" s="253"/>
      <c r="AC30" s="252"/>
      <c r="AD30" s="252"/>
      <c r="AE30" s="253"/>
      <c r="AF30" s="252"/>
      <c r="AG30" s="252"/>
      <c r="AH30" s="252"/>
      <c r="IV30"/>
    </row>
    <row r="31" ht="15.75" customHeight="1">
      <c r="A31" s="247" t="str">
        <f t="shared" ref="A31:A34" si="185">A12</f>
        <v xml:space="preserve">Бессрочные пассивы</v>
      </c>
      <c r="B31" s="249" t="s">
        <v>445</v>
      </c>
      <c r="C31" s="249">
        <f t="shared" ref="C31:C34" si="186">AVERAGE(C12,D12)</f>
        <v>43081363</v>
      </c>
      <c r="D31" s="249">
        <f t="shared" ref="D31:D34" si="187">AVERAGE(D12,E12)</f>
        <v>46386334</v>
      </c>
      <c r="E31" s="249">
        <f t="shared" ref="E31:E34" si="188">AVERAGE(E12,F12)</f>
        <v>44142194</v>
      </c>
      <c r="F31" s="249">
        <f t="shared" ref="F31:F34" si="189">AVERAGE(F12,G12)</f>
        <v>38083303</v>
      </c>
      <c r="G31" s="249">
        <f t="shared" ref="G31:G34" si="190">AVERAGE(G12,H12)</f>
        <v>30523166</v>
      </c>
      <c r="H31" s="249">
        <f t="shared" ref="H31:H34" si="191">AVERAGE(H12,I12)</f>
        <v>26020781</v>
      </c>
      <c r="I31" s="249">
        <f t="shared" ref="I31:I34" si="192">AVERAGE(I12,J12)</f>
        <v>23984206.5</v>
      </c>
      <c r="J31" s="265">
        <f t="shared" ref="J31:J34" si="193">C31/C$35*100</f>
        <v>89.049592687482118</v>
      </c>
      <c r="K31" s="265">
        <f t="shared" ref="K31:P34" si="194">D31/D$35*100</f>
        <v>93.067066119585434</v>
      </c>
      <c r="L31" s="265">
        <f t="shared" si="194"/>
        <v>80.565620662415611</v>
      </c>
      <c r="M31" s="265">
        <f t="shared" si="194"/>
        <v>70.056619344961575</v>
      </c>
      <c r="N31" s="265">
        <f t="shared" si="194"/>
        <v>63.134825721380707</v>
      </c>
      <c r="O31" s="265">
        <f t="shared" si="194"/>
        <v>65.206991087271263</v>
      </c>
      <c r="P31" s="265">
        <f t="shared" si="194"/>
        <v>75.974218657234076</v>
      </c>
      <c r="Q31" s="267">
        <f t="shared" si="172"/>
        <v>-3304971</v>
      </c>
      <c r="R31" s="267">
        <f t="shared" si="173"/>
        <v>-7.1248807892427974</v>
      </c>
      <c r="S31" s="253"/>
      <c r="T31" s="267">
        <f t="shared" si="174"/>
        <v>2244140</v>
      </c>
      <c r="U31" s="267">
        <f t="shared" si="175"/>
        <v>5.0838886712336953</v>
      </c>
      <c r="V31" s="253"/>
      <c r="W31" s="267">
        <f t="shared" si="176"/>
        <v>6058891</v>
      </c>
      <c r="X31" s="267">
        <f t="shared" si="177"/>
        <v>15.909573284649181</v>
      </c>
      <c r="Y31" s="253"/>
      <c r="Z31" s="252">
        <f t="shared" si="178"/>
        <v>7560137</v>
      </c>
      <c r="AA31" s="252">
        <f t="shared" si="179"/>
        <v>24.76852171888067</v>
      </c>
      <c r="AB31" s="253"/>
      <c r="AC31" s="252">
        <f t="shared" si="180"/>
        <v>4502385</v>
      </c>
      <c r="AD31" s="252">
        <f t="shared" si="181"/>
        <v>17.30303560066087</v>
      </c>
      <c r="AE31" s="253"/>
      <c r="AF31" s="252">
        <f t="shared" si="182"/>
        <v>2036574.5</v>
      </c>
      <c r="AG31" s="252">
        <f t="shared" si="183"/>
        <v>8.4913148992442178</v>
      </c>
      <c r="AH31" s="252"/>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IV31"/>
    </row>
    <row r="32" ht="15.75" customHeight="1">
      <c r="A32" s="247" t="str">
        <f t="shared" si="185"/>
        <v xml:space="preserve">Долгосрочные пассивы</v>
      </c>
      <c r="B32" s="249" t="s">
        <v>447</v>
      </c>
      <c r="C32" s="249">
        <f t="shared" si="186"/>
        <v>613551</v>
      </c>
      <c r="D32" s="249">
        <f t="shared" si="187"/>
        <v>485837.5</v>
      </c>
      <c r="E32" s="249">
        <f t="shared" si="188"/>
        <v>1840568.5</v>
      </c>
      <c r="F32" s="249">
        <f t="shared" si="189"/>
        <v>7234583</v>
      </c>
      <c r="G32" s="249">
        <f t="shared" si="190"/>
        <v>9919025</v>
      </c>
      <c r="H32" s="249">
        <f t="shared" si="191"/>
        <v>6832018</v>
      </c>
      <c r="I32" s="249">
        <f t="shared" si="192"/>
        <v>5300913.5</v>
      </c>
      <c r="J32" s="265">
        <f t="shared" si="193"/>
        <v>1.2682158325166579</v>
      </c>
      <c r="K32" s="265">
        <f t="shared" si="194"/>
        <v>0.97475844363717301</v>
      </c>
      <c r="L32" s="265">
        <f t="shared" si="194"/>
        <v>3.3592925529299995</v>
      </c>
      <c r="M32" s="265">
        <f t="shared" si="194"/>
        <v>13.308468211135208</v>
      </c>
      <c r="N32" s="265">
        <f t="shared" si="194"/>
        <v>20.516741765943223</v>
      </c>
      <c r="O32" s="265">
        <f t="shared" si="194"/>
        <v>17.120751941845128</v>
      </c>
      <c r="P32" s="265">
        <f t="shared" si="194"/>
        <v>16.791581632358113</v>
      </c>
      <c r="Q32" s="267">
        <f t="shared" si="172"/>
        <v>127713.5</v>
      </c>
      <c r="R32" s="267">
        <f t="shared" si="173"/>
        <v>26.287287416059897</v>
      </c>
      <c r="S32" s="253"/>
      <c r="T32" s="267">
        <f t="shared" si="174"/>
        <v>-1354731</v>
      </c>
      <c r="U32" s="267">
        <f t="shared" si="175"/>
        <v>-73.60394356417595</v>
      </c>
      <c r="V32" s="253"/>
      <c r="W32" s="267">
        <f t="shared" si="176"/>
        <v>-5394014.5</v>
      </c>
      <c r="X32" s="267">
        <f t="shared" si="177"/>
        <v>-74.558747891896459</v>
      </c>
      <c r="Y32" s="253"/>
      <c r="Z32" s="252">
        <f t="shared" si="178"/>
        <v>-2684442</v>
      </c>
      <c r="AA32" s="252">
        <f t="shared" si="179"/>
        <v>-27.063567235691011</v>
      </c>
      <c r="AB32" s="253"/>
      <c r="AC32" s="252">
        <f t="shared" si="180"/>
        <v>3087007</v>
      </c>
      <c r="AD32" s="252">
        <f t="shared" si="181"/>
        <v>45.184409642948829</v>
      </c>
      <c r="AE32" s="253"/>
      <c r="AF32" s="252">
        <f t="shared" si="182"/>
        <v>1531104.5</v>
      </c>
      <c r="AG32" s="252">
        <f t="shared" si="183"/>
        <v>28.883785785223619</v>
      </c>
      <c r="AH32" s="252"/>
      <c r="IV32"/>
    </row>
    <row r="33" ht="15.75" customHeight="1">
      <c r="A33" s="247" t="str">
        <f t="shared" si="185"/>
        <v xml:space="preserve">Краткосрочные пассивы</v>
      </c>
      <c r="B33" s="249" t="s">
        <v>449</v>
      </c>
      <c r="C33" s="249">
        <f t="shared" si="186"/>
        <v>233446.5</v>
      </c>
      <c r="D33" s="249">
        <f t="shared" si="187"/>
        <v>633871</v>
      </c>
      <c r="E33" s="249">
        <f t="shared" si="188"/>
        <v>5998967.5</v>
      </c>
      <c r="F33" s="249">
        <f t="shared" si="189"/>
        <v>5557996</v>
      </c>
      <c r="G33" s="249">
        <f t="shared" si="190"/>
        <v>4926385.5</v>
      </c>
      <c r="H33" s="249">
        <f t="shared" si="191"/>
        <v>5210558.5</v>
      </c>
      <c r="I33" s="249">
        <f t="shared" si="192"/>
        <v>723104</v>
      </c>
      <c r="J33" s="265">
        <f t="shared" si="193"/>
        <v>0.48253616626099533</v>
      </c>
      <c r="K33" s="265">
        <f t="shared" si="194"/>
        <v>1.2717649613846986</v>
      </c>
      <c r="L33" s="265">
        <f t="shared" si="194"/>
        <v>10.9489469411321</v>
      </c>
      <c r="M33" s="265">
        <f t="shared" si="194"/>
        <v>10.22428149398751</v>
      </c>
      <c r="N33" s="265">
        <f t="shared" si="194"/>
        <v>10.189850226507858</v>
      </c>
      <c r="O33" s="265">
        <f t="shared" si="194"/>
        <v>13.057442114024385</v>
      </c>
      <c r="P33" s="265">
        <f t="shared" si="194"/>
        <v>2.2905598902311235</v>
      </c>
      <c r="Q33" s="267">
        <f t="shared" si="172"/>
        <v>-400424.5</v>
      </c>
      <c r="R33" s="267">
        <f t="shared" si="173"/>
        <v>-63.171291950570385</v>
      </c>
      <c r="S33" s="253"/>
      <c r="T33" s="267">
        <f t="shared" si="174"/>
        <v>-5365096.5</v>
      </c>
      <c r="U33" s="267">
        <f t="shared" si="175"/>
        <v>-89.433665043192846</v>
      </c>
      <c r="V33" s="253"/>
      <c r="W33" s="267">
        <f t="shared" si="176"/>
        <v>440971.5</v>
      </c>
      <c r="X33" s="267">
        <f t="shared" si="177"/>
        <v>7.9340017517105084</v>
      </c>
      <c r="Y33" s="253"/>
      <c r="Z33" s="252">
        <f t="shared" si="178"/>
        <v>631610.5</v>
      </c>
      <c r="AA33" s="252">
        <f t="shared" si="179"/>
        <v>12.820971886995039</v>
      </c>
      <c r="AB33" s="253"/>
      <c r="AC33" s="252">
        <f t="shared" si="180"/>
        <v>-284173</v>
      </c>
      <c r="AD33" s="252">
        <f t="shared" si="181"/>
        <v>-5.4537915657217928</v>
      </c>
      <c r="AE33" s="253"/>
      <c r="AF33" s="252">
        <f t="shared" si="182"/>
        <v>4487454.5</v>
      </c>
      <c r="AG33" s="252">
        <f t="shared" si="183"/>
        <v>620.58217075275479</v>
      </c>
      <c r="AH33" s="252"/>
      <c r="IV33"/>
    </row>
    <row r="34" ht="15.75" customHeight="1">
      <c r="A34" s="247" t="str">
        <f t="shared" si="185"/>
        <v xml:space="preserve">Наиболее срочные обязательства</v>
      </c>
      <c r="B34" s="249" t="s">
        <v>451</v>
      </c>
      <c r="C34" s="249">
        <f t="shared" si="186"/>
        <v>4450707.5</v>
      </c>
      <c r="D34" s="249">
        <f t="shared" si="187"/>
        <v>2335793</v>
      </c>
      <c r="E34" s="249">
        <f t="shared" si="188"/>
        <v>2808630.5</v>
      </c>
      <c r="F34" s="249">
        <f t="shared" si="189"/>
        <v>3484867</v>
      </c>
      <c r="G34" s="249">
        <f t="shared" si="190"/>
        <v>2977428.5</v>
      </c>
      <c r="H34" s="249">
        <f t="shared" si="191"/>
        <v>1841537</v>
      </c>
      <c r="I34" s="249">
        <f t="shared" si="192"/>
        <v>1560651.5</v>
      </c>
      <c r="J34" s="265">
        <f t="shared" si="193"/>
        <v>9.1996553137402319</v>
      </c>
      <c r="K34" s="265">
        <f t="shared" si="194"/>
        <v>4.6864104753927052</v>
      </c>
      <c r="L34" s="265">
        <f t="shared" si="194"/>
        <v>5.1261398435222922</v>
      </c>
      <c r="M34" s="265">
        <f t="shared" si="194"/>
        <v>6.4106309499157206</v>
      </c>
      <c r="N34" s="265">
        <f t="shared" si="194"/>
        <v>6.1585822861682162</v>
      </c>
      <c r="O34" s="265">
        <f t="shared" si="194"/>
        <v>4.6148148568592253</v>
      </c>
      <c r="P34" s="265">
        <f t="shared" si="194"/>
        <v>4.9436398201766796</v>
      </c>
      <c r="Q34" s="267">
        <f t="shared" si="172"/>
        <v>2114914.5</v>
      </c>
      <c r="R34" s="267">
        <f t="shared" si="173"/>
        <v>90.543746813180789</v>
      </c>
      <c r="S34" s="253"/>
      <c r="T34" s="267">
        <f t="shared" si="174"/>
        <v>-472837.5</v>
      </c>
      <c r="U34" s="267">
        <f t="shared" si="175"/>
        <v>-16.835162190256071</v>
      </c>
      <c r="V34" s="253"/>
      <c r="W34" s="267">
        <f t="shared" si="176"/>
        <v>-676236.5</v>
      </c>
      <c r="X34" s="267">
        <f t="shared" si="177"/>
        <v>-19.404944291991633</v>
      </c>
      <c r="Y34" s="253"/>
      <c r="Z34" s="252">
        <f t="shared" si="178"/>
        <v>507438.5</v>
      </c>
      <c r="AA34" s="252">
        <f t="shared" si="179"/>
        <v>17.042844185846949</v>
      </c>
      <c r="AB34" s="253"/>
      <c r="AC34" s="252">
        <f t="shared" si="180"/>
        <v>1135891.5</v>
      </c>
      <c r="AD34" s="252">
        <f t="shared" si="181"/>
        <v>61.681709354740086</v>
      </c>
      <c r="AE34" s="253"/>
      <c r="AF34" s="252">
        <f t="shared" si="182"/>
        <v>280885.5</v>
      </c>
      <c r="AG34" s="252">
        <f t="shared" si="183"/>
        <v>17.997964311699313</v>
      </c>
      <c r="AH34" s="252"/>
      <c r="IV34"/>
    </row>
    <row r="35" s="257" customFormat="1" ht="15.75" customHeight="1">
      <c r="A35" s="254" t="s">
        <v>443</v>
      </c>
      <c r="B35" s="255"/>
      <c r="C35" s="269">
        <f t="shared" ref="C35:P35" si="195">SUM(C31:C34)</f>
        <v>48379068</v>
      </c>
      <c r="D35" s="269">
        <f t="shared" si="195"/>
        <v>49841835.5</v>
      </c>
      <c r="E35" s="269">
        <f t="shared" si="195"/>
        <v>54790360.5</v>
      </c>
      <c r="F35" s="269">
        <f t="shared" si="195"/>
        <v>54360749</v>
      </c>
      <c r="G35" s="269">
        <f t="shared" si="195"/>
        <v>48346005</v>
      </c>
      <c r="H35" s="269">
        <f t="shared" si="195"/>
        <v>39904894.5</v>
      </c>
      <c r="I35" s="269">
        <f t="shared" si="195"/>
        <v>31568875.5</v>
      </c>
      <c r="J35" s="274">
        <f t="shared" si="195"/>
        <v>100.00000000000001</v>
      </c>
      <c r="K35" s="274">
        <f t="shared" si="195"/>
        <v>100.00000000000001</v>
      </c>
      <c r="L35" s="274">
        <f t="shared" si="195"/>
        <v>100.00000000000001</v>
      </c>
      <c r="M35" s="274">
        <f t="shared" si="195"/>
        <v>100</v>
      </c>
      <c r="N35" s="274">
        <f t="shared" si="195"/>
        <v>100</v>
      </c>
      <c r="O35" s="274">
        <f t="shared" si="195"/>
        <v>100</v>
      </c>
      <c r="P35" s="275">
        <f t="shared" si="195"/>
        <v>100</v>
      </c>
      <c r="Q35" s="267">
        <f t="shared" si="172"/>
        <v>-1462767.5</v>
      </c>
      <c r="R35" s="267">
        <f t="shared" si="173"/>
        <v>-2.9348186825904516</v>
      </c>
      <c r="S35" s="272"/>
      <c r="T35" s="267">
        <f t="shared" si="174"/>
        <v>-4948525</v>
      </c>
      <c r="U35" s="267">
        <f t="shared" si="175"/>
        <v>-9.0317438228938105</v>
      </c>
      <c r="V35" s="272"/>
      <c r="W35" s="267">
        <f t="shared" si="176"/>
        <v>429611.5</v>
      </c>
      <c r="X35" s="267">
        <f t="shared" si="177"/>
        <v>0.7902972418573555</v>
      </c>
      <c r="Y35" s="272"/>
      <c r="Z35" s="252">
        <f t="shared" si="178"/>
        <v>6014744</v>
      </c>
      <c r="AA35" s="252">
        <f t="shared" si="179"/>
        <v>12.441036234534787</v>
      </c>
      <c r="AB35" s="272"/>
      <c r="AC35" s="252">
        <f t="shared" si="180"/>
        <v>8441110.5</v>
      </c>
      <c r="AD35" s="252">
        <f t="shared" si="181"/>
        <v>21.153070583860334</v>
      </c>
      <c r="AE35" s="272"/>
      <c r="AF35" s="252">
        <f t="shared" si="182"/>
        <v>8336019</v>
      </c>
      <c r="AG35" s="252">
        <f t="shared" si="183"/>
        <v>26.405815436789947</v>
      </c>
      <c r="AH35" s="252"/>
      <c r="IV35" s="273"/>
    </row>
    <row r="36" ht="15">
      <c r="A36" s="236" t="s">
        <v>452</v>
      </c>
      <c r="C36" s="258"/>
      <c r="D36" s="258"/>
      <c r="E36" s="258"/>
      <c r="F36" s="258"/>
      <c r="G36" s="258"/>
      <c r="H36" s="259"/>
      <c r="I36" s="259"/>
      <c r="J36" s="259"/>
    </row>
    <row r="37" ht="15">
      <c r="A37" s="221" t="s">
        <v>453</v>
      </c>
    </row>
    <row r="39" ht="15">
      <c r="A39" s="222" t="s">
        <v>461</v>
      </c>
    </row>
    <row r="40" ht="15">
      <c r="A40" s="222" t="s">
        <v>462</v>
      </c>
    </row>
    <row r="41" ht="15.75" customHeight="1">
      <c r="A41" s="264" t="s">
        <v>463</v>
      </c>
      <c r="B41" s="227" t="str">
        <f>Q22</f>
        <v xml:space="preserve">2019/2018 </v>
      </c>
      <c r="C41" s="227"/>
      <c r="D41" s="227"/>
      <c r="E41" s="227"/>
      <c r="F41" s="227"/>
      <c r="G41" s="276" t="s">
        <v>456</v>
      </c>
      <c r="H41" s="276"/>
      <c r="I41" s="276"/>
      <c r="J41" s="276"/>
      <c r="K41" s="276"/>
      <c r="L41" s="276" t="s">
        <v>457</v>
      </c>
      <c r="M41" s="276"/>
      <c r="N41" s="276"/>
      <c r="O41" s="276"/>
      <c r="P41" s="276"/>
      <c r="Q41" s="276" t="s">
        <v>458</v>
      </c>
      <c r="R41" s="276"/>
      <c r="S41" s="276"/>
      <c r="T41" s="276"/>
      <c r="U41" s="276"/>
      <c r="V41" s="276" t="s">
        <v>459</v>
      </c>
      <c r="W41" s="276"/>
      <c r="X41" s="276"/>
      <c r="Y41" s="276"/>
      <c r="Z41" s="276"/>
      <c r="AA41" s="276" t="s">
        <v>460</v>
      </c>
      <c r="AB41" s="276"/>
      <c r="AC41" s="276"/>
      <c r="AD41" s="276"/>
      <c r="AE41" s="276"/>
      <c r="IU41"/>
      <c r="IV41"/>
    </row>
    <row r="42" ht="60">
      <c r="A42" s="264"/>
      <c r="B42" s="237" t="s">
        <v>464</v>
      </c>
      <c r="C42" s="237" t="s">
        <v>465</v>
      </c>
      <c r="D42" s="277" t="s">
        <v>466</v>
      </c>
      <c r="E42" s="278"/>
      <c r="F42" s="279"/>
      <c r="G42" s="237" t="s">
        <v>464</v>
      </c>
      <c r="H42" s="237" t="s">
        <v>465</v>
      </c>
      <c r="I42" s="277" t="s">
        <v>466</v>
      </c>
      <c r="J42" s="278"/>
      <c r="K42" s="279"/>
      <c r="L42" s="237" t="s">
        <v>464</v>
      </c>
      <c r="M42" s="237" t="s">
        <v>465</v>
      </c>
      <c r="N42" s="277" t="s">
        <v>466</v>
      </c>
      <c r="O42" s="278"/>
      <c r="P42" s="279"/>
      <c r="Q42" s="237" t="s">
        <v>464</v>
      </c>
      <c r="R42" s="237" t="s">
        <v>465</v>
      </c>
      <c r="S42" s="277" t="s">
        <v>466</v>
      </c>
      <c r="T42" s="278"/>
      <c r="U42" s="279"/>
      <c r="V42" s="237" t="s">
        <v>464</v>
      </c>
      <c r="W42" s="237" t="s">
        <v>465</v>
      </c>
      <c r="X42" s="277" t="s">
        <v>466</v>
      </c>
      <c r="Y42" s="278"/>
      <c r="Z42" s="279"/>
      <c r="AA42" s="237" t="s">
        <v>464</v>
      </c>
      <c r="AB42" s="237" t="s">
        <v>465</v>
      </c>
      <c r="AC42" s="277" t="s">
        <v>466</v>
      </c>
      <c r="AD42" s="278"/>
      <c r="AE42" s="279"/>
      <c r="IU42"/>
      <c r="IV42"/>
    </row>
    <row r="43" ht="15.75" customHeight="1">
      <c r="A43" s="247" t="s">
        <v>467</v>
      </c>
      <c r="B43" s="280">
        <f>R29</f>
        <v>-2.9348186825904516</v>
      </c>
      <c r="C43" s="281">
        <f>(('2'!C7-'2'!D7)/'2'!D7)*100</f>
        <v>-20.270821911941304</v>
      </c>
      <c r="D43" s="282" t="str">
        <f t="shared" ref="D43:D47" si="196">IF(B43&gt;C$43,"деятельность не эффективна","деятельность эффективна")</f>
        <v xml:space="preserve">деятельность не эффективна</v>
      </c>
      <c r="E43" s="283"/>
      <c r="F43" s="284"/>
      <c r="G43" s="280">
        <f>U29</f>
        <v>-9.0317438228938105</v>
      </c>
      <c r="H43" s="281">
        <f>(('2'!D7-'2'!E7)/'2'!E7)*100</f>
        <v>13.141887622586646</v>
      </c>
      <c r="I43" s="282" t="str">
        <f t="shared" ref="I43:I47" si="197">IF(G43&gt;H$43,"деятельность не эффективна","деятельность эффективна")</f>
        <v xml:space="preserve">деятельность эффективна</v>
      </c>
      <c r="J43" s="283"/>
      <c r="K43" s="284"/>
      <c r="L43" s="280">
        <f>X29</f>
        <v>0.7902972418573555</v>
      </c>
      <c r="M43" s="281">
        <f>(('2'!E7-'2'!F7)/'2'!F7)*100</f>
        <v>3.2126526197922138</v>
      </c>
      <c r="N43" s="282" t="str">
        <f t="shared" ref="N43:N47" si="198">IF(L43&gt;M$43,"деятельность не эффективна","деятельность эффективна")</f>
        <v xml:space="preserve">деятельность эффективна</v>
      </c>
      <c r="O43" s="283"/>
      <c r="P43" s="284"/>
      <c r="Q43" s="280">
        <f>AA29</f>
        <v>12.441036234534787</v>
      </c>
      <c r="R43" s="281">
        <f>(('2'!F7-'2'!G7)/'2'!G7)*100</f>
        <v>-12.760483385521956</v>
      </c>
      <c r="S43" s="282" t="str">
        <f t="shared" ref="S43:S47" si="199">IF(Q43&gt;R$43,"деятельность не эффективна","деятельность эффективна")</f>
        <v xml:space="preserve">деятельность не эффективна</v>
      </c>
      <c r="T43" s="283"/>
      <c r="U43" s="284"/>
      <c r="V43" s="280">
        <f>AD29</f>
        <v>21.153070583860334</v>
      </c>
      <c r="W43" s="281">
        <f>(('2'!G7-'2'!H7)/'2'!H7)*100</f>
        <v>65.239371271331166</v>
      </c>
      <c r="X43" s="282" t="str">
        <f t="shared" ref="X43:X47" si="200">IF(V43&gt;W$43,"деятельность не эффективна","деятельность эффективна")</f>
        <v xml:space="preserve">деятельность эффективна</v>
      </c>
      <c r="Y43" s="283"/>
      <c r="Z43" s="284"/>
      <c r="AA43" s="280">
        <f>AG29</f>
        <v>26.405815436789947</v>
      </c>
      <c r="AB43" s="281">
        <f>(('2'!H7-'2'!I7)/'2'!I7)*100</f>
        <v>-7.0769344561151417</v>
      </c>
      <c r="AC43" s="282" t="str">
        <f t="shared" ref="AC43:AC47" si="201">IF(AA43&gt;AB$43,"деятельность не эффективна","деятельность эффективна")</f>
        <v xml:space="preserve">деятельность не эффективна</v>
      </c>
      <c r="AD43" s="283"/>
      <c r="AE43" s="284"/>
      <c r="IU43"/>
      <c r="IV43"/>
    </row>
    <row r="44" ht="15.75" customHeight="1">
      <c r="A44" s="247" t="s">
        <v>468</v>
      </c>
      <c r="B44" s="280">
        <f t="shared" ref="B44:B47" si="202">R25</f>
        <v>0.99865823077187632</v>
      </c>
      <c r="C44" s="285"/>
      <c r="D44" s="282" t="str">
        <f t="shared" si="196"/>
        <v xml:space="preserve">деятельность не эффективна</v>
      </c>
      <c r="E44" s="283"/>
      <c r="F44" s="284"/>
      <c r="G44" s="280">
        <f t="shared" ref="G44:G47" si="203">U25</f>
        <v>19.016408838021608</v>
      </c>
      <c r="H44" s="285"/>
      <c r="I44" s="282" t="str">
        <f t="shared" si="197"/>
        <v xml:space="preserve">деятельность не эффективна</v>
      </c>
      <c r="J44" s="283"/>
      <c r="K44" s="284"/>
      <c r="L44" s="280">
        <f t="shared" ref="L44:L47" si="204">X25</f>
        <v>43.286417132812865</v>
      </c>
      <c r="M44" s="285"/>
      <c r="N44" s="282" t="str">
        <f t="shared" si="198"/>
        <v xml:space="preserve">деятельность не эффективна</v>
      </c>
      <c r="O44" s="283"/>
      <c r="P44" s="284"/>
      <c r="Q44" s="280">
        <f t="shared" ref="Q44:Q47" si="205">AA25</f>
        <v>-10.923447381989593</v>
      </c>
      <c r="R44" s="285"/>
      <c r="S44" s="282" t="str">
        <f t="shared" si="199"/>
        <v xml:space="preserve">деятельность не эффективна</v>
      </c>
      <c r="T44" s="283"/>
      <c r="U44" s="284"/>
      <c r="V44" s="280">
        <f t="shared" ref="V44:V47" si="206">AD25</f>
        <v>-24.35725257809251</v>
      </c>
      <c r="W44" s="285"/>
      <c r="X44" s="282" t="str">
        <f t="shared" si="200"/>
        <v xml:space="preserve">деятельность эффективна</v>
      </c>
      <c r="Y44" s="283"/>
      <c r="Z44" s="284"/>
      <c r="AA44" s="280">
        <f t="shared" ref="AA44:AA47" si="207">AG25</f>
        <v>-25.413019407171785</v>
      </c>
      <c r="AB44" s="285"/>
      <c r="AC44" s="282" t="str">
        <f t="shared" si="201"/>
        <v xml:space="preserve">деятельность эффективна</v>
      </c>
      <c r="AD44" s="283"/>
      <c r="AE44" s="284"/>
      <c r="IU44"/>
      <c r="IV44"/>
    </row>
    <row r="45" ht="15.75" customHeight="1">
      <c r="A45" s="247" t="s">
        <v>469</v>
      </c>
      <c r="B45" s="280">
        <f t="shared" si="202"/>
        <v>4.4281809232327873</v>
      </c>
      <c r="C45" s="285"/>
      <c r="D45" s="282" t="str">
        <f t="shared" si="196"/>
        <v xml:space="preserve">деятельность не эффективна</v>
      </c>
      <c r="E45" s="283"/>
      <c r="F45" s="284"/>
      <c r="G45" s="280">
        <f t="shared" si="203"/>
        <v>1.8262513865603218</v>
      </c>
      <c r="H45" s="285"/>
      <c r="I45" s="282" t="str">
        <f t="shared" si="197"/>
        <v xml:space="preserve">деятельность эффективна</v>
      </c>
      <c r="J45" s="283"/>
      <c r="K45" s="284"/>
      <c r="L45" s="280">
        <f t="shared" si="204"/>
        <v>15.487946083713011</v>
      </c>
      <c r="M45" s="285"/>
      <c r="N45" s="282" t="str">
        <f t="shared" si="198"/>
        <v xml:space="preserve">деятельность не эффективна</v>
      </c>
      <c r="O45" s="283"/>
      <c r="P45" s="284"/>
      <c r="Q45" s="280">
        <f t="shared" si="205"/>
        <v>11.425498013733144</v>
      </c>
      <c r="R45" s="285"/>
      <c r="S45" s="282" t="str">
        <f t="shared" si="199"/>
        <v xml:space="preserve">деятельность не эффективна</v>
      </c>
      <c r="T45" s="283"/>
      <c r="U45" s="284"/>
      <c r="V45" s="280">
        <f t="shared" si="206"/>
        <v>19.596856468565381</v>
      </c>
      <c r="W45" s="285"/>
      <c r="X45" s="282" t="str">
        <f t="shared" si="200"/>
        <v xml:space="preserve">деятельность эффективна</v>
      </c>
      <c r="Y45" s="283"/>
      <c r="Z45" s="284"/>
      <c r="AA45" s="280">
        <f t="shared" si="207"/>
        <v>0.71976526240001037</v>
      </c>
      <c r="AB45" s="285"/>
      <c r="AC45" s="282" t="str">
        <f t="shared" si="201"/>
        <v xml:space="preserve">деятельность не эффективна</v>
      </c>
      <c r="AD45" s="283"/>
      <c r="AE45" s="284"/>
      <c r="IU45"/>
      <c r="IV45"/>
    </row>
    <row r="46" ht="15.75" customHeight="1">
      <c r="A46" s="247" t="s">
        <v>470</v>
      </c>
      <c r="B46" s="280">
        <f t="shared" si="202"/>
        <v>2.0905624825546791</v>
      </c>
      <c r="C46" s="285"/>
      <c r="D46" s="282" t="str">
        <f t="shared" si="196"/>
        <v xml:space="preserve">деятельность не эффективна</v>
      </c>
      <c r="E46" s="283"/>
      <c r="F46" s="284"/>
      <c r="G46" s="280">
        <f t="shared" si="203"/>
        <v>-8.0410855745312873</v>
      </c>
      <c r="H46" s="285"/>
      <c r="I46" s="282" t="str">
        <f t="shared" si="197"/>
        <v xml:space="preserve">деятельность эффективна</v>
      </c>
      <c r="J46" s="283"/>
      <c r="K46" s="284"/>
      <c r="L46" s="280">
        <f t="shared" si="204"/>
        <v>-23.666480013005543</v>
      </c>
      <c r="M46" s="285"/>
      <c r="N46" s="282" t="str">
        <f t="shared" si="198"/>
        <v xml:space="preserve">деятельность эффективна</v>
      </c>
      <c r="O46" s="283"/>
      <c r="P46" s="284"/>
      <c r="Q46" s="280">
        <f t="shared" si="205"/>
        <v>-13.629572893875558</v>
      </c>
      <c r="R46" s="285"/>
      <c r="S46" s="282" t="str">
        <f t="shared" si="199"/>
        <v xml:space="preserve">деятельность эффективна</v>
      </c>
      <c r="T46" s="283"/>
      <c r="U46" s="284"/>
      <c r="V46" s="280">
        <f t="shared" si="206"/>
        <v>34.658370708849375</v>
      </c>
      <c r="W46" s="285"/>
      <c r="X46" s="282" t="str">
        <f t="shared" si="200"/>
        <v xml:space="preserve">деятельность эффективна</v>
      </c>
      <c r="Y46" s="283"/>
      <c r="Z46" s="284"/>
      <c r="AA46" s="280">
        <f t="shared" si="207"/>
        <v>72.974447920665781</v>
      </c>
      <c r="AB46" s="285"/>
      <c r="AC46" s="282" t="str">
        <f t="shared" si="201"/>
        <v xml:space="preserve">деятельность не эффективна</v>
      </c>
      <c r="AD46" s="283"/>
      <c r="AE46" s="284"/>
      <c r="IU46"/>
      <c r="IV46"/>
    </row>
    <row r="47" ht="15.75" customHeight="1">
      <c r="A47" s="247" t="s">
        <v>471</v>
      </c>
      <c r="B47" s="280">
        <f t="shared" si="202"/>
        <v>-6.7994176343635377</v>
      </c>
      <c r="C47" s="286"/>
      <c r="D47" s="282" t="str">
        <f t="shared" si="196"/>
        <v xml:space="preserve">деятельность не эффективна</v>
      </c>
      <c r="E47" s="283"/>
      <c r="F47" s="284"/>
      <c r="G47" s="280">
        <f t="shared" si="203"/>
        <v>-21.634511305888736</v>
      </c>
      <c r="H47" s="286"/>
      <c r="I47" s="282" t="str">
        <f t="shared" si="197"/>
        <v xml:space="preserve">деятельность эффективна</v>
      </c>
      <c r="J47" s="283"/>
      <c r="K47" s="284"/>
      <c r="L47" s="280">
        <f t="shared" si="204"/>
        <v>-8.3359017977136194</v>
      </c>
      <c r="M47" s="286"/>
      <c r="N47" s="282" t="str">
        <f t="shared" si="198"/>
        <v xml:space="preserve">деятельность эффективна</v>
      </c>
      <c r="O47" s="283"/>
      <c r="P47" s="284"/>
      <c r="Q47" s="280">
        <f t="shared" si="205"/>
        <v>26.075481860929315</v>
      </c>
      <c r="R47" s="286"/>
      <c r="S47" s="282" t="str">
        <f t="shared" si="199"/>
        <v xml:space="preserve">деятельность не эффективна</v>
      </c>
      <c r="T47" s="283"/>
      <c r="U47" s="284"/>
      <c r="V47" s="280">
        <f t="shared" si="206"/>
        <v>53.025596177655096</v>
      </c>
      <c r="W47" s="286"/>
      <c r="X47" s="282" t="str">
        <f t="shared" si="200"/>
        <v xml:space="preserve">деятельность эффективна</v>
      </c>
      <c r="Y47" s="283"/>
      <c r="Z47" s="284"/>
      <c r="AA47" s="280">
        <f t="shared" si="207"/>
        <v>150.19566941445555</v>
      </c>
      <c r="AB47" s="286"/>
      <c r="AC47" s="282" t="str">
        <f t="shared" si="201"/>
        <v xml:space="preserve">деятельность не эффективна</v>
      </c>
      <c r="AD47" s="283"/>
      <c r="AE47" s="284"/>
      <c r="IU47"/>
      <c r="IV47"/>
    </row>
    <row r="48">
      <c r="A48" s="287"/>
      <c r="B48" s="288"/>
      <c r="C48" s="288"/>
      <c r="D48" s="288"/>
    </row>
    <row r="49">
      <c r="A49" s="289" t="s">
        <v>472</v>
      </c>
      <c r="B49" s="290" t="s">
        <v>473</v>
      </c>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row>
    <row r="50">
      <c r="A50" s="289"/>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row>
    <row r="51">
      <c r="A51" s="289"/>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row>
    <row r="52">
      <c r="A52" s="289"/>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row>
    <row r="53">
      <c r="A53" s="287"/>
      <c r="B53" s="288"/>
      <c r="C53" s="288"/>
      <c r="D53" s="288"/>
    </row>
    <row r="54" ht="15">
      <c r="A54" s="222" t="s">
        <v>474</v>
      </c>
    </row>
    <row r="55" ht="15.75" customHeight="1">
      <c r="A55" s="264" t="s">
        <v>475</v>
      </c>
      <c r="B55" s="226" t="str">
        <f>B41</f>
        <v xml:space="preserve">2019/2018 </v>
      </c>
      <c r="C55" s="226"/>
      <c r="D55" s="226"/>
      <c r="E55" s="226"/>
      <c r="F55" s="226"/>
      <c r="G55" s="226" t="str">
        <f>G41</f>
        <v>2018/2017</v>
      </c>
      <c r="H55" s="226"/>
      <c r="I55" s="226"/>
      <c r="J55" s="226"/>
      <c r="K55" s="226"/>
      <c r="L55" s="226" t="str">
        <f>L41</f>
        <v>2017/2016</v>
      </c>
      <c r="M55" s="226"/>
      <c r="N55" s="226"/>
      <c r="O55" s="226"/>
      <c r="P55" s="226"/>
      <c r="Q55" s="226" t="str">
        <f>Q41</f>
        <v>2016/2015</v>
      </c>
      <c r="R55" s="226"/>
      <c r="S55" s="226"/>
      <c r="T55" s="226"/>
      <c r="U55" s="226"/>
      <c r="V55" s="226" t="str">
        <f>V41</f>
        <v>2015/2014</v>
      </c>
      <c r="W55" s="226"/>
      <c r="X55" s="226"/>
      <c r="Y55" s="226"/>
      <c r="Z55" s="226"/>
      <c r="AA55" s="226" t="str">
        <f>AA41</f>
        <v>2014/2013</v>
      </c>
      <c r="AB55" s="226"/>
      <c r="AC55" s="226"/>
      <c r="AD55" s="226"/>
      <c r="AE55" s="226"/>
      <c r="IU55"/>
      <c r="IV55"/>
    </row>
    <row r="56" ht="60">
      <c r="A56" s="264"/>
      <c r="B56" s="237" t="s">
        <v>464</v>
      </c>
      <c r="C56" s="237" t="s">
        <v>476</v>
      </c>
      <c r="D56" s="291" t="s">
        <v>466</v>
      </c>
      <c r="E56" s="292"/>
      <c r="F56" s="293"/>
      <c r="G56" s="237" t="s">
        <v>464</v>
      </c>
      <c r="H56" s="237" t="s">
        <v>476</v>
      </c>
      <c r="I56" s="291" t="s">
        <v>466</v>
      </c>
      <c r="J56" s="292"/>
      <c r="K56" s="293"/>
      <c r="L56" s="237" t="s">
        <v>464</v>
      </c>
      <c r="M56" s="237" t="s">
        <v>476</v>
      </c>
      <c r="N56" s="291" t="s">
        <v>466</v>
      </c>
      <c r="O56" s="292"/>
      <c r="P56" s="293"/>
      <c r="Q56" s="237" t="s">
        <v>464</v>
      </c>
      <c r="R56" s="237" t="s">
        <v>476</v>
      </c>
      <c r="S56" s="291" t="s">
        <v>466</v>
      </c>
      <c r="T56" s="292"/>
      <c r="U56" s="293"/>
      <c r="V56" s="237" t="s">
        <v>464</v>
      </c>
      <c r="W56" s="237" t="s">
        <v>476</v>
      </c>
      <c r="X56" s="291" t="s">
        <v>466</v>
      </c>
      <c r="Y56" s="292"/>
      <c r="Z56" s="293"/>
      <c r="AA56" s="237" t="s">
        <v>464</v>
      </c>
      <c r="AB56" s="237" t="s">
        <v>476</v>
      </c>
      <c r="AC56" s="291" t="s">
        <v>466</v>
      </c>
      <c r="AD56" s="292"/>
      <c r="AE56" s="293"/>
      <c r="IU56"/>
      <c r="IV56"/>
    </row>
    <row r="57" ht="15.75" customHeight="1">
      <c r="A57" s="247" t="s">
        <v>477</v>
      </c>
      <c r="B57" s="280">
        <f>R31</f>
        <v>-7.1248807892427974</v>
      </c>
      <c r="C57" s="281">
        <f>((бс!C51-бс!D51)/бс!D51)*100</f>
        <v>-2.9348186825904516</v>
      </c>
      <c r="D57" s="282" t="str">
        <f t="shared" ref="D57:D58" si="208">IF(B57&lt;C$57,"уменьшение финансовой устойчивости","увеличение финансовой устойчивости")</f>
        <v xml:space="preserve">уменьшение финансовой устойчивости</v>
      </c>
      <c r="E57" s="283"/>
      <c r="F57" s="284"/>
      <c r="G57" s="280">
        <f>U31</f>
        <v>5.0838886712336953</v>
      </c>
      <c r="H57" s="281">
        <f>((бс!D51-бс!E51)/бс!E51)*100</f>
        <v>-9.0317438228938105</v>
      </c>
      <c r="I57" s="282" t="str">
        <f t="shared" ref="I57:I58" si="209">IF(G57&lt;H$57,"уменьшение финансовой устойчивости","увеличение финансовой устойчивости")</f>
        <v xml:space="preserve">увеличение финансовой устойчивости</v>
      </c>
      <c r="J57" s="283"/>
      <c r="K57" s="284"/>
      <c r="L57" s="280">
        <f>X31</f>
        <v>15.909573284649181</v>
      </c>
      <c r="M57" s="281">
        <f>((бс!E51-бс!F51)/бс!F51)*100</f>
        <v>0.7902972418573555</v>
      </c>
      <c r="N57" s="282" t="str">
        <f t="shared" ref="N57:N58" si="210">IF(L57&lt;M$57,"уменьшение финансовой устойчивости","увеличение финансовой устойчивости")</f>
        <v xml:space="preserve">увеличение финансовой устойчивости</v>
      </c>
      <c r="O57" s="283"/>
      <c r="P57" s="284"/>
      <c r="Q57" s="280">
        <f>AA31</f>
        <v>24.76852171888067</v>
      </c>
      <c r="R57" s="281">
        <f>((бс!F51-бс!G51)/бс!G51)*100</f>
        <v>12.441036234534787</v>
      </c>
      <c r="S57" s="282" t="str">
        <f t="shared" ref="S57:S58" si="211">IF(Q57&lt;R$57,"уменьшение финансовой устойчивости","увеличение финансовой устойчивости")</f>
        <v xml:space="preserve">увеличение финансовой устойчивости</v>
      </c>
      <c r="T57" s="283"/>
      <c r="U57" s="284"/>
      <c r="V57" s="280">
        <f>AD31</f>
        <v>17.30303560066087</v>
      </c>
      <c r="W57" s="281">
        <f>((бс!G51-бс!H51)/бс!H51)*100</f>
        <v>21.153070583860334</v>
      </c>
      <c r="X57" s="282" t="str">
        <f t="shared" ref="X57:X58" si="212">IF(V57&lt;W$57,"уменьшение финансовой устойчивости","увеличение финансовой устойчивости")</f>
        <v xml:space="preserve">уменьшение финансовой устойчивости</v>
      </c>
      <c r="Y57" s="283"/>
      <c r="Z57" s="284"/>
      <c r="AA57" s="280">
        <f>AG31</f>
        <v>8.4913148992442178</v>
      </c>
      <c r="AB57" s="281">
        <f>((бс!H51-бс!I51)/бс!I51)*100</f>
        <v>26.405815436789947</v>
      </c>
      <c r="AC57" s="282" t="str">
        <f t="shared" ref="AC57:AC58" si="213">IF(AA57&lt;AB$57,"уменьшение финансовой устойчивости","увеличение финансовой устойчивости")</f>
        <v xml:space="preserve">уменьшение финансовой устойчивости</v>
      </c>
      <c r="AD57" s="283"/>
      <c r="AE57" s="284"/>
      <c r="IU57"/>
      <c r="IV57"/>
    </row>
    <row r="58" ht="15.75" customHeight="1">
      <c r="A58" s="247" t="s">
        <v>478</v>
      </c>
      <c r="B58" s="280">
        <f>(C31+C32-D31-D32)/(D31+D32)*100</f>
        <v>-6.7785583605828883</v>
      </c>
      <c r="C58" s="285"/>
      <c r="D58" s="282" t="str">
        <f t="shared" si="208"/>
        <v xml:space="preserve">уменьшение финансовой устойчивости</v>
      </c>
      <c r="E58" s="283"/>
      <c r="F58" s="284"/>
      <c r="G58" s="280">
        <f>(D31+D32-E31-E32)/(E31+E32)*100</f>
        <v>1.9342226339707189</v>
      </c>
      <c r="H58" s="285"/>
      <c r="I58" s="282" t="str">
        <f t="shared" si="209"/>
        <v xml:space="preserve">увеличение финансовой устойчивости</v>
      </c>
      <c r="J58" s="283"/>
      <c r="K58" s="284"/>
      <c r="L58" s="280">
        <f>(D31+D32-E31-E32)/(E31+E32)*100</f>
        <v>1.9342226339707189</v>
      </c>
      <c r="M58" s="285"/>
      <c r="N58" s="282" t="str">
        <f t="shared" si="210"/>
        <v xml:space="preserve">увеличение финансовой устойчивости</v>
      </c>
      <c r="O58" s="283"/>
      <c r="P58" s="284"/>
      <c r="Q58" s="280">
        <f>(F31+F32-G31-G32)/(G31+G32)*100</f>
        <v>12.055961557572388</v>
      </c>
      <c r="R58" s="285"/>
      <c r="S58" s="282" t="str">
        <f t="shared" si="211"/>
        <v xml:space="preserve">уменьшение финансовой устойчивости</v>
      </c>
      <c r="T58" s="283"/>
      <c r="U58" s="284"/>
      <c r="V58" s="280">
        <f>(G31+G32-H31-H32)/(H31+H32)*100</f>
        <v>23.101203644779247</v>
      </c>
      <c r="W58" s="285"/>
      <c r="X58" s="282" t="str">
        <f t="shared" si="212"/>
        <v xml:space="preserve">увеличение финансовой устойчивости</v>
      </c>
      <c r="Y58" s="283"/>
      <c r="Z58" s="284"/>
      <c r="AA58" s="280">
        <f>(H31+H32-I31-I32)/(I31+I32)*100</f>
        <v>12.182565753529436</v>
      </c>
      <c r="AB58" s="285"/>
      <c r="AC58" s="282" t="str">
        <f t="shared" si="213"/>
        <v xml:space="preserve">уменьшение финансовой устойчивости</v>
      </c>
      <c r="AD58" s="283"/>
      <c r="AE58" s="284"/>
      <c r="IU58"/>
      <c r="IV58"/>
    </row>
    <row r="59" ht="15.75" customHeight="1">
      <c r="A59" s="247" t="s">
        <v>479</v>
      </c>
      <c r="B59" s="280">
        <f>(((бс!C43+бс!C50)-(бс!D43+бс!D50))/(бс!D43+бс!D50))*100</f>
        <v>53.312189272671418</v>
      </c>
      <c r="C59" s="285"/>
      <c r="D59" s="282" t="str">
        <f t="shared" ref="D59:D61" si="214">IF(B59&gt;C$57,"уменьшение финансовой устойчивости","увеличение финансовой устойчивости")</f>
        <v xml:space="preserve">уменьшение финансовой устойчивости</v>
      </c>
      <c r="E59" s="283"/>
      <c r="F59" s="284"/>
      <c r="G59" s="280">
        <f>(((бс!D43+бс!D50)-(бс!E43+бс!E50))/(бс!E43+бс!E50))*100</f>
        <v>-67.548389668775371</v>
      </c>
      <c r="H59" s="285"/>
      <c r="I59" s="282" t="str">
        <f t="shared" ref="I59:I61" si="215">IF(G59&gt;H$57,"уменьшение финансовой устойчивости","увеличение финансовой устойчивости")</f>
        <v xml:space="preserve">увеличение финансовой устойчивости</v>
      </c>
      <c r="J59" s="283"/>
      <c r="K59" s="284"/>
      <c r="L59" s="280">
        <f>(((бс!E43+бс!E50)-(бс!F43+бс!F50))/(бс!F43+бс!F50))*100</f>
        <v>-34.583309322605032</v>
      </c>
      <c r="M59" s="285"/>
      <c r="N59" s="282" t="str">
        <f t="shared" ref="N59:N61" si="216">IF(L59&gt;M$57,"уменьшение финансовой устойчивости","увеличение финансовой устойчивости")</f>
        <v xml:space="preserve">увеличение финансовой устойчивости</v>
      </c>
      <c r="O59" s="283"/>
      <c r="P59" s="284"/>
      <c r="Q59" s="280">
        <f>(бс!F43+бс!F50-бс!G43-бс!G50)/(бс!G43+бс!G50)*100</f>
        <v>-8.6708576562914583</v>
      </c>
      <c r="R59" s="285"/>
      <c r="S59" s="282" t="str">
        <f t="shared" ref="S59:S61" si="217">IF(Q59&gt;R$57,"уменьшение финансовой устойчивости","увеличение финансовой устойчивости")</f>
        <v xml:space="preserve">увеличение финансовой устойчивости</v>
      </c>
      <c r="T59" s="283"/>
      <c r="U59" s="284"/>
      <c r="V59" s="280">
        <f>(бс!G43+бс!G50-бс!H43-бс!H50)/(бс!H43+бс!H50)*100</f>
        <v>28.368577511268544</v>
      </c>
      <c r="W59" s="285"/>
      <c r="X59" s="282" t="str">
        <f t="shared" ref="X59:X61" si="218">IF(V59&gt;W$57,"уменьшение финансовой устойчивости","увеличение финансовой устойчивости")</f>
        <v xml:space="preserve">уменьшение финансовой устойчивости</v>
      </c>
      <c r="Y59" s="283"/>
      <c r="Z59" s="284"/>
      <c r="AA59" s="280">
        <f>(бс!H43+бс!H50-бс!I43-бс!I50)/(бс!I43+бс!I50)*100</f>
        <v>83.054969175319314</v>
      </c>
      <c r="AB59" s="285"/>
      <c r="AC59" s="282" t="str">
        <f t="shared" ref="AC59:AC61" si="219">IF(AA59&gt;AB$57,"уменьшение финансовой устойчивости","увеличение финансовой устойчивости")</f>
        <v xml:space="preserve">уменьшение финансовой устойчивости</v>
      </c>
      <c r="AD59" s="283"/>
      <c r="AE59" s="284"/>
      <c r="IU59"/>
      <c r="IV59"/>
    </row>
    <row r="60" ht="15.75" customHeight="1">
      <c r="A60" s="247" t="s">
        <v>480</v>
      </c>
      <c r="B60" s="280">
        <f>(((бс!C39+бс!C45)-(бс!D39+бс!D45))/(бс!D39+бс!D45))*100</f>
        <v>-100</v>
      </c>
      <c r="C60" s="285"/>
      <c r="D60" s="282" t="str">
        <f t="shared" si="214"/>
        <v xml:space="preserve">увеличение финансовой устойчивости</v>
      </c>
      <c r="E60" s="283"/>
      <c r="F60" s="284"/>
      <c r="G60" s="280">
        <f>(((бс!D39+бс!D45)-(бс!E39+бс!E45))/(бс!E39+бс!E45))*100</f>
        <v>-94.062001285671798</v>
      </c>
      <c r="H60" s="285"/>
      <c r="I60" s="282" t="str">
        <f t="shared" si="215"/>
        <v xml:space="preserve">увеличение финансовой устойчивости</v>
      </c>
      <c r="J60" s="283"/>
      <c r="K60" s="284"/>
      <c r="L60" s="280">
        <f>(((бс!E39+бс!E45)-(бс!F39+бс!F45))/(бс!F39+бс!F45))*100</f>
        <v>-40.857026553639209</v>
      </c>
      <c r="M60" s="285"/>
      <c r="N60" s="282" t="str">
        <f t="shared" si="216"/>
        <v xml:space="preserve">увеличение финансовой устойчивости</v>
      </c>
      <c r="O60" s="283"/>
      <c r="P60" s="284"/>
      <c r="Q60" s="280">
        <f>(бс!F39+бс!F45-бс!G39-бс!G45)/(бс!G39+бс!G45)*100</f>
        <v>-14.817665359870638</v>
      </c>
      <c r="R60" s="285"/>
      <c r="S60" s="282" t="str">
        <f t="shared" si="217"/>
        <v xml:space="preserve">увеличение финансовой устойчивости</v>
      </c>
      <c r="T60" s="283"/>
      <c r="U60" s="284"/>
      <c r="V60" s="280">
        <f>(бс!G39+бс!G45-бс!H39-бс!H45)/(бс!H39+бс!H45)*100</f>
        <v>22.812846181346284</v>
      </c>
      <c r="W60" s="285"/>
      <c r="X60" s="282" t="str">
        <f t="shared" si="218"/>
        <v xml:space="preserve">уменьшение финансовой устойчивости</v>
      </c>
      <c r="Y60" s="283"/>
      <c r="Z60" s="284"/>
      <c r="AA60" s="280">
        <f>(бс!H39+бс!H45-бс!I39-бс!I45)/(бс!I39+бс!I45)*100</f>
        <v>102.9920492305489</v>
      </c>
      <c r="AB60" s="285"/>
      <c r="AC60" s="282" t="str">
        <f t="shared" si="219"/>
        <v xml:space="preserve">уменьшение финансовой устойчивости</v>
      </c>
      <c r="AD60" s="283"/>
      <c r="AE60" s="284"/>
      <c r="IU60"/>
      <c r="IV60"/>
    </row>
    <row r="61" ht="15.75" customHeight="1">
      <c r="A61" s="247" t="s">
        <v>481</v>
      </c>
      <c r="B61" s="280">
        <f>((бс!C46-бс!D46)/бс!D46)*100</f>
        <v>92.586673204767621</v>
      </c>
      <c r="C61" s="286"/>
      <c r="D61" s="282" t="str">
        <f t="shared" si="214"/>
        <v xml:space="preserve">уменьшение финансовой устойчивости</v>
      </c>
      <c r="E61" s="283"/>
      <c r="F61" s="284"/>
      <c r="G61" s="280">
        <f>((бс!D46-бс!E46)/бс!E46)*100</f>
        <v>-17.638780888817472</v>
      </c>
      <c r="H61" s="286"/>
      <c r="I61" s="282" t="str">
        <f t="shared" si="215"/>
        <v xml:space="preserve">увеличение финансовой устойчивости</v>
      </c>
      <c r="J61" s="283"/>
      <c r="K61" s="284"/>
      <c r="L61" s="280">
        <f>((бс!E46-бс!F46)/бс!F46)*100</f>
        <v>-19.912652792263994</v>
      </c>
      <c r="M61" s="286"/>
      <c r="N61" s="282" t="str">
        <f t="shared" si="216"/>
        <v xml:space="preserve">увеличение финансовой устойчивости</v>
      </c>
      <c r="O61" s="283"/>
      <c r="P61" s="284"/>
      <c r="Q61" s="280">
        <f>(бс!F46-бс!G46)/бс!G46*100</f>
        <v>16.956236978490814</v>
      </c>
      <c r="R61" s="286"/>
      <c r="S61" s="282" t="str">
        <f t="shared" si="217"/>
        <v xml:space="preserve">уменьшение финансовой устойчивости</v>
      </c>
      <c r="T61" s="283"/>
      <c r="U61" s="284"/>
      <c r="V61" s="280">
        <f>(бс!G46-бс!H46)/бс!H46*100</f>
        <v>62.033829567461119</v>
      </c>
      <c r="W61" s="286"/>
      <c r="X61" s="282" t="str">
        <f t="shared" si="218"/>
        <v xml:space="preserve">уменьшение финансовой устойчивости</v>
      </c>
      <c r="Y61" s="283"/>
      <c r="Z61" s="284"/>
      <c r="AA61" s="280">
        <f>(бс!H46-бс!I46)/бс!I46*100</f>
        <v>18.14880941278771</v>
      </c>
      <c r="AB61" s="286"/>
      <c r="AC61" s="282" t="str">
        <f t="shared" si="219"/>
        <v xml:space="preserve">увеличение финансовой устойчивости</v>
      </c>
      <c r="AD61" s="283"/>
      <c r="AE61" s="284"/>
      <c r="IU61"/>
      <c r="IV61"/>
    </row>
    <row r="63">
      <c r="A63" s="289" t="s">
        <v>472</v>
      </c>
      <c r="B63" s="290" t="s">
        <v>482</v>
      </c>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row>
    <row r="64">
      <c r="A64" s="289"/>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row>
    <row r="65">
      <c r="A65" s="289"/>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row>
    <row r="66">
      <c r="A66" s="289"/>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row>
    <row r="68">
      <c r="A68" s="222" t="s">
        <v>474</v>
      </c>
    </row>
    <row r="69">
      <c r="A69" s="264" t="s">
        <v>475</v>
      </c>
      <c r="B69" s="227" t="str">
        <f>B55</f>
        <v xml:space="preserve">2019/2018 </v>
      </c>
      <c r="C69" s="227"/>
      <c r="D69" s="227"/>
      <c r="E69" s="227"/>
      <c r="F69" s="227"/>
      <c r="G69" s="227" t="str">
        <f>G55</f>
        <v>2018/2017</v>
      </c>
      <c r="H69" s="227"/>
      <c r="I69" s="227"/>
      <c r="J69" s="227"/>
      <c r="K69" s="227"/>
      <c r="L69" s="227" t="str">
        <f>L55</f>
        <v>2017/2016</v>
      </c>
      <c r="M69" s="227"/>
      <c r="N69" s="227"/>
      <c r="O69" s="227"/>
      <c r="P69" s="227"/>
      <c r="Q69" s="227" t="str">
        <f>Q55</f>
        <v>2016/2015</v>
      </c>
      <c r="R69" s="227"/>
      <c r="S69" s="227"/>
      <c r="T69" s="227"/>
      <c r="U69" s="227"/>
      <c r="V69" s="227" t="str">
        <f>V55</f>
        <v>2015/2014</v>
      </c>
      <c r="W69" s="227"/>
      <c r="X69" s="227"/>
      <c r="Y69" s="227"/>
      <c r="Z69" s="227"/>
      <c r="AA69" s="227" t="str">
        <f>AA55</f>
        <v>2014/2013</v>
      </c>
      <c r="AB69" s="227"/>
      <c r="AC69" s="227"/>
      <c r="AD69" s="227"/>
      <c r="AE69" s="227"/>
      <c r="IU69"/>
      <c r="IV69"/>
    </row>
    <row r="70" ht="62.399999999999999">
      <c r="A70" s="264"/>
      <c r="B70" s="237" t="s">
        <v>464</v>
      </c>
      <c r="C70" s="237" t="s">
        <v>465</v>
      </c>
      <c r="D70" s="291" t="s">
        <v>466</v>
      </c>
      <c r="E70" s="292"/>
      <c r="F70" s="293"/>
      <c r="G70" s="237" t="s">
        <v>464</v>
      </c>
      <c r="H70" s="237" t="s">
        <v>465</v>
      </c>
      <c r="I70" s="291" t="s">
        <v>466</v>
      </c>
      <c r="J70" s="292"/>
      <c r="K70" s="293"/>
      <c r="L70" s="237" t="s">
        <v>464</v>
      </c>
      <c r="M70" s="237" t="s">
        <v>465</v>
      </c>
      <c r="N70" s="291" t="s">
        <v>466</v>
      </c>
      <c r="O70" s="292"/>
      <c r="P70" s="293"/>
      <c r="Q70" s="237" t="s">
        <v>464</v>
      </c>
      <c r="R70" s="237" t="s">
        <v>465</v>
      </c>
      <c r="S70" s="291" t="s">
        <v>466</v>
      </c>
      <c r="T70" s="292"/>
      <c r="U70" s="293"/>
      <c r="V70" s="237" t="s">
        <v>464</v>
      </c>
      <c r="W70" s="237" t="s">
        <v>465</v>
      </c>
      <c r="X70" s="291" t="s">
        <v>466</v>
      </c>
      <c r="Y70" s="292"/>
      <c r="Z70" s="293"/>
      <c r="AA70" s="237" t="s">
        <v>464</v>
      </c>
      <c r="AB70" s="237" t="s">
        <v>465</v>
      </c>
      <c r="AC70" s="291" t="s">
        <v>466</v>
      </c>
      <c r="AD70" s="292"/>
      <c r="AE70" s="293"/>
      <c r="IU70"/>
      <c r="IV70"/>
    </row>
    <row r="71">
      <c r="A71" s="247" t="s">
        <v>478</v>
      </c>
      <c r="B71" s="280">
        <f t="shared" ref="B71:B74" si="220">B58</f>
        <v>-6.7785583605828883</v>
      </c>
      <c r="C71" s="281">
        <f>э!B48</f>
        <v>-20.270821911941304</v>
      </c>
      <c r="D71" s="282" t="s">
        <v>483</v>
      </c>
      <c r="E71" s="283"/>
      <c r="F71" s="284"/>
      <c r="G71" s="280">
        <f t="shared" ref="G71:G74" si="221">G58</f>
        <v>1.9342226339707189</v>
      </c>
      <c r="H71" s="281">
        <f>э!C48</f>
        <v>13.141887622586646</v>
      </c>
      <c r="I71" s="282" t="s">
        <v>484</v>
      </c>
      <c r="J71" s="283"/>
      <c r="K71" s="284"/>
      <c r="L71" s="280">
        <f t="shared" ref="L71:L74" si="222">L58</f>
        <v>1.9342226339707189</v>
      </c>
      <c r="M71" s="281">
        <f>э!D48</f>
        <v>3.2126526197922138</v>
      </c>
      <c r="N71" s="282" t="s">
        <v>484</v>
      </c>
      <c r="O71" s="283"/>
      <c r="P71" s="284"/>
      <c r="Q71" s="280">
        <f t="shared" ref="Q71:Q74" si="223">Q58</f>
        <v>12.055961557572388</v>
      </c>
      <c r="R71" s="281">
        <f>э!E48</f>
        <v>-12.760483385521956</v>
      </c>
      <c r="S71" s="282" t="s">
        <v>484</v>
      </c>
      <c r="T71" s="283"/>
      <c r="U71" s="284"/>
      <c r="V71" s="280">
        <f t="shared" ref="V71:V74" si="224">V58</f>
        <v>23.101203644779247</v>
      </c>
      <c r="W71" s="281">
        <f>э!F48</f>
        <v>65.239371271331166</v>
      </c>
      <c r="X71" s="282" t="s">
        <v>484</v>
      </c>
      <c r="Y71" s="283"/>
      <c r="Z71" s="284"/>
      <c r="AA71" s="280">
        <f t="shared" ref="AA71:AA74" si="225">AA58</f>
        <v>12.182565753529436</v>
      </c>
      <c r="AB71" s="281">
        <f>э!G48</f>
        <v>-7.0769344561151417</v>
      </c>
      <c r="AC71" s="282" t="s">
        <v>484</v>
      </c>
      <c r="AD71" s="283"/>
      <c r="AE71" s="284"/>
      <c r="IU71"/>
      <c r="IV71"/>
    </row>
    <row r="72" ht="15.75" customHeight="1">
      <c r="A72" s="247" t="s">
        <v>479</v>
      </c>
      <c r="B72" s="280">
        <f t="shared" si="220"/>
        <v>53.312189272671418</v>
      </c>
      <c r="C72" s="285"/>
      <c r="D72" s="282" t="s">
        <v>483</v>
      </c>
      <c r="E72" s="283"/>
      <c r="F72" s="284"/>
      <c r="G72" s="280">
        <f t="shared" si="221"/>
        <v>-67.548389668775371</v>
      </c>
      <c r="H72" s="285"/>
      <c r="I72" s="282" t="s">
        <v>484</v>
      </c>
      <c r="J72" s="283"/>
      <c r="K72" s="284"/>
      <c r="L72" s="280">
        <f t="shared" si="222"/>
        <v>-34.583309322605032</v>
      </c>
      <c r="M72" s="285"/>
      <c r="N72" s="282" t="s">
        <v>484</v>
      </c>
      <c r="O72" s="283"/>
      <c r="P72" s="284"/>
      <c r="Q72" s="280">
        <f t="shared" si="223"/>
        <v>-8.6708576562914583</v>
      </c>
      <c r="R72" s="285"/>
      <c r="S72" s="282" t="s">
        <v>483</v>
      </c>
      <c r="T72" s="283"/>
      <c r="U72" s="284"/>
      <c r="V72" s="280">
        <f t="shared" si="224"/>
        <v>28.368577511268544</v>
      </c>
      <c r="W72" s="285"/>
      <c r="X72" s="282" t="s">
        <v>484</v>
      </c>
      <c r="Y72" s="283"/>
      <c r="Z72" s="284"/>
      <c r="AA72" s="280">
        <f t="shared" si="225"/>
        <v>83.054969175319314</v>
      </c>
      <c r="AB72" s="285"/>
      <c r="AC72" s="282" t="s">
        <v>483</v>
      </c>
      <c r="AD72" s="283"/>
      <c r="AE72" s="284"/>
      <c r="IU72"/>
      <c r="IV72"/>
    </row>
    <row r="73" ht="15.75" customHeight="1">
      <c r="A73" s="247" t="s">
        <v>480</v>
      </c>
      <c r="B73" s="280">
        <f t="shared" si="220"/>
        <v>-100</v>
      </c>
      <c r="C73" s="285"/>
      <c r="D73" s="282" t="s">
        <v>484</v>
      </c>
      <c r="E73" s="283"/>
      <c r="F73" s="284"/>
      <c r="G73" s="280">
        <f t="shared" si="221"/>
        <v>-94.062001285671798</v>
      </c>
      <c r="H73" s="285"/>
      <c r="I73" s="282" t="s">
        <v>484</v>
      </c>
      <c r="J73" s="283"/>
      <c r="K73" s="284"/>
      <c r="L73" s="280">
        <f t="shared" si="222"/>
        <v>-40.857026553639209</v>
      </c>
      <c r="M73" s="285"/>
      <c r="N73" s="282" t="s">
        <v>484</v>
      </c>
      <c r="O73" s="283"/>
      <c r="P73" s="284"/>
      <c r="Q73" s="280">
        <f t="shared" si="223"/>
        <v>-14.817665359870638</v>
      </c>
      <c r="R73" s="285"/>
      <c r="S73" s="282" t="s">
        <v>484</v>
      </c>
      <c r="T73" s="283"/>
      <c r="U73" s="284"/>
      <c r="V73" s="280">
        <f t="shared" si="224"/>
        <v>22.812846181346284</v>
      </c>
      <c r="W73" s="285"/>
      <c r="X73" s="282" t="s">
        <v>484</v>
      </c>
      <c r="Y73" s="283"/>
      <c r="Z73" s="284"/>
      <c r="AA73" s="280">
        <f t="shared" si="225"/>
        <v>102.9920492305489</v>
      </c>
      <c r="AB73" s="285"/>
      <c r="AC73" s="282" t="s">
        <v>483</v>
      </c>
      <c r="AD73" s="283"/>
      <c r="AE73" s="284"/>
      <c r="IU73"/>
      <c r="IV73"/>
    </row>
    <row r="74" ht="15.75" customHeight="1">
      <c r="A74" s="247" t="s">
        <v>481</v>
      </c>
      <c r="B74" s="280">
        <f t="shared" si="220"/>
        <v>92.586673204767621</v>
      </c>
      <c r="C74" s="286"/>
      <c r="D74" s="282" t="s">
        <v>483</v>
      </c>
      <c r="E74" s="283"/>
      <c r="F74" s="284"/>
      <c r="G74" s="280">
        <f t="shared" si="221"/>
        <v>-17.638780888817472</v>
      </c>
      <c r="H74" s="286"/>
      <c r="I74" s="282" t="s">
        <v>484</v>
      </c>
      <c r="J74" s="283"/>
      <c r="K74" s="284"/>
      <c r="L74" s="280">
        <f t="shared" si="222"/>
        <v>-19.912652792263994</v>
      </c>
      <c r="M74" s="286"/>
      <c r="N74" s="282" t="s">
        <v>484</v>
      </c>
      <c r="O74" s="283"/>
      <c r="P74" s="284"/>
      <c r="Q74" s="280">
        <f t="shared" si="223"/>
        <v>16.956236978490814</v>
      </c>
      <c r="R74" s="286"/>
      <c r="S74" s="282" t="s">
        <v>483</v>
      </c>
      <c r="T74" s="283"/>
      <c r="U74" s="284"/>
      <c r="V74" s="280">
        <f t="shared" si="224"/>
        <v>62.033829567461119</v>
      </c>
      <c r="W74" s="286"/>
      <c r="X74" s="282" t="s">
        <v>484</v>
      </c>
      <c r="Y74" s="283"/>
      <c r="Z74" s="284"/>
      <c r="AA74" s="280">
        <f t="shared" si="225"/>
        <v>18.14880941278771</v>
      </c>
      <c r="AB74" s="286"/>
      <c r="AC74" s="282" t="s">
        <v>483</v>
      </c>
      <c r="AD74" s="283"/>
      <c r="AE74" s="284"/>
      <c r="IU74"/>
      <c r="IV74"/>
    </row>
    <row r="76">
      <c r="A76" s="289" t="s">
        <v>472</v>
      </c>
      <c r="B76" s="290" t="s">
        <v>485</v>
      </c>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row>
    <row r="77">
      <c r="A77" s="289"/>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row>
    <row r="78">
      <c r="A78" s="289"/>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row>
    <row r="79">
      <c r="A79" s="289"/>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row>
    <row r="82">
      <c r="A82" s="66" t="s">
        <v>486</v>
      </c>
      <c r="B82" s="219"/>
      <c r="C82" s="219"/>
      <c r="D82" s="219"/>
      <c r="E82" s="219"/>
      <c r="F82" s="219"/>
      <c r="G82" s="219"/>
      <c r="H82" s="219"/>
      <c r="I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row>
    <row r="83">
      <c r="A83" s="207" t="s">
        <v>487</v>
      </c>
      <c r="B83" s="198"/>
      <c r="C83" s="198"/>
      <c r="D83" s="219"/>
      <c r="E83" s="219"/>
      <c r="F83" s="219"/>
      <c r="G83" s="219"/>
      <c r="H83" s="219"/>
      <c r="I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row>
    <row r="84">
      <c r="A84" s="294" t="s">
        <v>488</v>
      </c>
      <c r="B84" s="179" t="str">
        <f>э!B56</f>
        <v xml:space="preserve">2019 год</v>
      </c>
      <c r="C84" s="179" t="str">
        <f>э!C56</f>
        <v xml:space="preserve">2018 год</v>
      </c>
      <c r="D84" s="179" t="str">
        <f>э!D56</f>
        <v xml:space="preserve">2017 год</v>
      </c>
      <c r="E84" s="179" t="str">
        <f>э!E56</f>
        <v xml:space="preserve">2016 год</v>
      </c>
      <c r="F84" s="179" t="str">
        <f>э!F56</f>
        <v xml:space="preserve">2015 год</v>
      </c>
      <c r="G84" s="179" t="str">
        <f>э!G56</f>
        <v xml:space="preserve">2014 год</v>
      </c>
      <c r="H84" s="179" t="str">
        <f>э!H56</f>
        <v xml:space="preserve">2013 год</v>
      </c>
      <c r="I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c r="HV84" s="220"/>
      <c r="HW84" s="220"/>
      <c r="HX84" s="220"/>
      <c r="HY84" s="220"/>
      <c r="HZ84" s="220"/>
      <c r="IA84" s="220"/>
      <c r="IB84" s="220"/>
      <c r="IC84" s="220"/>
      <c r="ID84" s="220"/>
      <c r="IE84" s="220"/>
      <c r="IF84" s="220"/>
      <c r="IG84" s="220"/>
      <c r="IH84" s="220"/>
      <c r="II84" s="220"/>
      <c r="IJ84" s="220"/>
      <c r="IK84" s="220"/>
      <c r="IL84" s="220"/>
      <c r="IM84" s="220"/>
      <c r="IN84" s="220"/>
      <c r="IO84" s="220"/>
      <c r="IP84" s="220"/>
      <c r="IQ84" s="220"/>
      <c r="IR84" s="220"/>
      <c r="IS84" s="220"/>
      <c r="IT84" s="220"/>
      <c r="IU84" s="220"/>
      <c r="IV84" s="220"/>
    </row>
    <row r="85">
      <c r="A85" s="211" t="s">
        <v>372</v>
      </c>
      <c r="B85" s="204">
        <f>бс!C26</f>
        <v>48379068</v>
      </c>
      <c r="C85" s="204">
        <f>бс!D26</f>
        <v>49841835.5</v>
      </c>
      <c r="D85" s="204">
        <f>бс!E26</f>
        <v>54790360.5</v>
      </c>
      <c r="E85" s="204">
        <f>бс!F26</f>
        <v>54360749</v>
      </c>
      <c r="F85" s="204">
        <f>бс!G26</f>
        <v>48346005</v>
      </c>
      <c r="G85" s="204">
        <f>бс!H26</f>
        <v>39904894.5</v>
      </c>
      <c r="H85" s="204">
        <f>бс!I26</f>
        <v>31568875.5</v>
      </c>
      <c r="I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row>
    <row r="86">
      <c r="A86" s="182" t="s">
        <v>489</v>
      </c>
      <c r="B86" s="204">
        <f>'2'!C7</f>
        <v>21650314</v>
      </c>
      <c r="C86" s="204">
        <f>'2'!D7</f>
        <v>27154819</v>
      </c>
      <c r="D86" s="204">
        <f>'2'!E7</f>
        <v>24000677</v>
      </c>
      <c r="E86" s="204">
        <f>'2'!F7</f>
        <v>23253619</v>
      </c>
      <c r="F86" s="204">
        <f>'2'!G7</f>
        <v>26654915</v>
      </c>
      <c r="G86" s="204">
        <f>'2'!H7</f>
        <v>16131092</v>
      </c>
      <c r="H86" s="204">
        <f>'2'!I7</f>
        <v>17359621</v>
      </c>
      <c r="I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row>
    <row r="87">
      <c r="A87" s="182" t="s">
        <v>374</v>
      </c>
      <c r="B87" s="204">
        <f>'2'!C25</f>
        <v>3687983</v>
      </c>
      <c r="C87" s="204">
        <f>'2'!D25</f>
        <v>4745980</v>
      </c>
      <c r="D87" s="204">
        <f>'2'!E25</f>
        <v>8056307</v>
      </c>
      <c r="E87" s="204">
        <f>'2'!F25</f>
        <v>7458998</v>
      </c>
      <c r="F87" s="204">
        <f>'2'!G25</f>
        <v>9074394</v>
      </c>
      <c r="G87" s="204">
        <f>'2'!H25</f>
        <v>412488</v>
      </c>
      <c r="H87" s="204">
        <f>'2'!I25</f>
        <v>4028440</v>
      </c>
      <c r="I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row>
    <row r="88">
      <c r="A88" s="295"/>
      <c r="B88" s="198"/>
      <c r="C88" s="198"/>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row>
    <row r="89">
      <c r="A89" s="207" t="s">
        <v>490</v>
      </c>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row>
    <row r="90">
      <c r="A90" s="179" t="s">
        <v>177</v>
      </c>
      <c r="B90" s="179" t="str">
        <f>э!B46</f>
        <v xml:space="preserve">2019/2018 год</v>
      </c>
      <c r="C90" s="179" t="str">
        <f>э!C46</f>
        <v xml:space="preserve">2018/2017 год</v>
      </c>
      <c r="D90" s="179" t="str">
        <f>э!D46</f>
        <v xml:space="preserve">2017/2016 год</v>
      </c>
      <c r="E90" s="179" t="str">
        <f>э!E46</f>
        <v xml:space="preserve">2016/2015 год</v>
      </c>
      <c r="F90" s="179" t="str">
        <f>э!F46</f>
        <v xml:space="preserve">2015/2014 год</v>
      </c>
      <c r="G90" s="179" t="str">
        <f>э!G46</f>
        <v xml:space="preserve">2014/2013 год</v>
      </c>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row>
    <row r="91">
      <c r="A91" s="211" t="s">
        <v>413</v>
      </c>
      <c r="B91" s="296">
        <f>э!B48</f>
        <v>-20.270821911941304</v>
      </c>
      <c r="C91" s="296">
        <f>э!C48</f>
        <v>13.141887622586646</v>
      </c>
      <c r="D91" s="296">
        <f>э!D48</f>
        <v>3.2126526197922138</v>
      </c>
      <c r="E91" s="296">
        <f>э!E48</f>
        <v>-12.760483385521956</v>
      </c>
      <c r="F91" s="296">
        <f>э!F48</f>
        <v>65.239371271331166</v>
      </c>
      <c r="G91" s="296">
        <f>э!G48</f>
        <v>-7.0769344561151417</v>
      </c>
      <c r="H91" s="198"/>
      <c r="I91" s="297" t="s">
        <v>472</v>
      </c>
      <c r="J91" s="298" t="s">
        <v>491</v>
      </c>
      <c r="K91" s="299"/>
      <c r="L91" s="299"/>
      <c r="M91" s="299"/>
      <c r="N91" s="299"/>
      <c r="O91" s="299"/>
      <c r="P91" s="299"/>
      <c r="Q91" s="299"/>
      <c r="R91" s="299"/>
      <c r="S91" s="299"/>
      <c r="T91" s="299"/>
      <c r="U91" s="299"/>
      <c r="V91" s="299"/>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row>
    <row r="92">
      <c r="A92" s="182" t="s">
        <v>492</v>
      </c>
      <c r="B92" s="300">
        <f>(B87/B86-C87/C86)/(C87/C86)*100</f>
        <v>-2.5356659548734557</v>
      </c>
      <c r="C92" s="300">
        <f t="shared" ref="C92:G92" si="226">(C87/C86-D87/D86)/(D87/D86)*100</f>
        <v>-47.93252991213194</v>
      </c>
      <c r="D92" s="300">
        <f t="shared" si="226"/>
        <v>4.6459866174752475</v>
      </c>
      <c r="E92" s="300">
        <f t="shared" si="226"/>
        <v>-5.7785880051766236</v>
      </c>
      <c r="F92" s="300">
        <f t="shared" si="226"/>
        <v>1231.3516455377621</v>
      </c>
      <c r="G92" s="300">
        <f t="shared" si="226"/>
        <v>-88.980779076611654</v>
      </c>
      <c r="H92" s="198"/>
      <c r="I92" s="297"/>
      <c r="J92" s="299"/>
      <c r="K92" s="299"/>
      <c r="L92" s="299"/>
      <c r="M92" s="299"/>
      <c r="N92" s="299"/>
      <c r="O92" s="299"/>
      <c r="P92" s="299"/>
      <c r="Q92" s="299"/>
      <c r="R92" s="299"/>
      <c r="S92" s="299"/>
      <c r="T92" s="299"/>
      <c r="U92" s="299"/>
      <c r="V92" s="299"/>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row>
    <row r="93" ht="31.199999999999999">
      <c r="A93" s="182" t="s">
        <v>493</v>
      </c>
      <c r="B93" s="301">
        <f>(('2'!C12/'2'!C19)-('2'!D12/'2'!D19))/('2'!D12/'2'!D19)*100</f>
        <v>-28.209041585380746</v>
      </c>
      <c r="C93" s="301">
        <f>(('2'!D12/'2'!D19)-('2'!E12/'2'!E19))/('2'!E12/'2'!E19)*100</f>
        <v>54.884160653412884</v>
      </c>
      <c r="D93" s="301">
        <f>(('2'!E12/'2'!E19)-('2'!F12/'2'!F19))/('2'!F12/'2'!F19)*100</f>
        <v>9.6931716024087962</v>
      </c>
      <c r="E93" s="301">
        <f>(('2'!F12/'2'!F19)-('2'!G12/'2'!G19))/('2'!G12/'2'!G19)*100</f>
        <v>-40.479995563378928</v>
      </c>
      <c r="F93" s="301">
        <f>(('2'!G12/'2'!G19)-('2'!H12/'2'!H19))/('2'!H12/'2'!H19)*100</f>
        <v>-85.888854750976094</v>
      </c>
      <c r="G93" s="301">
        <f>(('2'!H12/'2'!H19)-('2'!I12/'2'!I19))/('2'!I12/'2'!I19)*100</f>
        <v>724.64219945791433</v>
      </c>
      <c r="H93" s="198"/>
      <c r="I93" s="297"/>
      <c r="J93" s="299"/>
      <c r="K93" s="299"/>
      <c r="L93" s="299"/>
      <c r="M93" s="299"/>
      <c r="N93" s="299"/>
      <c r="O93" s="299"/>
      <c r="P93" s="299"/>
      <c r="Q93" s="299"/>
      <c r="R93" s="299"/>
      <c r="S93" s="299"/>
      <c r="T93" s="299"/>
      <c r="U93" s="299"/>
      <c r="V93" s="299"/>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row>
    <row r="94" ht="46.799999999999997">
      <c r="A94" s="211" t="s">
        <v>494</v>
      </c>
      <c r="B94" s="26">
        <f>(бс!C19-бс!C46)-(бс!D19-бс!D46)</f>
        <v>-2394681</v>
      </c>
      <c r="C94" s="26">
        <f>(бс!D19-бс!D46)-(бс!E19-бс!E46)</f>
        <v>187662.5</v>
      </c>
      <c r="D94" s="26">
        <f>(бс!E19-бс!E46)-(бс!F19-бс!F46)</f>
        <v>-376449</v>
      </c>
      <c r="E94" s="26">
        <f>(бс!F19-бс!F46)-(бс!G19-бс!G46)</f>
        <v>-1425982.5</v>
      </c>
      <c r="F94" s="26">
        <f>(бс!G19-бс!G46)-(бс!H19-бс!H46)</f>
        <v>-648843</v>
      </c>
      <c r="G94" s="26">
        <f>(бс!H19-бс!H46)-(бс!I19-бс!I46)</f>
        <v>192623.5</v>
      </c>
      <c r="H94" s="198"/>
      <c r="I94" s="297"/>
      <c r="J94" s="299"/>
      <c r="K94" s="299"/>
      <c r="L94" s="299"/>
      <c r="M94" s="299"/>
      <c r="N94" s="299"/>
      <c r="O94" s="299"/>
      <c r="P94" s="299"/>
      <c r="Q94" s="299"/>
      <c r="R94" s="299"/>
      <c r="S94" s="299"/>
      <c r="T94" s="299"/>
      <c r="U94" s="299"/>
      <c r="V94" s="299"/>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row>
    <row r="95">
      <c r="A95" s="302"/>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row>
    <row r="96">
      <c r="A96" s="207" t="s">
        <v>495</v>
      </c>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row>
    <row r="97">
      <c r="A97" s="179" t="s">
        <v>177</v>
      </c>
      <c r="B97" s="179" t="str">
        <f t="shared" ref="B97:H97" si="227">B84</f>
        <v xml:space="preserve">2019 год</v>
      </c>
      <c r="C97" s="179" t="str">
        <f t="shared" si="227"/>
        <v xml:space="preserve">2018 год</v>
      </c>
      <c r="D97" s="179" t="str">
        <f t="shared" si="227"/>
        <v xml:space="preserve">2017 год</v>
      </c>
      <c r="E97" s="179" t="str">
        <f t="shared" si="227"/>
        <v xml:space="preserve">2016 год</v>
      </c>
      <c r="F97" s="179" t="str">
        <f t="shared" si="227"/>
        <v xml:space="preserve">2015 год</v>
      </c>
      <c r="G97" s="179" t="str">
        <f t="shared" si="227"/>
        <v xml:space="preserve">2014 год</v>
      </c>
      <c r="H97" s="179" t="str">
        <f t="shared" si="227"/>
        <v xml:space="preserve">2013 год</v>
      </c>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row>
    <row r="98">
      <c r="A98" s="211" t="s">
        <v>496</v>
      </c>
      <c r="B98" s="301">
        <f>(бс!C15/бс!C26)*100</f>
        <v>35.267471461004583</v>
      </c>
      <c r="C98" s="301">
        <f>(бс!D15/бс!D26)*100</f>
        <v>33.792259717240952</v>
      </c>
      <c r="D98" s="300">
        <f>(бс!E15/бс!E26)*100</f>
        <v>25.813783430025065</v>
      </c>
      <c r="E98" s="300">
        <f>(бс!F15/бс!F26)*100</f>
        <v>18.032819047434391</v>
      </c>
      <c r="F98" s="300">
        <f>(бс!G15/бс!G26)*100</f>
        <v>22.483484416137383</v>
      </c>
      <c r="G98" s="300">
        <f>(бс!H15/бс!H26)*100</f>
        <v>34.24077715579476</v>
      </c>
      <c r="H98" s="300">
        <f>(бс!I15/бс!I26)*100</f>
        <v>55.308873767138145</v>
      </c>
      <c r="I98" s="303" t="s">
        <v>472</v>
      </c>
      <c r="J98" s="298" t="s">
        <v>497</v>
      </c>
      <c r="K98" s="299"/>
      <c r="L98" s="299"/>
      <c r="M98" s="299"/>
      <c r="N98" s="299"/>
      <c r="O98" s="299"/>
      <c r="P98" s="299"/>
      <c r="Q98" s="299"/>
      <c r="R98" s="299"/>
      <c r="S98" s="299"/>
      <c r="T98" s="299"/>
      <c r="U98" s="299"/>
      <c r="V98" s="299"/>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row>
    <row r="99">
      <c r="A99" s="211" t="s">
        <v>498</v>
      </c>
      <c r="B99" s="296">
        <f>(бс!C15-бс!D15)/бс!D15*100</f>
        <v>1.3025923869312386</v>
      </c>
      <c r="C99" s="296">
        <f>(бс!D15-бс!E15)/бс!E15*100</f>
        <v>19.084556012264322</v>
      </c>
      <c r="D99" s="304">
        <f>(бс!E15-бс!F15)/бс!F15*100</f>
        <v>44.280209212176693</v>
      </c>
      <c r="E99" s="304">
        <f>(бс!F15-бс!G15)/бс!G15*100</f>
        <v>-9.8169650933615422</v>
      </c>
      <c r="F99" s="304">
        <f>(бс!G15-бс!H15)/бс!H15*100</f>
        <v>-20.447390488669797</v>
      </c>
      <c r="G99" s="304">
        <f>(бс!H15-бс!I15)/бс!I15*100</f>
        <v>-21.744323057627092</v>
      </c>
      <c r="H99" s="305" t="s">
        <v>108</v>
      </c>
      <c r="I99" s="303"/>
      <c r="J99" s="299"/>
      <c r="K99" s="299"/>
      <c r="L99" s="299"/>
      <c r="M99" s="299"/>
      <c r="N99" s="299"/>
      <c r="O99" s="299"/>
      <c r="P99" s="299"/>
      <c r="Q99" s="299"/>
      <c r="R99" s="299"/>
      <c r="S99" s="299"/>
      <c r="T99" s="299"/>
      <c r="U99" s="299"/>
      <c r="V99" s="299"/>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row>
    <row r="100">
      <c r="A100" s="182" t="s">
        <v>499</v>
      </c>
      <c r="B100" s="296">
        <f>(483446/'1'!C10)</f>
        <v>0.060409734963449591</v>
      </c>
      <c r="C100" s="296">
        <f>(454549/'1'!D10)</f>
        <v>0.11852411790535572</v>
      </c>
      <c r="D100" s="304">
        <f>(686654/'1'!E10)</f>
        <v>0.17634388719604194</v>
      </c>
      <c r="E100" s="304">
        <f>(1026821/'1'!F10)</f>
        <v>0.26046750779953343</v>
      </c>
      <c r="F100" s="304">
        <f>(369348/'1'!G10)</f>
        <v>0.096381781957055268</v>
      </c>
      <c r="G100" s="304">
        <f>(563412/'1'!H10)</f>
        <v>0.14282270361117766</v>
      </c>
      <c r="H100" s="304">
        <f>(618745/'1'!I10)</f>
        <v>0.17326677221907033</v>
      </c>
      <c r="I100" s="303"/>
      <c r="J100" s="299"/>
      <c r="K100" s="299"/>
      <c r="L100" s="299"/>
      <c r="M100" s="299"/>
      <c r="N100" s="299"/>
      <c r="O100" s="299"/>
      <c r="P100" s="299"/>
      <c r="Q100" s="299"/>
      <c r="R100" s="299"/>
      <c r="S100" s="299"/>
      <c r="T100" s="299"/>
      <c r="U100" s="299"/>
      <c r="V100" s="299"/>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row>
    <row r="101">
      <c r="A101" s="199" t="s">
        <v>500</v>
      </c>
      <c r="B101" s="296">
        <f>'1'!C10/8402019</f>
        <v>0.95248332573396943</v>
      </c>
      <c r="C101" s="296">
        <f>'1'!D10/8022064</f>
        <v>0.47806599398857952</v>
      </c>
      <c r="D101" s="296">
        <f>'1'!E10/8312942</f>
        <v>0.46840637165518539</v>
      </c>
      <c r="E101" s="296">
        <f>'1'!F10/7756233</f>
        <v>0.50826515913072756</v>
      </c>
      <c r="F101" s="296">
        <f>'1'!G10/6809226</f>
        <v>0.56278569693530511</v>
      </c>
      <c r="G101" s="296">
        <f>'1'!H10/6487545</f>
        <v>0.60806283424623642</v>
      </c>
      <c r="H101" s="296">
        <f>'1'!I10/6006971</f>
        <v>0.5944849742074666</v>
      </c>
      <c r="I101" s="303"/>
      <c r="J101" s="299"/>
      <c r="K101" s="299"/>
      <c r="L101" s="299"/>
      <c r="M101" s="299"/>
      <c r="N101" s="299"/>
      <c r="O101" s="299"/>
      <c r="P101" s="299"/>
      <c r="Q101" s="299"/>
      <c r="R101" s="299"/>
      <c r="S101" s="299"/>
      <c r="T101" s="299"/>
      <c r="U101" s="299"/>
      <c r="V101" s="299"/>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row>
    <row r="102">
      <c r="A102" s="306"/>
      <c r="B102" s="307"/>
      <c r="C102" s="307"/>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row>
    <row r="103">
      <c r="A103" s="207" t="s">
        <v>501</v>
      </c>
      <c r="B103" s="307"/>
      <c r="C103" s="307"/>
      <c r="D103" s="198"/>
      <c r="E103" s="198"/>
      <c r="F103" s="198"/>
      <c r="G103" s="198"/>
      <c r="H103" s="198"/>
      <c r="I103" s="198"/>
      <c r="J103" s="308" t="s">
        <v>502</v>
      </c>
      <c r="K103" s="308"/>
      <c r="L103" s="308"/>
      <c r="M103" s="308"/>
      <c r="N103" s="308"/>
      <c r="O103" s="308"/>
      <c r="P103" s="308"/>
      <c r="Q103" s="308"/>
      <c r="R103" s="308"/>
      <c r="S103" s="308"/>
      <c r="T103" s="308"/>
      <c r="U103" s="308"/>
      <c r="V103" s="30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row>
    <row r="104" ht="27" customHeight="1">
      <c r="A104" s="179" t="s">
        <v>177</v>
      </c>
      <c r="B104" s="179" t="str">
        <f t="shared" ref="B104:H104" si="228">B97</f>
        <v xml:space="preserve">2019 год</v>
      </c>
      <c r="C104" s="179" t="str">
        <f t="shared" si="228"/>
        <v xml:space="preserve">2018 год</v>
      </c>
      <c r="D104" s="179" t="str">
        <f t="shared" si="228"/>
        <v xml:space="preserve">2017 год</v>
      </c>
      <c r="E104" s="179" t="str">
        <f t="shared" si="228"/>
        <v xml:space="preserve">2016 год</v>
      </c>
      <c r="F104" s="179" t="str">
        <f t="shared" si="228"/>
        <v xml:space="preserve">2015 год</v>
      </c>
      <c r="G104" s="179" t="str">
        <f t="shared" si="228"/>
        <v xml:space="preserve">2014 год</v>
      </c>
      <c r="H104" s="179" t="str">
        <f t="shared" si="228"/>
        <v xml:space="preserve">2013 год</v>
      </c>
      <c r="I104" s="198"/>
      <c r="J104" s="308"/>
      <c r="K104" s="308"/>
      <c r="L104" s="308"/>
      <c r="M104" s="308"/>
      <c r="N104" s="308"/>
      <c r="O104" s="308"/>
      <c r="P104" s="308"/>
      <c r="Q104" s="308"/>
      <c r="R104" s="308"/>
      <c r="S104" s="308"/>
      <c r="T104" s="308"/>
      <c r="U104" s="308"/>
      <c r="V104" s="30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row>
    <row r="105" ht="31.5" customHeight="1">
      <c r="A105" s="199" t="s">
        <v>503</v>
      </c>
      <c r="B105" s="309">
        <f>'2'!C7/бс!C15</f>
        <v>1.2689145528263446</v>
      </c>
      <c r="C105" s="309">
        <f>'2'!D7/бс!D15</f>
        <v>1.6122621203599843</v>
      </c>
      <c r="D105" s="309">
        <f>'2'!E7/бс!E15</f>
        <v>1.6969446313191288</v>
      </c>
      <c r="E105" s="309">
        <f>'2'!F7/бс!F15</f>
        <v>2.3721464395466367</v>
      </c>
      <c r="F105" s="309">
        <f>'2'!G7/бс!G15</f>
        <v>2.4521842103580571</v>
      </c>
      <c r="G105" s="309">
        <f>'2'!H7/бс!H15</f>
        <v>1.1805761026295425</v>
      </c>
      <c r="H105" s="309">
        <f>'2'!I7/бс!I15</f>
        <v>0.99422873699352465</v>
      </c>
      <c r="I105" s="303" t="s">
        <v>504</v>
      </c>
      <c r="J105" s="308"/>
      <c r="K105" s="308"/>
      <c r="L105" s="308"/>
      <c r="M105" s="308"/>
      <c r="N105" s="308"/>
      <c r="O105" s="308"/>
      <c r="P105" s="308"/>
      <c r="Q105" s="308"/>
      <c r="R105" s="308"/>
      <c r="S105" s="308"/>
      <c r="T105" s="308"/>
      <c r="U105" s="308"/>
      <c r="V105" s="30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row>
    <row r="106">
      <c r="A106" s="199" t="s">
        <v>505</v>
      </c>
      <c r="B106" s="309">
        <f>'2'!C25/бс!C37</f>
        <v>0.08560506778766494</v>
      </c>
      <c r="C106" s="309">
        <f>'2'!D25/бс!D37</f>
        <v>0.1023141858979414</v>
      </c>
      <c r="D106" s="309">
        <f>'2'!E25/бс!E37</f>
        <v>0.18250807832524138</v>
      </c>
      <c r="E106" s="309">
        <f>'2'!F25/бс!F37</f>
        <v>0.19586005972223575</v>
      </c>
      <c r="F106" s="309">
        <f>'2'!G25/бс!G37</f>
        <v>0.29729530678436178</v>
      </c>
      <c r="G106" s="309">
        <f>'2'!H25/бс!H37</f>
        <v>0.015852252858974524</v>
      </c>
      <c r="H106" s="309">
        <f>'2'!I25/бс!I37</f>
        <v>0.16796219628946241</v>
      </c>
      <c r="I106" s="303"/>
      <c r="J106" s="308"/>
      <c r="K106" s="308"/>
      <c r="L106" s="308"/>
      <c r="M106" s="308"/>
      <c r="N106" s="308"/>
      <c r="O106" s="308"/>
      <c r="P106" s="308"/>
      <c r="Q106" s="308"/>
      <c r="R106" s="308"/>
      <c r="S106" s="308"/>
      <c r="T106" s="308"/>
      <c r="U106" s="308"/>
      <c r="V106" s="30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row>
    <row r="107">
      <c r="A107" s="310" t="s">
        <v>506</v>
      </c>
      <c r="B107" s="311">
        <f>(бс!C25/'2'!C7)*365</f>
        <v>527.96937771895603</v>
      </c>
      <c r="C107" s="311">
        <f>(бс!D25/'2'!D7)*365</f>
        <v>443.55629271548446</v>
      </c>
      <c r="D107" s="311">
        <f>(бс!E25/'2'!E7)*365</f>
        <v>618.15409863230104</v>
      </c>
      <c r="E107" s="311">
        <f>(бс!F25/'2'!F7)*365</f>
        <v>699.40340587415665</v>
      </c>
      <c r="F107" s="311">
        <f>(бс!G25/'2'!G7)*365</f>
        <v>513.18079808170455</v>
      </c>
      <c r="G107" s="311">
        <f>(бс!H25/'2'!H7)*365</f>
        <v>593.76136485366271</v>
      </c>
      <c r="H107" s="311">
        <f>(бс!I25/'2'!I7)*365</f>
        <v>296.64227058874155</v>
      </c>
      <c r="I107" s="303"/>
      <c r="J107" s="308"/>
      <c r="K107" s="308"/>
      <c r="L107" s="308"/>
      <c r="M107" s="308"/>
      <c r="N107" s="308"/>
      <c r="O107" s="308"/>
      <c r="P107" s="308"/>
      <c r="Q107" s="308"/>
      <c r="R107" s="308"/>
      <c r="S107" s="308"/>
      <c r="T107" s="308"/>
      <c r="U107" s="308"/>
      <c r="V107" s="30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row>
    <row r="108">
      <c r="A108" s="310" t="s">
        <v>507</v>
      </c>
      <c r="B108" s="312">
        <f>((бс!C17+бс!C18)/'2'!C8)*365</f>
        <v>-79.740580578843918</v>
      </c>
      <c r="C108" s="312">
        <f>((бс!D17+бс!D18)/'2'!D8)*365</f>
        <v>-70.102268058517964</v>
      </c>
      <c r="D108" s="312">
        <f>((бс!E17+бс!E18)/'2'!E8)*365</f>
        <v>-78.728664027251455</v>
      </c>
      <c r="E108" s="312">
        <f>((бс!F17+бс!F18)/'2'!F8)*365</f>
        <v>-67.344835747266586</v>
      </c>
      <c r="F108" s="312">
        <f>((бс!G17+бс!G18)/'2'!G8)*365</f>
        <v>-69.461805942650017</v>
      </c>
      <c r="G108" s="312">
        <f>((бс!H17+бс!H18)/'2'!H8)*365</f>
        <v>-73.158581954069305</v>
      </c>
      <c r="H108" s="312">
        <f>((бс!I17+бс!I18)/'2'!I8)*365</f>
        <v>-67.896391702922813</v>
      </c>
      <c r="I108" s="303"/>
      <c r="J108" s="308"/>
      <c r="K108" s="308"/>
      <c r="L108" s="308"/>
      <c r="M108" s="308"/>
      <c r="N108" s="308"/>
      <c r="O108" s="308"/>
      <c r="P108" s="308"/>
      <c r="Q108" s="308"/>
      <c r="R108" s="308"/>
      <c r="S108" s="308"/>
      <c r="T108" s="308"/>
      <c r="U108" s="308"/>
      <c r="V108" s="30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row>
    <row r="109">
      <c r="A109" s="310" t="s">
        <v>508</v>
      </c>
      <c r="B109" s="313">
        <f>'2'!C7/э!B5</f>
        <v>8157.6164280331577</v>
      </c>
      <c r="C109" s="313">
        <f>'2'!D7/э!C5</f>
        <v>10305.434155597723</v>
      </c>
      <c r="D109" s="313">
        <f>'2'!E7/э!D5</f>
        <v>9150.0865421273356</v>
      </c>
      <c r="E109" s="313">
        <f>'2'!F7/э!E5</f>
        <v>9058.6751071289436</v>
      </c>
      <c r="F109" s="313">
        <f>'2'!G7/э!F5</f>
        <v>10177.516227567774</v>
      </c>
      <c r="G109" s="313">
        <f>'2'!H7/э!G5</f>
        <v>6944.0774860094707</v>
      </c>
      <c r="H109" s="313">
        <f>'2'!I7/э!H5</f>
        <v>7858.5880488909006</v>
      </c>
      <c r="I109" s="303"/>
      <c r="J109" s="308"/>
      <c r="K109" s="308"/>
      <c r="L109" s="308"/>
      <c r="M109" s="308"/>
      <c r="N109" s="308"/>
      <c r="O109" s="308"/>
      <c r="P109" s="308"/>
      <c r="Q109" s="308"/>
      <c r="R109" s="308"/>
      <c r="S109" s="308"/>
      <c r="T109" s="308"/>
      <c r="U109" s="308"/>
      <c r="V109" s="30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row>
    <row r="110">
      <c r="A110" s="310" t="s">
        <v>509</v>
      </c>
      <c r="B110" s="313">
        <f>2375956/э!B5</f>
        <v>895.23587038432549</v>
      </c>
      <c r="C110" s="313">
        <f>2159934/э!C5</f>
        <v>819.70929791271351</v>
      </c>
      <c r="D110" s="313">
        <f>1899152/э!D5</f>
        <v>724.0381242851696</v>
      </c>
      <c r="E110" s="313">
        <f>2252907/э!E5</f>
        <v>877.64199454616289</v>
      </c>
      <c r="F110" s="313">
        <f>1717780/э!F5</f>
        <v>655.89156166475755</v>
      </c>
      <c r="G110" s="313">
        <f>1272527/э!G5</f>
        <v>547.79466207490316</v>
      </c>
      <c r="H110" s="313">
        <f>1135067/э!H5</f>
        <v>513.83748302399272</v>
      </c>
      <c r="I110" s="198"/>
      <c r="J110" s="308"/>
      <c r="K110" s="308"/>
      <c r="L110" s="308"/>
      <c r="M110" s="308"/>
      <c r="N110" s="308"/>
      <c r="O110" s="308"/>
      <c r="P110" s="308"/>
      <c r="Q110" s="308"/>
      <c r="R110" s="308"/>
      <c r="S110" s="308"/>
      <c r="T110" s="308"/>
      <c r="U110" s="308"/>
      <c r="V110" s="30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row>
    <row r="111">
      <c r="A111" s="198"/>
      <c r="B111" s="198"/>
      <c r="C111" s="198"/>
      <c r="D111" s="198"/>
      <c r="E111" s="198"/>
      <c r="F111" s="198"/>
      <c r="G111" s="198"/>
      <c r="H111" s="198"/>
      <c r="I111" s="198"/>
      <c r="J111" s="308"/>
      <c r="K111" s="308"/>
      <c r="L111" s="308"/>
      <c r="M111" s="308"/>
      <c r="N111" s="308"/>
      <c r="O111" s="308"/>
      <c r="P111" s="308"/>
      <c r="Q111" s="308"/>
      <c r="R111" s="308"/>
      <c r="S111" s="308"/>
      <c r="T111" s="308"/>
      <c r="U111" s="308"/>
      <c r="V111" s="30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row>
    <row r="112">
      <c r="A112" s="207" t="s">
        <v>510</v>
      </c>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row>
    <row r="113">
      <c r="A113" s="179" t="s">
        <v>177</v>
      </c>
      <c r="B113" s="179" t="str">
        <f t="shared" ref="B113:H113" si="229">B104</f>
        <v xml:space="preserve">2019 год</v>
      </c>
      <c r="C113" s="179" t="str">
        <f t="shared" si="229"/>
        <v xml:space="preserve">2018 год</v>
      </c>
      <c r="D113" s="179" t="str">
        <f t="shared" si="229"/>
        <v xml:space="preserve">2017 год</v>
      </c>
      <c r="E113" s="179" t="str">
        <f t="shared" si="229"/>
        <v xml:space="preserve">2016 год</v>
      </c>
      <c r="F113" s="179" t="str">
        <f t="shared" si="229"/>
        <v xml:space="preserve">2015 год</v>
      </c>
      <c r="G113" s="179" t="str">
        <f t="shared" si="229"/>
        <v xml:space="preserve">2014 год</v>
      </c>
      <c r="H113" s="179" t="str">
        <f t="shared" si="229"/>
        <v xml:space="preserve">2013 год</v>
      </c>
      <c r="I113" s="303" t="s">
        <v>472</v>
      </c>
      <c r="J113" s="308" t="s">
        <v>511</v>
      </c>
      <c r="K113" s="314"/>
      <c r="L113" s="314"/>
      <c r="M113" s="314"/>
      <c r="N113" s="314"/>
      <c r="O113" s="314"/>
      <c r="P113" s="314"/>
      <c r="Q113" s="314"/>
      <c r="R113" s="314"/>
      <c r="S113" s="314"/>
      <c r="T113" s="314"/>
      <c r="U113" s="314"/>
      <c r="V113" s="314"/>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row>
    <row r="114">
      <c r="A114" s="211" t="s">
        <v>512</v>
      </c>
      <c r="B114" s="191">
        <f>(C34+C33+C32)/C31</f>
        <v>0.12296976305044016</v>
      </c>
      <c r="C114" s="191">
        <f t="shared" ref="C114:H114" si="230">(D34+D33+D32)/D31</f>
        <v>0.074493955482664354</v>
      </c>
      <c r="D114" s="191">
        <f t="shared" si="230"/>
        <v>0.24122422415161332</v>
      </c>
      <c r="E114" s="191">
        <f t="shared" si="230"/>
        <v>0.42741686560117959</v>
      </c>
      <c r="F114" s="315">
        <f t="shared" si="230"/>
        <v>0.58391187205154271</v>
      </c>
      <c r="G114" s="191">
        <f t="shared" si="230"/>
        <v>0.53357789299252778</v>
      </c>
      <c r="H114" s="191">
        <f t="shared" si="230"/>
        <v>0.31623597803829784</v>
      </c>
      <c r="I114" s="303"/>
      <c r="J114" s="314"/>
      <c r="K114" s="314"/>
      <c r="L114" s="314"/>
      <c r="M114" s="314"/>
      <c r="N114" s="314"/>
      <c r="O114" s="314"/>
      <c r="P114" s="314"/>
      <c r="Q114" s="314"/>
      <c r="R114" s="314"/>
      <c r="S114" s="314"/>
      <c r="T114" s="314"/>
      <c r="U114" s="314"/>
      <c r="V114" s="314"/>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row>
    <row r="115">
      <c r="A115" s="211" t="s">
        <v>513</v>
      </c>
      <c r="B115" s="191">
        <f>C31/SUM(C31:C34)</f>
        <v>0.89049592687482115</v>
      </c>
      <c r="C115" s="191">
        <f t="shared" ref="C115:H115" si="231">D31/SUM(D31:D34)</f>
        <v>0.93067066119585429</v>
      </c>
      <c r="D115" s="191">
        <f t="shared" si="231"/>
        <v>0.80565620662415605</v>
      </c>
      <c r="E115" s="191">
        <f t="shared" si="231"/>
        <v>0.70056619344961568</v>
      </c>
      <c r="F115" s="315">
        <f t="shared" si="231"/>
        <v>0.63134825721380705</v>
      </c>
      <c r="G115" s="191">
        <f t="shared" si="231"/>
        <v>0.6520699108727126</v>
      </c>
      <c r="H115" s="191">
        <f t="shared" si="231"/>
        <v>0.75974218657234083</v>
      </c>
      <c r="I115" s="303"/>
      <c r="J115" s="314"/>
      <c r="K115" s="314"/>
      <c r="L115" s="314"/>
      <c r="M115" s="314"/>
      <c r="N115" s="314"/>
      <c r="O115" s="314"/>
      <c r="P115" s="314"/>
      <c r="Q115" s="314"/>
      <c r="R115" s="314"/>
      <c r="S115" s="314"/>
      <c r="T115" s="314"/>
      <c r="U115" s="314"/>
      <c r="V115" s="314"/>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row>
    <row r="116" ht="31.199999999999999">
      <c r="A116" s="211" t="s">
        <v>514</v>
      </c>
      <c r="B116" s="191">
        <f>(бс!C36/бс!C51)</f>
        <v>0.87491576935711124</v>
      </c>
      <c r="C116" s="191">
        <f>(бс!D36/бс!D51)</f>
        <v>0.91648301154559209</v>
      </c>
      <c r="D116" s="191">
        <f>(бс!E36/бс!E51)</f>
        <v>0.792148283090782</v>
      </c>
      <c r="E116" s="191">
        <f>(бс!F36/бс!F51)</f>
        <v>0.68535731544096279</v>
      </c>
      <c r="F116" s="315">
        <f>(бс!G36/бс!G51)</f>
        <v>0.61376361914495314</v>
      </c>
      <c r="G116" s="191">
        <f>(бс!H36/бс!H51)</f>
        <v>0.63019224371085603</v>
      </c>
      <c r="H116" s="191">
        <f>(бс!I36/бс!I51)</f>
        <v>0.73157487031807644</v>
      </c>
      <c r="I116" s="303"/>
      <c r="J116" s="314"/>
      <c r="K116" s="314"/>
      <c r="L116" s="314"/>
      <c r="M116" s="314"/>
      <c r="N116" s="314"/>
      <c r="O116" s="314"/>
      <c r="P116" s="314"/>
      <c r="Q116" s="314"/>
      <c r="R116" s="314"/>
      <c r="S116" s="314"/>
      <c r="T116" s="314"/>
      <c r="U116" s="314"/>
      <c r="V116" s="314"/>
      <c r="W116" s="198"/>
      <c r="X116" s="198"/>
      <c r="Y116" s="198"/>
      <c r="Z116" s="198"/>
      <c r="AA116" s="198"/>
      <c r="AB116" s="198"/>
      <c r="AC116" s="198"/>
      <c r="AD116" s="198"/>
      <c r="AE116" s="198"/>
      <c r="AF116" s="198"/>
      <c r="AG116" s="198"/>
      <c r="AH116" s="198"/>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row>
    <row r="117">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row>
    <row r="129">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cellIs" priority="30" operator="greaterThan" id="{00A000C1-001A-417C-B32E-001E005C0077}">
            <xm:f>$C$43</xm:f>
            <x14:dxf>
              <fill>
                <patternFill patternType="solid">
                  <fgColor rgb="FFFFC7CE"/>
                  <bgColor rgb="FFFFC7CE"/>
                </patternFill>
              </fill>
            </x14:dxf>
          </x14:cfRule>
          <xm:sqref>B43:B47</xm:sqref>
        </x14:conditionalFormatting>
        <x14:conditionalFormatting xmlns:xm="http://schemas.microsoft.com/office/excel/2006/main">
          <x14:cfRule type="cellIs" priority="26" operator="lessThan" id="{00CC0019-000D-497D-B391-003800950066}">
            <xm:f>$C$57</xm:f>
            <x14:dxf>
              <font>
                <color rgb="FF9C0006"/>
              </font>
              <fill>
                <patternFill patternType="solid">
                  <fgColor rgb="FFFFC7CE"/>
                  <bgColor rgb="FFFFC7CE"/>
                </patternFill>
              </fill>
            </x14:dxf>
          </x14:cfRule>
          <xm:sqref>B57:B58</xm:sqref>
        </x14:conditionalFormatting>
        <x14:conditionalFormatting xmlns:xm="http://schemas.microsoft.com/office/excel/2006/main">
          <x14:cfRule type="cellIs" priority="25" operator="greaterThan" id="{00D600A3-00A0-480F-A5D5-000800C50081}">
            <xm:f>$C$57</xm:f>
            <x14:dxf>
              <font>
                <color rgb="FF9C0006"/>
              </font>
              <fill>
                <patternFill patternType="solid">
                  <fgColor rgb="FFFFC7CE"/>
                  <bgColor rgb="FFFFC7CE"/>
                </patternFill>
              </fill>
            </x14:dxf>
          </x14:cfRule>
          <xm:sqref>B59:B61</xm:sqref>
        </x14:conditionalFormatting>
        <x14:conditionalFormatting xmlns:xm="http://schemas.microsoft.com/office/excel/2006/main">
          <x14:cfRule type="cellIs" priority="2" operator="lessThan" id="{00DD0055-006D-4866-840D-003600F2007C}">
            <xm:f>0</xm:f>
            <x14:dxf>
              <fill>
                <patternFill patternType="solid">
                  <fgColor rgb="FFFFC7CE"/>
                  <bgColor rgb="FFFFC7CE"/>
                </patternFill>
              </fill>
            </x14:dxf>
          </x14:cfRule>
          <xm:sqref>B71</xm:sqref>
        </x14:conditionalFormatting>
        <x14:conditionalFormatting xmlns:xm="http://schemas.microsoft.com/office/excel/2006/main">
          <x14:cfRule type="cellIs" priority="1" operator="greaterThan" id="{00F300E6-0076-4B8D-A0BD-00B5007300CA}">
            <xm:f>$C$71</xm:f>
            <x14:dxf>
              <fill>
                <patternFill patternType="solid">
                  <fgColor rgb="FFFFC7CE"/>
                  <bgColor rgb="FFFFC7CE"/>
                </patternFill>
              </fill>
            </x14:dxf>
          </x14:cfRule>
          <xm:sqref>B72:B74</xm:sqref>
        </x14:conditionalFormatting>
        <x14:conditionalFormatting xmlns:xm="http://schemas.microsoft.com/office/excel/2006/main">
          <x14:cfRule type="cellIs" priority="29" operator="greaterThan" id="{00AD0055-003D-4C2B-9745-0024001E000B}">
            <xm:f>$H$43</xm:f>
            <x14:dxf>
              <fill>
                <patternFill patternType="solid">
                  <fgColor rgb="FFFFC7CE"/>
                  <bgColor rgb="FFFFC7CE"/>
                </patternFill>
              </fill>
            </x14:dxf>
          </x14:cfRule>
          <xm:sqref>G43:G47</xm:sqref>
        </x14:conditionalFormatting>
        <x14:conditionalFormatting xmlns:xm="http://schemas.microsoft.com/office/excel/2006/main">
          <x14:cfRule type="cellIs" priority="24" operator="lessThan" id="{007A00E8-001E-41FE-AD19-007B005E0003}">
            <xm:f>$H$57</xm:f>
            <x14:dxf>
              <font>
                <color rgb="FF9C0006"/>
              </font>
              <fill>
                <patternFill patternType="solid">
                  <fgColor rgb="FFFFC7CE"/>
                  <bgColor rgb="FFFFC7CE"/>
                </patternFill>
              </fill>
            </x14:dxf>
          </x14:cfRule>
          <xm:sqref>G57:G58</xm:sqref>
        </x14:conditionalFormatting>
        <x14:conditionalFormatting xmlns:xm="http://schemas.microsoft.com/office/excel/2006/main">
          <x14:cfRule type="cellIs" priority="23" operator="greaterThan" id="{00560054-0050-428C-9254-00FB001E0011}">
            <xm:f>$H$57</xm:f>
            <x14:dxf>
              <font>
                <color rgb="FF9C0006"/>
              </font>
              <fill>
                <patternFill patternType="solid">
                  <fgColor rgb="FFFFC7CE"/>
                  <bgColor rgb="FFFFC7CE"/>
                </patternFill>
              </fill>
            </x14:dxf>
          </x14:cfRule>
          <xm:sqref>G59:G61</xm:sqref>
        </x14:conditionalFormatting>
        <x14:conditionalFormatting xmlns:xm="http://schemas.microsoft.com/office/excel/2006/main">
          <x14:cfRule type="cellIs" priority="4" operator="lessThan" id="{008B0045-0082-417F-B67E-009C000900C4}">
            <xm:f>0</xm:f>
            <x14:dxf>
              <fill>
                <patternFill patternType="solid">
                  <fgColor rgb="FFFFC7CE"/>
                  <bgColor rgb="FFFFC7CE"/>
                </patternFill>
              </fill>
            </x14:dxf>
          </x14:cfRule>
          <xm:sqref>G71</xm:sqref>
        </x14:conditionalFormatting>
        <x14:conditionalFormatting xmlns:xm="http://schemas.microsoft.com/office/excel/2006/main">
          <x14:cfRule type="cellIs" priority="3" operator="greaterThan" id="{00A90079-0069-41A6-8479-0014006900A1}">
            <xm:f>$H$71</xm:f>
            <x14:dxf>
              <fill>
                <patternFill patternType="solid">
                  <fgColor rgb="FFFFC7CE"/>
                  <bgColor rgb="FFFFC7CE"/>
                </patternFill>
              </fill>
            </x14:dxf>
          </x14:cfRule>
          <xm:sqref>G72:G74</xm:sqref>
        </x14:conditionalFormatting>
        <x14:conditionalFormatting xmlns:xm="http://schemas.microsoft.com/office/excel/2006/main">
          <x14:cfRule type="cellIs" priority="28" operator="greaterThan" id="{0024003F-00A4-4F13-AEE0-00BB00F500C7}">
            <xm:f>$M$43</xm:f>
            <x14:dxf>
              <fill>
                <patternFill patternType="solid">
                  <fgColor rgb="FFFFC7CE"/>
                  <bgColor rgb="FFFFC7CE"/>
                </patternFill>
              </fill>
            </x14:dxf>
          </x14:cfRule>
          <xm:sqref>L43:L47</xm:sqref>
        </x14:conditionalFormatting>
        <x14:conditionalFormatting xmlns:xm="http://schemas.microsoft.com/office/excel/2006/main">
          <x14:cfRule type="cellIs" priority="22" operator="lessThan" id="{004F00A4-00EF-4B8B-9646-009B003B00C2}">
            <xm:f>$M$57</xm:f>
            <x14:dxf>
              <font>
                <color rgb="FF9C0006"/>
              </font>
              <fill>
                <patternFill patternType="solid">
                  <fgColor rgb="FFFFC7CE"/>
                  <bgColor rgb="FFFFC7CE"/>
                </patternFill>
              </fill>
            </x14:dxf>
          </x14:cfRule>
          <xm:sqref>L57:L58</xm:sqref>
        </x14:conditionalFormatting>
        <x14:conditionalFormatting xmlns:xm="http://schemas.microsoft.com/office/excel/2006/main">
          <x14:cfRule type="cellIs" priority="21" operator="greaterThan" id="{00640003-00E6-43C3-832B-00A1004000F8}">
            <xm:f>$M$57</xm:f>
            <x14:dxf>
              <font>
                <color rgb="FF9C0006"/>
              </font>
              <fill>
                <patternFill patternType="solid">
                  <fgColor rgb="FFFFC7CE"/>
                  <bgColor rgb="FFFFC7CE"/>
                </patternFill>
              </fill>
            </x14:dxf>
          </x14:cfRule>
          <xm:sqref>L59:L61</xm:sqref>
        </x14:conditionalFormatting>
        <x14:conditionalFormatting xmlns:xm="http://schemas.microsoft.com/office/excel/2006/main">
          <x14:cfRule type="cellIs" priority="6" operator="lessThan" id="{0048009F-00AA-4380-8A2D-00300017004F}">
            <xm:f>0</xm:f>
            <x14:dxf>
              <fill>
                <patternFill patternType="solid">
                  <fgColor rgb="FFFFC7CE"/>
                  <bgColor rgb="FFFFC7CE"/>
                </patternFill>
              </fill>
            </x14:dxf>
          </x14:cfRule>
          <xm:sqref>L71</xm:sqref>
        </x14:conditionalFormatting>
        <x14:conditionalFormatting xmlns:xm="http://schemas.microsoft.com/office/excel/2006/main">
          <x14:cfRule type="cellIs" priority="5" operator="greaterThan" id="{00C100D7-004D-4FFE-88B8-000D005A009F}">
            <xm:f>$M$71</xm:f>
            <x14:dxf>
              <fill>
                <patternFill patternType="solid">
                  <fgColor rgb="FFFFC7CE"/>
                  <bgColor rgb="FFFFC7CE"/>
                </patternFill>
              </fill>
            </x14:dxf>
          </x14:cfRule>
          <xm:sqref>L72:L74</xm:sqref>
        </x14:conditionalFormatting>
        <x14:conditionalFormatting xmlns:xm="http://schemas.microsoft.com/office/excel/2006/main">
          <x14:cfRule type="cellIs" priority="33" operator="greaterThan" id="{005A0063-00B4-4B62-A28F-000F00720088}">
            <xm:f>$R$43</xm:f>
            <x14:dxf>
              <fill>
                <patternFill patternType="solid">
                  <fgColor rgb="FFFFC7CE"/>
                  <bgColor rgb="FFFFC7CE"/>
                </patternFill>
              </fill>
            </x14:dxf>
          </x14:cfRule>
          <xm:sqref>Q43:Q47</xm:sqref>
        </x14:conditionalFormatting>
        <x14:conditionalFormatting xmlns:xm="http://schemas.microsoft.com/office/excel/2006/main">
          <x14:cfRule type="cellIs" priority="20" operator="lessThan" id="{0039001B-00D5-45EA-834B-00D2000400F4}">
            <xm:f>$R$57</xm:f>
            <x14:dxf>
              <fill>
                <patternFill patternType="solid">
                  <fgColor rgb="FFFFC7CE"/>
                  <bgColor rgb="FFFFC7CE"/>
                </patternFill>
              </fill>
            </x14:dxf>
          </x14:cfRule>
          <xm:sqref>Q57:Q58</xm:sqref>
        </x14:conditionalFormatting>
        <x14:conditionalFormatting xmlns:xm="http://schemas.microsoft.com/office/excel/2006/main">
          <x14:cfRule type="cellIs" priority="19" operator="greaterThan" id="{009500B5-00CD-49F6-9DC3-002E004C00EC}">
            <xm:f>$R$57</xm:f>
            <x14:dxf>
              <fill>
                <patternFill patternType="solid">
                  <fgColor rgb="FFFFC7CE"/>
                  <bgColor rgb="FFFFC7CE"/>
                </patternFill>
              </fill>
            </x14:dxf>
          </x14:cfRule>
          <xm:sqref>Q59:Q61</xm:sqref>
        </x14:conditionalFormatting>
        <x14:conditionalFormatting xmlns:xm="http://schemas.microsoft.com/office/excel/2006/main">
          <x14:cfRule type="cellIs" priority="8" operator="lessThan" id="{009700E7-001E-490F-87B5-004700C20028}">
            <xm:f>0</xm:f>
            <x14:dxf>
              <fill>
                <patternFill patternType="solid">
                  <fgColor rgb="FFFFC7CE"/>
                  <bgColor rgb="FFFFC7CE"/>
                </patternFill>
              </fill>
            </x14:dxf>
          </x14:cfRule>
          <xm:sqref>Q71</xm:sqref>
        </x14:conditionalFormatting>
        <x14:conditionalFormatting xmlns:xm="http://schemas.microsoft.com/office/excel/2006/main">
          <x14:cfRule type="cellIs" priority="7" operator="greaterThan" id="{009F004D-000E-40AB-9C7B-00AB00F70091}">
            <xm:f>$R$71</xm:f>
            <x14:dxf>
              <fill>
                <patternFill patternType="solid">
                  <fgColor rgb="FFFFC7CE"/>
                  <bgColor rgb="FFFFC7CE"/>
                </patternFill>
              </fill>
            </x14:dxf>
          </x14:cfRule>
          <xm:sqref>Q72:Q74</xm:sqref>
        </x14:conditionalFormatting>
        <x14:conditionalFormatting xmlns:xm="http://schemas.microsoft.com/office/excel/2006/main">
          <x14:cfRule type="cellIs" priority="32" operator="greaterThan" id="{00E20035-0072-4EF5-A43C-005700200012}">
            <xm:f>$W$43</xm:f>
            <x14:dxf>
              <fill>
                <patternFill patternType="solid">
                  <fgColor rgb="FFFFC7CE"/>
                  <bgColor rgb="FFFFC7CE"/>
                </patternFill>
              </fill>
            </x14:dxf>
          </x14:cfRule>
          <xm:sqref>V43:V47</xm:sqref>
        </x14:conditionalFormatting>
        <x14:conditionalFormatting xmlns:xm="http://schemas.microsoft.com/office/excel/2006/main">
          <x14:cfRule type="cellIs" priority="18" operator="lessThan" id="{00590049-0004-4631-B553-004F006300BE}">
            <xm:f>$W$57</xm:f>
            <x14:dxf>
              <fill>
                <patternFill patternType="solid">
                  <fgColor rgb="FFFFC7CE"/>
                  <bgColor rgb="FFFFC7CE"/>
                </patternFill>
              </fill>
            </x14:dxf>
          </x14:cfRule>
          <xm:sqref>V57:V58</xm:sqref>
        </x14:conditionalFormatting>
        <x14:conditionalFormatting xmlns:xm="http://schemas.microsoft.com/office/excel/2006/main">
          <x14:cfRule type="cellIs" priority="17" operator="greaterThan" id="{0040006D-0067-47AF-8C16-007F009100C6}">
            <xm:f>$W$57</xm:f>
            <x14:dxf>
              <fill>
                <patternFill patternType="solid">
                  <fgColor rgb="FFFFC7CE"/>
                  <bgColor rgb="FFFFC7CE"/>
                </patternFill>
              </fill>
            </x14:dxf>
          </x14:cfRule>
          <xm:sqref>V59:V61</xm:sqref>
        </x14:conditionalFormatting>
        <x14:conditionalFormatting xmlns:xm="http://schemas.microsoft.com/office/excel/2006/main">
          <x14:cfRule type="cellIs" priority="10" operator="lessThan" id="{003800A8-0081-4A26-81A1-00330018005E}">
            <xm:f>0</xm:f>
            <x14:dxf>
              <fill>
                <patternFill patternType="solid">
                  <fgColor rgb="FFFFC7CE"/>
                  <bgColor rgb="FFFFC7CE"/>
                </patternFill>
              </fill>
            </x14:dxf>
          </x14:cfRule>
          <xm:sqref>V71</xm:sqref>
        </x14:conditionalFormatting>
        <x14:conditionalFormatting xmlns:xm="http://schemas.microsoft.com/office/excel/2006/main">
          <x14:cfRule type="cellIs" priority="9" operator="greaterThan" id="{00300078-0069-4E72-B5E6-003400FF00A1}">
            <xm:f>$W$71</xm:f>
            <x14:dxf>
              <fill>
                <patternFill patternType="solid">
                  <fgColor rgb="FFFFC7CE"/>
                  <bgColor rgb="FFFFC7CE"/>
                </patternFill>
              </fill>
            </x14:dxf>
          </x14:cfRule>
          <xm:sqref>V72:V74</xm:sqref>
        </x14:conditionalFormatting>
        <x14:conditionalFormatting xmlns:xm="http://schemas.microsoft.com/office/excel/2006/main">
          <x14:cfRule type="cellIs" priority="31" operator="greaterThan" id="{00920057-002E-4DCB-ADBD-00E500C700CD}">
            <xm:f>$AB$43</xm:f>
            <x14:dxf>
              <fill>
                <patternFill patternType="solid">
                  <fgColor rgb="FFFFC7CE"/>
                  <bgColor rgb="FFFFC7CE"/>
                </patternFill>
              </fill>
            </x14:dxf>
          </x14:cfRule>
          <xm:sqref>AA43:AA47</xm:sqref>
        </x14:conditionalFormatting>
        <x14:conditionalFormatting xmlns:xm="http://schemas.microsoft.com/office/excel/2006/main">
          <x14:cfRule type="cellIs" priority="16" operator="lessThan" id="{009B00AF-00D5-423D-8FBB-006800D600BF}">
            <xm:f>$AB$57</xm:f>
            <x14:dxf>
              <fill>
                <patternFill patternType="solid">
                  <fgColor rgb="FFFFC7CE"/>
                  <bgColor rgb="FFFFC7CE"/>
                </patternFill>
              </fill>
            </x14:dxf>
          </x14:cfRule>
          <xm:sqref>AA57:AA58</xm:sqref>
        </x14:conditionalFormatting>
        <x14:conditionalFormatting xmlns:xm="http://schemas.microsoft.com/office/excel/2006/main">
          <x14:cfRule type="cellIs" priority="15" operator="greaterThan" id="{0005004D-004D-4864-85B0-00A400E300EE}">
            <xm:f>$AB$57</xm:f>
            <x14:dxf>
              <fill>
                <patternFill patternType="solid">
                  <fgColor rgb="FFFFC7CE"/>
                  <bgColor rgb="FFFFC7CE"/>
                </patternFill>
              </fill>
            </x14:dxf>
          </x14:cfRule>
          <xm:sqref>AA59:AA61</xm:sqref>
        </x14:conditionalFormatting>
        <x14:conditionalFormatting xmlns:xm="http://schemas.microsoft.com/office/excel/2006/main">
          <x14:cfRule type="cellIs" priority="12" operator="lessThan" id="{00B800EF-0014-46EB-898F-009B0081004C}">
            <xm:f>0</xm:f>
            <x14:dxf>
              <fill>
                <patternFill patternType="solid">
                  <fgColor rgb="FFFFC7CE"/>
                  <bgColor rgb="FFFFC7CE"/>
                </patternFill>
              </fill>
            </x14:dxf>
          </x14:cfRule>
          <xm:sqref>AA71</xm:sqref>
        </x14:conditionalFormatting>
        <x14:conditionalFormatting xmlns:xm="http://schemas.microsoft.com/office/excel/2006/main">
          <x14:cfRule type="cellIs" priority="11" operator="greaterThan" id="{00C20039-000D-4202-A5AF-00B600D400DB}">
            <xm:f>$AB$71</xm:f>
            <x14:dxf>
              <fill>
                <patternFill patternType="solid">
                  <fgColor rgb="FFFFC7CE"/>
                  <bgColor rgb="FFFFC7CE"/>
                </patternFill>
              </fill>
            </x14:dxf>
          </x14:cfRule>
          <xm:sqref>AA72:AA74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Unknown Organization</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revision>4</cp:revision>
  <dcterms:created xsi:type="dcterms:W3CDTF">1999-04-30T04:04:34Z</dcterms:created>
  <dcterms:modified xsi:type="dcterms:W3CDTF">2026-03-24T09:11:17Z</dcterms:modified>
</cp:coreProperties>
</file>