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4 ЭБ\АнтипенкоДА_С22-712_ЛР2\"/>
    </mc:Choice>
  </mc:AlternateContent>
  <xr:revisionPtr revIDLastSave="0" documentId="13_ncr:1_{6D0BA1BF-61F1-4123-86B3-BC6055318CFC}" xr6:coauthVersionLast="47" xr6:coauthVersionMax="47" xr10:uidLastSave="{00000000-0000-0000-0000-000000000000}"/>
  <bookViews>
    <workbookView xWindow="-108" yWindow="-108" windowWidth="30936" windowHeight="12456" activeTab="5" xr2:uid="{00000000-000D-0000-FFFF-FFFF00000000}"/>
  </bookViews>
  <sheets>
    <sheet name="Шаг 1" sheetId="1" r:id="rId1"/>
    <sheet name="Шаг 2" sheetId="3" r:id="rId2"/>
    <sheet name="Шаг 3" sheetId="5" r:id="rId3"/>
    <sheet name="Шаг 4" sheetId="6" r:id="rId4"/>
    <sheet name="Шаг 5" sheetId="8" r:id="rId5"/>
    <sheet name="Визуализация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9" l="1"/>
  <c r="D16" i="9"/>
  <c r="D15" i="9"/>
  <c r="I12" i="9"/>
  <c r="I3" i="9"/>
  <c r="I9" i="3"/>
  <c r="Q44" i="5"/>
  <c r="P44" i="5"/>
  <c r="O44" i="5"/>
  <c r="Q43" i="5"/>
  <c r="P43" i="5"/>
  <c r="O43" i="5"/>
  <c r="Q42" i="5"/>
  <c r="P42" i="5"/>
  <c r="O42" i="5"/>
  <c r="Q40" i="5"/>
  <c r="P40" i="5"/>
  <c r="O40" i="5"/>
  <c r="Q39" i="5"/>
  <c r="P39" i="5"/>
  <c r="O39" i="5"/>
  <c r="Q38" i="5"/>
  <c r="P38" i="5"/>
  <c r="O38" i="5"/>
  <c r="Q36" i="5"/>
  <c r="P36" i="5"/>
  <c r="O36" i="5"/>
  <c r="Q35" i="5"/>
  <c r="P35" i="5"/>
  <c r="O35" i="5"/>
  <c r="Q34" i="5"/>
  <c r="P34" i="5"/>
  <c r="O34" i="5"/>
  <c r="Q32" i="5"/>
  <c r="P32" i="5"/>
  <c r="O32" i="5"/>
  <c r="Q31" i="5"/>
  <c r="P31" i="5"/>
  <c r="O31" i="5"/>
  <c r="Q30" i="5"/>
  <c r="P30" i="5"/>
  <c r="O30" i="5"/>
  <c r="Q28" i="5"/>
  <c r="P28" i="5"/>
  <c r="O28" i="5"/>
  <c r="Q27" i="5"/>
  <c r="P27" i="5"/>
  <c r="O27" i="5"/>
  <c r="Q26" i="5"/>
  <c r="P26" i="5"/>
  <c r="O26" i="5"/>
  <c r="Q23" i="5"/>
  <c r="P23" i="5"/>
  <c r="O23" i="5"/>
  <c r="Q22" i="5"/>
  <c r="P22" i="5"/>
  <c r="O22" i="5"/>
  <c r="Q21" i="5"/>
  <c r="P21" i="5"/>
  <c r="O21" i="5"/>
  <c r="Q19" i="5"/>
  <c r="P19" i="5"/>
  <c r="O19" i="5"/>
  <c r="Q18" i="5"/>
  <c r="P18" i="5"/>
  <c r="O18" i="5"/>
  <c r="Q17" i="5"/>
  <c r="P17" i="5"/>
  <c r="O17" i="5"/>
  <c r="Q15" i="5"/>
  <c r="P15" i="5"/>
  <c r="O15" i="5"/>
  <c r="Q14" i="5"/>
  <c r="P14" i="5"/>
  <c r="O14" i="5"/>
  <c r="Q13" i="5"/>
  <c r="P13" i="5"/>
  <c r="O13" i="5"/>
  <c r="Q11" i="5"/>
  <c r="P11" i="5"/>
  <c r="O11" i="5"/>
  <c r="Q10" i="5"/>
  <c r="P10" i="5"/>
  <c r="O10" i="5"/>
  <c r="Q9" i="5"/>
  <c r="P9" i="5"/>
  <c r="O9" i="5"/>
  <c r="P5" i="5"/>
  <c r="Q5" i="5"/>
  <c r="P6" i="5"/>
  <c r="Q6" i="5"/>
  <c r="P7" i="5"/>
  <c r="Q7" i="5"/>
  <c r="O6" i="5"/>
  <c r="O7" i="5"/>
  <c r="O5" i="5"/>
  <c r="D4" i="6"/>
  <c r="M44" i="5"/>
  <c r="M43" i="5"/>
  <c r="M42" i="5"/>
  <c r="J44" i="5"/>
  <c r="J43" i="5"/>
  <c r="J42" i="5"/>
  <c r="M40" i="5"/>
  <c r="M39" i="5"/>
  <c r="M38" i="5"/>
  <c r="J40" i="5"/>
  <c r="J39" i="5"/>
  <c r="J38" i="5"/>
  <c r="M36" i="5"/>
  <c r="M35" i="5"/>
  <c r="M34" i="5"/>
  <c r="J36" i="5"/>
  <c r="J35" i="5"/>
  <c r="J34" i="5"/>
  <c r="M32" i="5"/>
  <c r="M31" i="5"/>
  <c r="M30" i="5"/>
  <c r="J32" i="5"/>
  <c r="J31" i="5"/>
  <c r="J30" i="5"/>
  <c r="M28" i="5"/>
  <c r="M27" i="5"/>
  <c r="M26" i="5"/>
  <c r="J28" i="5"/>
  <c r="J27" i="5"/>
  <c r="J26" i="5"/>
  <c r="M23" i="5"/>
  <c r="M22" i="5"/>
  <c r="M21" i="5"/>
  <c r="J23" i="5"/>
  <c r="J22" i="5"/>
  <c r="J21" i="5"/>
  <c r="M19" i="5"/>
  <c r="M18" i="5"/>
  <c r="M17" i="5"/>
  <c r="J19" i="5"/>
  <c r="J18" i="5"/>
  <c r="J17" i="5"/>
  <c r="M15" i="5"/>
  <c r="M14" i="5"/>
  <c r="M13" i="5"/>
  <c r="J15" i="5"/>
  <c r="J14" i="5"/>
  <c r="J13" i="5"/>
  <c r="M11" i="5"/>
  <c r="M10" i="5"/>
  <c r="M9" i="5"/>
  <c r="J11" i="5"/>
  <c r="J10" i="5"/>
  <c r="J9" i="5"/>
  <c r="M7" i="5"/>
  <c r="M6" i="5"/>
  <c r="M5" i="5"/>
  <c r="J7" i="5"/>
  <c r="J6" i="5"/>
  <c r="J5" i="5"/>
  <c r="G44" i="5"/>
  <c r="G43" i="5"/>
  <c r="G42" i="5"/>
  <c r="G40" i="5"/>
  <c r="G39" i="5"/>
  <c r="G38" i="5"/>
  <c r="G36" i="5"/>
  <c r="G35" i="5"/>
  <c r="G34" i="5"/>
  <c r="G32" i="5"/>
  <c r="G31" i="5"/>
  <c r="G30" i="5"/>
  <c r="G28" i="5"/>
  <c r="G27" i="5"/>
  <c r="G26" i="5"/>
  <c r="G23" i="5"/>
  <c r="G22" i="5"/>
  <c r="G21" i="5"/>
  <c r="G19" i="5"/>
  <c r="G18" i="5"/>
  <c r="G17" i="5"/>
  <c r="G15" i="5"/>
  <c r="G14" i="5"/>
  <c r="G13" i="5"/>
  <c r="G11" i="5"/>
  <c r="G10" i="5"/>
  <c r="G9" i="5"/>
  <c r="G6" i="5"/>
  <c r="G7" i="5"/>
  <c r="G5" i="5"/>
  <c r="D12" i="6" l="1"/>
  <c r="K21" i="3"/>
  <c r="J21" i="3"/>
  <c r="I21" i="3"/>
  <c r="M21" i="3"/>
  <c r="L21" i="3"/>
  <c r="F21" i="3"/>
  <c r="G21" i="3"/>
  <c r="E21" i="3"/>
  <c r="J9" i="3"/>
  <c r="H9" i="3"/>
  <c r="F9" i="3"/>
  <c r="G9" i="3"/>
  <c r="E9" i="3"/>
  <c r="E4" i="3"/>
  <c r="F4" i="3"/>
  <c r="G4" i="3"/>
  <c r="E5" i="3"/>
  <c r="F5" i="3"/>
  <c r="G5" i="3"/>
  <c r="E6" i="3"/>
  <c r="F6" i="3"/>
  <c r="G6" i="3"/>
  <c r="I11" i="9" l="1"/>
  <c r="I10" i="9"/>
  <c r="I9" i="9"/>
  <c r="I8" i="9"/>
  <c r="I7" i="9"/>
  <c r="I6" i="9"/>
  <c r="I5" i="9"/>
  <c r="I4" i="9"/>
  <c r="D39" i="5"/>
  <c r="R43" i="5"/>
  <c r="S43" i="5"/>
  <c r="T43" i="5"/>
  <c r="U43" i="5"/>
  <c r="V43" i="5"/>
  <c r="W43" i="5"/>
  <c r="R44" i="5"/>
  <c r="S44" i="5"/>
  <c r="T44" i="5"/>
  <c r="U44" i="5"/>
  <c r="V44" i="5"/>
  <c r="W44" i="5"/>
  <c r="S42" i="5"/>
  <c r="T42" i="5"/>
  <c r="U42" i="5"/>
  <c r="V42" i="5"/>
  <c r="W42" i="5"/>
  <c r="R42" i="5"/>
  <c r="R39" i="5"/>
  <c r="S39" i="5"/>
  <c r="T39" i="5"/>
  <c r="U39" i="5"/>
  <c r="V39" i="5"/>
  <c r="W39" i="5"/>
  <c r="R40" i="5"/>
  <c r="S40" i="5"/>
  <c r="T40" i="5"/>
  <c r="U40" i="5"/>
  <c r="V40" i="5"/>
  <c r="W40" i="5"/>
  <c r="S38" i="5"/>
  <c r="T38" i="5"/>
  <c r="U38" i="5"/>
  <c r="V38" i="5"/>
  <c r="W38" i="5"/>
  <c r="R38" i="5"/>
  <c r="R35" i="5"/>
  <c r="S35" i="5"/>
  <c r="T35" i="5"/>
  <c r="U35" i="5"/>
  <c r="V35" i="5"/>
  <c r="W35" i="5"/>
  <c r="R36" i="5"/>
  <c r="S36" i="5"/>
  <c r="T36" i="5"/>
  <c r="U36" i="5"/>
  <c r="V36" i="5"/>
  <c r="W36" i="5"/>
  <c r="S34" i="5"/>
  <c r="T34" i="5"/>
  <c r="U34" i="5"/>
  <c r="V34" i="5"/>
  <c r="W34" i="5"/>
  <c r="R34" i="5"/>
  <c r="R31" i="5"/>
  <c r="S31" i="5"/>
  <c r="T31" i="5"/>
  <c r="U31" i="5"/>
  <c r="V31" i="5"/>
  <c r="W31" i="5"/>
  <c r="R32" i="5"/>
  <c r="S32" i="5"/>
  <c r="T32" i="5"/>
  <c r="U32" i="5"/>
  <c r="V32" i="5"/>
  <c r="W32" i="5"/>
  <c r="S30" i="5"/>
  <c r="T30" i="5"/>
  <c r="U30" i="5"/>
  <c r="V30" i="5"/>
  <c r="W30" i="5"/>
  <c r="R30" i="5"/>
  <c r="R27" i="5"/>
  <c r="S27" i="5"/>
  <c r="T27" i="5"/>
  <c r="U27" i="5"/>
  <c r="V27" i="5"/>
  <c r="W27" i="5"/>
  <c r="R28" i="5"/>
  <c r="S28" i="5"/>
  <c r="T28" i="5"/>
  <c r="U28" i="5"/>
  <c r="V28" i="5"/>
  <c r="W28" i="5"/>
  <c r="S26" i="5"/>
  <c r="T26" i="5"/>
  <c r="U26" i="5"/>
  <c r="V26" i="5"/>
  <c r="W26" i="5"/>
  <c r="R26" i="5"/>
  <c r="R22" i="5"/>
  <c r="S22" i="5"/>
  <c r="T22" i="5"/>
  <c r="U22" i="5"/>
  <c r="V22" i="5"/>
  <c r="W22" i="5"/>
  <c r="R23" i="5"/>
  <c r="S23" i="5"/>
  <c r="T23" i="5"/>
  <c r="U23" i="5"/>
  <c r="V23" i="5"/>
  <c r="W23" i="5"/>
  <c r="S21" i="5"/>
  <c r="T21" i="5"/>
  <c r="U21" i="5"/>
  <c r="V21" i="5"/>
  <c r="W21" i="5"/>
  <c r="R21" i="5"/>
  <c r="R18" i="5"/>
  <c r="S18" i="5"/>
  <c r="T18" i="5"/>
  <c r="U18" i="5"/>
  <c r="V18" i="5"/>
  <c r="W18" i="5"/>
  <c r="R19" i="5"/>
  <c r="S19" i="5"/>
  <c r="T19" i="5"/>
  <c r="U19" i="5"/>
  <c r="V19" i="5"/>
  <c r="W19" i="5"/>
  <c r="S17" i="5"/>
  <c r="T17" i="5"/>
  <c r="U17" i="5"/>
  <c r="V17" i="5"/>
  <c r="W17" i="5"/>
  <c r="R17" i="5"/>
  <c r="R14" i="5"/>
  <c r="S14" i="5"/>
  <c r="T14" i="5"/>
  <c r="U14" i="5"/>
  <c r="V14" i="5"/>
  <c r="W14" i="5"/>
  <c r="R15" i="5"/>
  <c r="S15" i="5"/>
  <c r="T15" i="5"/>
  <c r="U15" i="5"/>
  <c r="V15" i="5"/>
  <c r="W15" i="5"/>
  <c r="S13" i="5"/>
  <c r="T13" i="5"/>
  <c r="U13" i="5"/>
  <c r="V13" i="5"/>
  <c r="W13" i="5"/>
  <c r="R13" i="5"/>
  <c r="R10" i="5"/>
  <c r="S10" i="5"/>
  <c r="T10" i="5"/>
  <c r="U10" i="5"/>
  <c r="V10" i="5"/>
  <c r="W10" i="5"/>
  <c r="R11" i="5"/>
  <c r="S11" i="5"/>
  <c r="T11" i="5"/>
  <c r="U11" i="5"/>
  <c r="V11" i="5"/>
  <c r="W11" i="5"/>
  <c r="S9" i="5"/>
  <c r="T9" i="5"/>
  <c r="U9" i="5"/>
  <c r="V9" i="5"/>
  <c r="W9" i="5"/>
  <c r="R9" i="5"/>
  <c r="R6" i="5"/>
  <c r="S6" i="5"/>
  <c r="T6" i="5"/>
  <c r="U6" i="5"/>
  <c r="V6" i="5"/>
  <c r="W6" i="5"/>
  <c r="R7" i="5"/>
  <c r="S7" i="5"/>
  <c r="T7" i="5"/>
  <c r="U7" i="5"/>
  <c r="V7" i="5"/>
  <c r="W7" i="5"/>
  <c r="S5" i="5"/>
  <c r="T5" i="5"/>
  <c r="U5" i="5"/>
  <c r="V5" i="5"/>
  <c r="W5" i="5"/>
  <c r="R5" i="5"/>
  <c r="E8" i="3" l="1"/>
  <c r="K31" i="5" l="1"/>
  <c r="H31" i="5"/>
  <c r="E31" i="5"/>
  <c r="E10" i="5"/>
  <c r="E9" i="5"/>
  <c r="B7" i="5"/>
  <c r="D44" i="5"/>
  <c r="C44" i="5"/>
  <c r="B44" i="5"/>
  <c r="D43" i="5"/>
  <c r="C43" i="5"/>
  <c r="B43" i="5"/>
  <c r="D42" i="5"/>
  <c r="C42" i="5"/>
  <c r="B42" i="5"/>
  <c r="D40" i="5"/>
  <c r="C40" i="5"/>
  <c r="B40" i="5"/>
  <c r="C39" i="5"/>
  <c r="B39" i="5"/>
  <c r="D38" i="5"/>
  <c r="C38" i="5"/>
  <c r="B38" i="5"/>
  <c r="D36" i="5"/>
  <c r="C36" i="5"/>
  <c r="B36" i="5"/>
  <c r="D35" i="5"/>
  <c r="C35" i="5"/>
  <c r="B35" i="5"/>
  <c r="D34" i="5"/>
  <c r="C34" i="5"/>
  <c r="B34" i="5"/>
  <c r="D32" i="5"/>
  <c r="C32" i="5"/>
  <c r="B32" i="5"/>
  <c r="D31" i="5"/>
  <c r="C31" i="5"/>
  <c r="B31" i="5"/>
  <c r="D30" i="5"/>
  <c r="C30" i="5"/>
  <c r="B30" i="5"/>
  <c r="D28" i="5"/>
  <c r="C28" i="5"/>
  <c r="B28" i="5"/>
  <c r="D27" i="5"/>
  <c r="C27" i="5"/>
  <c r="B27" i="5"/>
  <c r="D26" i="5"/>
  <c r="C26" i="5"/>
  <c r="B26" i="5"/>
  <c r="D23" i="5"/>
  <c r="C23" i="5"/>
  <c r="B23" i="5"/>
  <c r="D22" i="5"/>
  <c r="C22" i="5"/>
  <c r="B22" i="5"/>
  <c r="D21" i="5"/>
  <c r="C21" i="5"/>
  <c r="B21" i="5"/>
  <c r="D19" i="5"/>
  <c r="C19" i="5"/>
  <c r="B19" i="5"/>
  <c r="D18" i="5"/>
  <c r="C18" i="5"/>
  <c r="B18" i="5"/>
  <c r="D17" i="5"/>
  <c r="C17" i="5"/>
  <c r="B17" i="5"/>
  <c r="D15" i="5"/>
  <c r="C15" i="5"/>
  <c r="B15" i="5"/>
  <c r="D14" i="5"/>
  <c r="C14" i="5"/>
  <c r="B14" i="5"/>
  <c r="D13" i="5"/>
  <c r="C13" i="5"/>
  <c r="B13" i="5"/>
  <c r="D11" i="5"/>
  <c r="C11" i="5"/>
  <c r="B11" i="5"/>
  <c r="D10" i="5"/>
  <c r="C10" i="5"/>
  <c r="B10" i="5"/>
  <c r="D9" i="5"/>
  <c r="C9" i="5"/>
  <c r="B9" i="5"/>
  <c r="D7" i="5"/>
  <c r="C7" i="5"/>
  <c r="D6" i="5"/>
  <c r="C6" i="5"/>
  <c r="B6" i="5"/>
  <c r="D5" i="5"/>
  <c r="C5" i="5"/>
  <c r="B5" i="5"/>
  <c r="B42" i="3"/>
  <c r="C42" i="3"/>
  <c r="D42" i="3"/>
  <c r="B43" i="3"/>
  <c r="C43" i="3"/>
  <c r="D43" i="3"/>
  <c r="C41" i="3"/>
  <c r="D41" i="3"/>
  <c r="B41" i="3"/>
  <c r="B38" i="3"/>
  <c r="C38" i="3"/>
  <c r="D38" i="3"/>
  <c r="B39" i="3"/>
  <c r="C39" i="3"/>
  <c r="D39" i="3"/>
  <c r="C37" i="3"/>
  <c r="D37" i="3"/>
  <c r="B37" i="3"/>
  <c r="B34" i="3"/>
  <c r="C34" i="3"/>
  <c r="D34" i="3"/>
  <c r="B35" i="3"/>
  <c r="C35" i="3"/>
  <c r="D35" i="3"/>
  <c r="C33" i="3"/>
  <c r="D33" i="3"/>
  <c r="B33" i="3"/>
  <c r="B30" i="3"/>
  <c r="C30" i="3"/>
  <c r="D30" i="3"/>
  <c r="B31" i="3"/>
  <c r="C31" i="3"/>
  <c r="D31" i="3"/>
  <c r="C29" i="3"/>
  <c r="D29" i="3"/>
  <c r="B29" i="3"/>
  <c r="B26" i="3"/>
  <c r="C26" i="3"/>
  <c r="D26" i="3"/>
  <c r="B27" i="3"/>
  <c r="C27" i="3"/>
  <c r="D27" i="3"/>
  <c r="C25" i="3"/>
  <c r="D25" i="3"/>
  <c r="B25" i="3"/>
  <c r="C20" i="3"/>
  <c r="D20" i="3"/>
  <c r="C21" i="3"/>
  <c r="D21" i="3"/>
  <c r="C22" i="3"/>
  <c r="D22" i="3"/>
  <c r="B21" i="3"/>
  <c r="B22" i="3"/>
  <c r="B20" i="3"/>
  <c r="B17" i="3"/>
  <c r="C17" i="3"/>
  <c r="D17" i="3"/>
  <c r="B18" i="3"/>
  <c r="C18" i="3"/>
  <c r="D18" i="3"/>
  <c r="C16" i="3"/>
  <c r="D16" i="3"/>
  <c r="B16" i="3"/>
  <c r="B13" i="3"/>
  <c r="C13" i="3"/>
  <c r="D13" i="3"/>
  <c r="B14" i="3"/>
  <c r="C14" i="3"/>
  <c r="D14" i="3"/>
  <c r="C12" i="3"/>
  <c r="D12" i="3"/>
  <c r="B12" i="3"/>
  <c r="B9" i="3"/>
  <c r="C9" i="3"/>
  <c r="D9" i="3"/>
  <c r="B10" i="3"/>
  <c r="C10" i="3"/>
  <c r="D10" i="3"/>
  <c r="C8" i="3"/>
  <c r="D8" i="3"/>
  <c r="B8" i="3"/>
  <c r="B5" i="3"/>
  <c r="C5" i="3"/>
  <c r="D5" i="3"/>
  <c r="B6" i="3"/>
  <c r="C6" i="3"/>
  <c r="D6" i="3"/>
  <c r="C4" i="3"/>
  <c r="D4" i="3"/>
  <c r="B4" i="3"/>
  <c r="F22" i="3"/>
  <c r="H23" i="5" s="1"/>
  <c r="G22" i="3"/>
  <c r="K23" i="5" s="1"/>
  <c r="E22" i="3"/>
  <c r="E23" i="5" s="1"/>
  <c r="F20" i="3"/>
  <c r="H21" i="5" s="1"/>
  <c r="G20" i="3"/>
  <c r="K21" i="5" s="1"/>
  <c r="E20" i="3"/>
  <c r="E21" i="5" s="1"/>
  <c r="F43" i="3"/>
  <c r="H44" i="5" s="1"/>
  <c r="G43" i="3"/>
  <c r="K44" i="5" s="1"/>
  <c r="E43" i="3"/>
  <c r="E44" i="5" s="1"/>
  <c r="F42" i="3"/>
  <c r="H43" i="5" s="1"/>
  <c r="G42" i="3"/>
  <c r="K43" i="5" s="1"/>
  <c r="E42" i="3"/>
  <c r="E43" i="5" s="1"/>
  <c r="F41" i="3"/>
  <c r="H42" i="5" s="1"/>
  <c r="G41" i="3"/>
  <c r="K42" i="5" s="1"/>
  <c r="E41" i="3"/>
  <c r="E42" i="5" s="1"/>
  <c r="F39" i="3"/>
  <c r="H40" i="5" s="1"/>
  <c r="G39" i="3"/>
  <c r="K40" i="5" s="1"/>
  <c r="E39" i="3"/>
  <c r="E40" i="5" s="1"/>
  <c r="F38" i="3"/>
  <c r="H39" i="5" s="1"/>
  <c r="G38" i="3"/>
  <c r="K39" i="5" s="1"/>
  <c r="E38" i="3"/>
  <c r="E39" i="5" s="1"/>
  <c r="F37" i="3"/>
  <c r="H38" i="5" s="1"/>
  <c r="G37" i="3"/>
  <c r="K38" i="5" s="1"/>
  <c r="E37" i="3"/>
  <c r="E38" i="5" s="1"/>
  <c r="E35" i="3"/>
  <c r="E36" i="5" s="1"/>
  <c r="F35" i="3"/>
  <c r="H36" i="5" s="1"/>
  <c r="G35" i="3"/>
  <c r="K36" i="5" s="1"/>
  <c r="F34" i="3"/>
  <c r="H35" i="5" s="1"/>
  <c r="G34" i="3"/>
  <c r="K35" i="5" s="1"/>
  <c r="E34" i="3"/>
  <c r="E35" i="5" s="1"/>
  <c r="F33" i="3"/>
  <c r="H34" i="5" s="1"/>
  <c r="G33" i="3"/>
  <c r="K34" i="5" s="1"/>
  <c r="E33" i="3"/>
  <c r="E34" i="5" s="1"/>
  <c r="F30" i="3"/>
  <c r="G30" i="3"/>
  <c r="E30" i="3"/>
  <c r="F29" i="3"/>
  <c r="H30" i="5" s="1"/>
  <c r="G29" i="3"/>
  <c r="K30" i="5" s="1"/>
  <c r="E29" i="3"/>
  <c r="E30" i="5" s="1"/>
  <c r="F31" i="3"/>
  <c r="H32" i="5" s="1"/>
  <c r="G31" i="3"/>
  <c r="K32" i="5" s="1"/>
  <c r="E31" i="3"/>
  <c r="E32" i="5" s="1"/>
  <c r="F32" i="5" l="1"/>
  <c r="L39" i="5"/>
  <c r="I39" i="5"/>
  <c r="L44" i="5"/>
  <c r="I44" i="5"/>
  <c r="F40" i="5"/>
  <c r="F35" i="5"/>
  <c r="L32" i="5"/>
  <c r="L40" i="5"/>
  <c r="I32" i="5"/>
  <c r="L43" i="5"/>
  <c r="I34" i="5"/>
  <c r="L35" i="5"/>
  <c r="L36" i="5"/>
  <c r="F23" i="5"/>
  <c r="I23" i="5"/>
  <c r="H13" i="6"/>
  <c r="H11" i="9" s="1"/>
  <c r="F39" i="5"/>
  <c r="F44" i="5"/>
  <c r="L23" i="5"/>
  <c r="I35" i="5"/>
  <c r="I31" i="5"/>
  <c r="I36" i="5"/>
  <c r="L31" i="5"/>
  <c r="F43" i="5"/>
  <c r="F31" i="5"/>
  <c r="I43" i="5"/>
  <c r="D13" i="6"/>
  <c r="D11" i="9" s="1"/>
  <c r="F13" i="6"/>
  <c r="F11" i="9" s="1"/>
  <c r="I40" i="5"/>
  <c r="F36" i="5"/>
  <c r="F10" i="5"/>
  <c r="F9" i="5"/>
  <c r="H12" i="6" l="1"/>
  <c r="H10" i="9" s="1"/>
  <c r="I38" i="5"/>
  <c r="F11" i="6"/>
  <c r="F9" i="9" s="1"/>
  <c r="I30" i="5"/>
  <c r="D11" i="6"/>
  <c r="D9" i="9" s="1"/>
  <c r="L38" i="5"/>
  <c r="F14" i="6"/>
  <c r="F12" i="9" s="1"/>
  <c r="H11" i="6"/>
  <c r="F12" i="6"/>
  <c r="C13" i="6"/>
  <c r="C11" i="9" s="1"/>
  <c r="L30" i="5"/>
  <c r="L34" i="5"/>
  <c r="E13" i="6"/>
  <c r="E11" i="9" s="1"/>
  <c r="I21" i="5"/>
  <c r="H14" i="6"/>
  <c r="D14" i="6"/>
  <c r="F38" i="5"/>
  <c r="I42" i="5"/>
  <c r="F42" i="5"/>
  <c r="L42" i="5"/>
  <c r="F30" i="5"/>
  <c r="L21" i="5"/>
  <c r="G13" i="6"/>
  <c r="G11" i="9" s="1"/>
  <c r="F34" i="5"/>
  <c r="F21" i="5"/>
  <c r="F27" i="3"/>
  <c r="H28" i="5" s="1"/>
  <c r="G27" i="3"/>
  <c r="K28" i="5" s="1"/>
  <c r="E27" i="3"/>
  <c r="E28" i="5" s="1"/>
  <c r="F26" i="3"/>
  <c r="H27" i="5" s="1"/>
  <c r="G26" i="3"/>
  <c r="K27" i="5" s="1"/>
  <c r="E26" i="3"/>
  <c r="E27" i="5" s="1"/>
  <c r="F25" i="3"/>
  <c r="H26" i="5" s="1"/>
  <c r="E65" i="3"/>
  <c r="G25" i="3" s="1"/>
  <c r="K26" i="5" s="1"/>
  <c r="D65" i="3"/>
  <c r="C65" i="3"/>
  <c r="E25" i="3" s="1"/>
  <c r="E26" i="5" s="1"/>
  <c r="H22" i="5"/>
  <c r="K22" i="5"/>
  <c r="E22" i="5"/>
  <c r="B59" i="3"/>
  <c r="E59" i="3"/>
  <c r="G18" i="3" s="1"/>
  <c r="K19" i="5" s="1"/>
  <c r="D59" i="3"/>
  <c r="F18" i="3" s="1"/>
  <c r="H19" i="5" s="1"/>
  <c r="C59" i="3"/>
  <c r="E18" i="3" s="1"/>
  <c r="E19" i="5" s="1"/>
  <c r="F17" i="3"/>
  <c r="H18" i="5" s="1"/>
  <c r="G17" i="3"/>
  <c r="K18" i="5" s="1"/>
  <c r="E17" i="3"/>
  <c r="E18" i="5" s="1"/>
  <c r="F16" i="3"/>
  <c r="H17" i="5" s="1"/>
  <c r="G16" i="3"/>
  <c r="K17" i="5" s="1"/>
  <c r="E16" i="3"/>
  <c r="E17" i="5" s="1"/>
  <c r="E14" i="3"/>
  <c r="E15" i="5" s="1"/>
  <c r="F15" i="5" s="1"/>
  <c r="F14" i="3"/>
  <c r="H15" i="5" s="1"/>
  <c r="I15" i="5" s="1"/>
  <c r="G14" i="3"/>
  <c r="K15" i="5" s="1"/>
  <c r="L15" i="5" s="1"/>
  <c r="F13" i="3"/>
  <c r="H14" i="5" s="1"/>
  <c r="I14" i="5" s="1"/>
  <c r="G13" i="3"/>
  <c r="K14" i="5" s="1"/>
  <c r="L14" i="5" s="1"/>
  <c r="E13" i="3"/>
  <c r="E14" i="5" s="1"/>
  <c r="F14" i="5" s="1"/>
  <c r="F12" i="3"/>
  <c r="H13" i="5" s="1"/>
  <c r="G12" i="3"/>
  <c r="K13" i="5" s="1"/>
  <c r="E12" i="3"/>
  <c r="E13" i="5" s="1"/>
  <c r="F10" i="3"/>
  <c r="H11" i="5" s="1"/>
  <c r="I11" i="5" s="1"/>
  <c r="G10" i="3"/>
  <c r="K11" i="5" s="1"/>
  <c r="L11" i="5" s="1"/>
  <c r="E10" i="3"/>
  <c r="E11" i="5" s="1"/>
  <c r="H10" i="5"/>
  <c r="K10" i="5"/>
  <c r="F8" i="3"/>
  <c r="H9" i="5" s="1"/>
  <c r="I9" i="5" s="1"/>
  <c r="G8" i="3"/>
  <c r="K9" i="5" s="1"/>
  <c r="H7" i="5"/>
  <c r="I7" i="5" s="1"/>
  <c r="K7" i="5"/>
  <c r="L7" i="5" s="1"/>
  <c r="E7" i="5"/>
  <c r="F7" i="5" s="1"/>
  <c r="H5" i="5"/>
  <c r="K5" i="5"/>
  <c r="H6" i="5"/>
  <c r="I6" i="5" s="1"/>
  <c r="K6" i="5"/>
  <c r="L6" i="5" s="1"/>
  <c r="E6" i="5"/>
  <c r="F6" i="5" s="1"/>
  <c r="E5" i="5"/>
  <c r="E14" i="6" l="1"/>
  <c r="E12" i="9" s="1"/>
  <c r="E11" i="6"/>
  <c r="E9" i="9" s="1"/>
  <c r="G12" i="6"/>
  <c r="G10" i="9" s="1"/>
  <c r="H9" i="9"/>
  <c r="G11" i="6"/>
  <c r="G9" i="9" s="1"/>
  <c r="C11" i="6"/>
  <c r="C9" i="9" s="1"/>
  <c r="F5" i="6"/>
  <c r="I10" i="5"/>
  <c r="D8" i="6"/>
  <c r="L28" i="5"/>
  <c r="D12" i="9"/>
  <c r="C14" i="6"/>
  <c r="C12" i="9" s="1"/>
  <c r="H8" i="6"/>
  <c r="I28" i="5"/>
  <c r="F11" i="5"/>
  <c r="D5" i="6"/>
  <c r="F17" i="5"/>
  <c r="F8" i="6"/>
  <c r="D10" i="9"/>
  <c r="C12" i="6"/>
  <c r="C10" i="9" s="1"/>
  <c r="H12" i="9"/>
  <c r="G14" i="6"/>
  <c r="G12" i="9" s="1"/>
  <c r="F5" i="5"/>
  <c r="L17" i="5"/>
  <c r="F26" i="5"/>
  <c r="D6" i="6"/>
  <c r="L18" i="5"/>
  <c r="F19" i="5"/>
  <c r="F27" i="5"/>
  <c r="H4" i="6"/>
  <c r="I18" i="5"/>
  <c r="L27" i="5"/>
  <c r="H6" i="6"/>
  <c r="F6" i="6"/>
  <c r="I19" i="5"/>
  <c r="L19" i="5"/>
  <c r="I27" i="5"/>
  <c r="F4" i="6"/>
  <c r="I5" i="5"/>
  <c r="L9" i="5"/>
  <c r="F28" i="5"/>
  <c r="F10" i="9"/>
  <c r="E12" i="6"/>
  <c r="E10" i="9" s="1"/>
  <c r="L22" i="5" l="1"/>
  <c r="F10" i="6"/>
  <c r="F6" i="8" s="1"/>
  <c r="E6" i="8" s="1"/>
  <c r="D7" i="6"/>
  <c r="F18" i="5"/>
  <c r="D6" i="9"/>
  <c r="C7" i="6"/>
  <c r="C6" i="9" s="1"/>
  <c r="H7" i="9"/>
  <c r="G8" i="6"/>
  <c r="G7" i="9" s="1"/>
  <c r="H3" i="9"/>
  <c r="G4" i="6"/>
  <c r="G3" i="9" s="1"/>
  <c r="F7" i="9"/>
  <c r="E8" i="6"/>
  <c r="E7" i="9" s="1"/>
  <c r="I13" i="5"/>
  <c r="F13" i="5"/>
  <c r="I22" i="5"/>
  <c r="F5" i="9"/>
  <c r="E6" i="6"/>
  <c r="E5" i="9" s="1"/>
  <c r="D7" i="9"/>
  <c r="C8" i="6"/>
  <c r="C7" i="9" s="1"/>
  <c r="L5" i="5"/>
  <c r="L13" i="5"/>
  <c r="F22" i="5"/>
  <c r="H5" i="9"/>
  <c r="G6" i="6"/>
  <c r="G5" i="9" s="1"/>
  <c r="F7" i="6"/>
  <c r="D4" i="9"/>
  <c r="C5" i="6"/>
  <c r="C4" i="9" s="1"/>
  <c r="H5" i="6"/>
  <c r="H10" i="6"/>
  <c r="F3" i="9"/>
  <c r="E4" i="6"/>
  <c r="E3" i="9" s="1"/>
  <c r="I17" i="5"/>
  <c r="L26" i="5"/>
  <c r="L10" i="5"/>
  <c r="D5" i="9"/>
  <c r="C6" i="6"/>
  <c r="C5" i="9" s="1"/>
  <c r="D10" i="6"/>
  <c r="H7" i="6"/>
  <c r="F8" i="9"/>
  <c r="E10" i="6"/>
  <c r="E8" i="9" s="1"/>
  <c r="I26" i="5"/>
  <c r="D3" i="9"/>
  <c r="C4" i="6"/>
  <c r="C3" i="9" s="1"/>
  <c r="D5" i="8"/>
  <c r="F4" i="9"/>
  <c r="E5" i="6"/>
  <c r="E4" i="9" s="1"/>
  <c r="H6" i="9" l="1"/>
  <c r="G7" i="6"/>
  <c r="G6" i="9" s="1"/>
  <c r="F6" i="9"/>
  <c r="E7" i="6"/>
  <c r="E6" i="9" s="1"/>
  <c r="D6" i="8"/>
  <c r="C6" i="8" s="1"/>
  <c r="D8" i="9"/>
  <c r="C10" i="6"/>
  <c r="C8" i="9" s="1"/>
  <c r="D3" i="8"/>
  <c r="C5" i="8"/>
  <c r="H5" i="8"/>
  <c r="F5" i="8"/>
  <c r="H6" i="8"/>
  <c r="G6" i="8" s="1"/>
  <c r="H8" i="9"/>
  <c r="G10" i="6"/>
  <c r="G8" i="9" s="1"/>
  <c r="H4" i="9"/>
  <c r="G5" i="6"/>
  <c r="G4" i="9" s="1"/>
  <c r="G5" i="8" l="1"/>
  <c r="H3" i="8"/>
  <c r="C15" i="9"/>
  <c r="C3" i="8"/>
  <c r="F3" i="8"/>
  <c r="E5" i="8"/>
  <c r="E3" i="8" l="1"/>
  <c r="C16" i="9"/>
  <c r="G3" i="8"/>
  <c r="C17" i="9"/>
</calcChain>
</file>

<file path=xl/sharedStrings.xml><?xml version="1.0" encoding="utf-8"?>
<sst xmlns="http://schemas.openxmlformats.org/spreadsheetml/2006/main" count="553" uniqueCount="150">
  <si>
    <t>№ п/п</t>
  </si>
  <si>
    <t>Индикатор</t>
  </si>
  <si>
    <t>Единица измерения</t>
  </si>
  <si>
    <t>Способность экономики региона к устойчивому росту</t>
  </si>
  <si>
    <t>1.1</t>
  </si>
  <si>
    <t>Энергетическая составляющая</t>
  </si>
  <si>
    <t>1.1.1</t>
  </si>
  <si>
    <t>Мощность электростанций</t>
  </si>
  <si>
    <t>млн кВт</t>
  </si>
  <si>
    <t>1.1.2</t>
  </si>
  <si>
    <t>Производство электроэнергии</t>
  </si>
  <si>
    <t>млрд кВт·ч</t>
  </si>
  <si>
    <t>1.1.3</t>
  </si>
  <si>
    <t>в % к предыдущему году</t>
  </si>
  <si>
    <t>1.2</t>
  </si>
  <si>
    <t>Внешнеэкономическая составляющая</t>
  </si>
  <si>
    <t>1.2.1</t>
  </si>
  <si>
    <t>1.2.2</t>
  </si>
  <si>
    <t>1.2.3</t>
  </si>
  <si>
    <t>1.3</t>
  </si>
  <si>
    <t>Инвестиционно-инновационная составляющая</t>
  </si>
  <si>
    <t>1.3.1</t>
  </si>
  <si>
    <t>Индекс физического объема инвестиций в основной капитал</t>
  </si>
  <si>
    <t>1.3.2</t>
  </si>
  <si>
    <t>Объем инновационных товаров, работ, услуг</t>
  </si>
  <si>
    <t>в % от общего объема отгруженных товаров, выполненных работ, услуг</t>
  </si>
  <si>
    <t>1.3.3</t>
  </si>
  <si>
    <t>Затраты на инновационную деятельность организаций</t>
  </si>
  <si>
    <t>1.4</t>
  </si>
  <si>
    <t>Демографическая составляющая</t>
  </si>
  <si>
    <t>1.4.1</t>
  </si>
  <si>
    <t>1.4.2</t>
  </si>
  <si>
    <t>1.4.3</t>
  </si>
  <si>
    <t>1.5</t>
  </si>
  <si>
    <t>Финансовая составляющая</t>
  </si>
  <si>
    <t>1.5.1</t>
  </si>
  <si>
    <t>Индекс потребительских цен</t>
  </si>
  <si>
    <t>1.5.2</t>
  </si>
  <si>
    <t>1.5.3</t>
  </si>
  <si>
    <t>в %</t>
  </si>
  <si>
    <t>Обеспечение приемлемого уровня жизни в регионе</t>
  </si>
  <si>
    <t>2.1</t>
  </si>
  <si>
    <t>Научно-техническая составляющая</t>
  </si>
  <si>
    <t>2.1.1</t>
  </si>
  <si>
    <t>Доля численности персонала, занятого научными исследованиями и разработками в численности занятых</t>
  </si>
  <si>
    <t>2.1.2</t>
  </si>
  <si>
    <t>Удельный вес организаций, осуществлявших технологические инновации в общем числе обследованных организаций</t>
  </si>
  <si>
    <t>2.1.3</t>
  </si>
  <si>
    <t>Доля внутренних затрат на научные исследования и разработки к ВРП</t>
  </si>
  <si>
    <t>2.2</t>
  </si>
  <si>
    <t>Производственная составляющая</t>
  </si>
  <si>
    <t>2.2.1</t>
  </si>
  <si>
    <t>Индексы промышленного производства</t>
  </si>
  <si>
    <t>2.2.2</t>
  </si>
  <si>
    <t>Индексы производства продукции сельского хозяйства</t>
  </si>
  <si>
    <t>2.2.3</t>
  </si>
  <si>
    <t>2.3</t>
  </si>
  <si>
    <t>Продовольственная составляющая</t>
  </si>
  <si>
    <t>2.3.1</t>
  </si>
  <si>
    <t>Индексы потребительских цен на продовольственные товары</t>
  </si>
  <si>
    <t>2.3.2</t>
  </si>
  <si>
    <t>2.3.3</t>
  </si>
  <si>
    <t>2.4</t>
  </si>
  <si>
    <t>Социальная составляющая</t>
  </si>
  <si>
    <t>2.4.1</t>
  </si>
  <si>
    <t>2.4.2</t>
  </si>
  <si>
    <t>Реальные денежные доходы населения</t>
  </si>
  <si>
    <t>2.4.3</t>
  </si>
  <si>
    <t>2.5</t>
  </si>
  <si>
    <t>Экологическая составляющая</t>
  </si>
  <si>
    <t>2.5.1</t>
  </si>
  <si>
    <t>Индекс физического объема природоохранных расходов</t>
  </si>
  <si>
    <t>2.5.2</t>
  </si>
  <si>
    <t>2.5.3</t>
  </si>
  <si>
    <t>Тип</t>
  </si>
  <si>
    <t>убывающий</t>
  </si>
  <si>
    <t>возрастающий</t>
  </si>
  <si>
    <t>Сальдо торгового баланса</t>
  </si>
  <si>
    <t>Коэффициент покрытия импорта экспортом</t>
  </si>
  <si>
    <t>%</t>
  </si>
  <si>
    <t>Общий коэффициент смертности</t>
  </si>
  <si>
    <t>чел./1000 чел</t>
  </si>
  <si>
    <t>Индекс потребительский цен</t>
  </si>
  <si>
    <t>Дефицит (профицит) консолидированного бюджета области</t>
  </si>
  <si>
    <t>Индекс физического объёма розничной торговли</t>
  </si>
  <si>
    <t>% к предыдущему году</t>
  </si>
  <si>
    <t>Численность населения с денежными доходами ниже границы бедности/величины прожиточного минимума</t>
  </si>
  <si>
    <t>Численность населения на одну больничную койку</t>
  </si>
  <si>
    <t>человек</t>
  </si>
  <si>
    <t>% к пред. году</t>
  </si>
  <si>
    <t>Доля уловленных и обезвреженных загрязняющих веществ в общем количестве отходящих загрязняющих веществ от стационарных источников</t>
  </si>
  <si>
    <t>ПК1</t>
  </si>
  <si>
    <t>ПК2</t>
  </si>
  <si>
    <t>ПК3</t>
  </si>
  <si>
    <t>К1</t>
  </si>
  <si>
    <t>К2</t>
  </si>
  <si>
    <t>К3</t>
  </si>
  <si>
    <t>Вес</t>
  </si>
  <si>
    <t>Источник</t>
  </si>
  <si>
    <t>Данные</t>
  </si>
  <si>
    <t>-</t>
  </si>
  <si>
    <t>Индекс производства по видам экономической деятельности (обеспечение электрической энергией, газом и паром; кондиционирование воздуха)</t>
  </si>
  <si>
    <t>Обеспечение электрической энергией, газом и паром; 
кондиционирование воздуха</t>
  </si>
  <si>
    <t>Доля субъекта в общероссийском импорте транспортных услуг</t>
  </si>
  <si>
    <t>Импорт транспортных услуг в субъекте, млн долларов США</t>
  </si>
  <si>
    <t>Импорт транспортных услуг в РФ, млн долларов США</t>
  </si>
  <si>
    <t>Средний курс рубля к доллару</t>
  </si>
  <si>
    <t>https://www.cbr.ru/vfs/statistics/credit_statistics/bop/bal_of_payments_ap.xlsx</t>
  </si>
  <si>
    <t>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</t>
  </si>
  <si>
    <t>https://rosstat.gov.ru/storage/mediabank/Region_Pokazateli_2022.rar</t>
  </si>
  <si>
    <t>https://rosstat.gov.ru/storage/mediabank/Region_Pokaz_2023.rar</t>
  </si>
  <si>
    <t>https://rosstat.gov.ru/storage/mediabank/Region_Pokaz_2024.rar</t>
  </si>
  <si>
    <t>https://rosstat.gov.ru/storage/mediabank/Region_Pokaz_2025.rar</t>
  </si>
  <si>
    <t>https://cbr.ru/vfs/statistics/credit_statistics/trade/imp_services_reg_22.xlsx</t>
  </si>
  <si>
    <t>https://cbr.ru/vfs/statistics/credit_statistics/trade/imp_services_reg_23.xlsx</t>
  </si>
  <si>
    <t>https://cbr.ru/vfs/statistics/credit_statistics/trade/imp_services_reg_24.xlsx</t>
  </si>
  <si>
    <t>Экспорт товаров, млн долларов США</t>
  </si>
  <si>
    <t>Импорт товаров, млн долларов США</t>
  </si>
  <si>
    <t>Затраты на инновационную деятельность</t>
  </si>
  <si>
    <t>Общий коэффициент рождаемости</t>
  </si>
  <si>
    <t>https://youthlib.mirea.ru/ru/reader/6780</t>
  </si>
  <si>
    <t>Миграционный прирост (убыль)</t>
  </si>
  <si>
    <t>Численность постоянного населения, чел.</t>
  </si>
  <si>
    <t>Миграционный прирост (убыль) к населению</t>
  </si>
  <si>
    <t>Доходы консолидированных бюджетов субьектов, млн. руб.</t>
  </si>
  <si>
    <t>Численность персонала, занятого научными исследованиями и разработками</t>
  </si>
  <si>
    <t>Численность рабочей силы</t>
  </si>
  <si>
    <t>Организации, выполнявшие исследования  и разработки</t>
  </si>
  <si>
    <t>Число организаций</t>
  </si>
  <si>
    <t>Внутренние затраты на разработки и исследования</t>
  </si>
  <si>
    <t>ВРП</t>
  </si>
  <si>
    <t>Валовой сбор зерна в субъекте</t>
  </si>
  <si>
    <t>Валовой сбор зерна в РФ</t>
  </si>
  <si>
    <t>Доля валового сбора сырья субъекта к сбору в РФ</t>
  </si>
  <si>
    <t>Индекс цен приобретения промышленных товаров и услуг</t>
  </si>
  <si>
    <t>Индекс цен производителей сельскохозяйственной продукции</t>
  </si>
  <si>
    <t>в % от общей численности населения  субъекта</t>
  </si>
  <si>
    <t>Расходы на охрану окружающей среды, млн. руб.</t>
  </si>
  <si>
    <t>Расходы консолидированных бюджетов субьектов, млн. руб.</t>
  </si>
  <si>
    <t>Доля расходов на защиту окружающей среды в бюджете субьекта</t>
  </si>
  <si>
    <t>РЗ</t>
  </si>
  <si>
    <t>Х</t>
  </si>
  <si>
    <t>НО</t>
  </si>
  <si>
    <t xml:space="preserve">Интегральная оценка экономической безопасности региона </t>
  </si>
  <si>
    <t>В том числе:</t>
  </si>
  <si>
    <t>Оценка за год</t>
  </si>
  <si>
    <t>Пороги</t>
  </si>
  <si>
    <t>Название</t>
  </si>
  <si>
    <t>млрд. руб</t>
  </si>
  <si>
    <t>млрд.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</si>
</sst>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89">
    <xf numFmtId="0" fontId="0" fillId="0" borderId="0" xfId="0"/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6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6" fillId="0" borderId="3" xfId="0" applyFont="1" applyBorder="1"/>
    <xf numFmtId="0" fontId="7" fillId="0" borderId="3" xfId="0" applyFont="1" applyBorder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horizontal="center" vertical="center"/>
    </xf>
    <xf numFmtId="0" fontId="10" fillId="0" borderId="3" xfId="1" applyFont="1" applyBorder="1"/>
    <xf numFmtId="0" fontId="6" fillId="0" borderId="0" xfId="0" applyFont="1"/>
    <xf numFmtId="0" fontId="11" fillId="0" borderId="3" xfId="1" applyFont="1" applyBorder="1"/>
    <xf numFmtId="49" fontId="8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4" fontId="7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wrapText="1"/>
    </xf>
    <xf numFmtId="2" fontId="7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center" vertical="center"/>
    </xf>
    <xf numFmtId="0" fontId="11" fillId="0" borderId="0" xfId="1" applyFont="1" applyBorder="1"/>
    <xf numFmtId="0" fontId="10" fillId="0" borderId="0" xfId="1" applyFont="1" applyBorder="1"/>
    <xf numFmtId="0" fontId="7" fillId="0" borderId="22" xfId="0" applyFont="1" applyBorder="1" applyAlignment="1">
      <alignment wrapText="1"/>
    </xf>
    <xf numFmtId="2" fontId="7" fillId="0" borderId="22" xfId="0" applyNumberFormat="1" applyFont="1" applyBorder="1" applyAlignment="1">
      <alignment horizontal="center" vertical="center"/>
    </xf>
    <xf numFmtId="0" fontId="11" fillId="0" borderId="22" xfId="1" applyFont="1" applyBorder="1"/>
    <xf numFmtId="0" fontId="10" fillId="0" borderId="22" xfId="1" applyFont="1" applyBorder="1"/>
    <xf numFmtId="49" fontId="2" fillId="3" borderId="1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5" fillId="6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wrapText="1"/>
    </xf>
    <xf numFmtId="0" fontId="5" fillId="9" borderId="3" xfId="0" applyFont="1" applyFill="1" applyBorder="1" applyAlignment="1">
      <alignment horizontal="center" wrapText="1"/>
    </xf>
    <xf numFmtId="0" fontId="5" fillId="10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2" fontId="5" fillId="6" borderId="3" xfId="0" applyNumberFormat="1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7" borderId="3" xfId="0" applyNumberFormat="1" applyFont="1" applyFill="1" applyBorder="1" applyAlignment="1">
      <alignment horizontal="center" vertical="center" wrapText="1"/>
    </xf>
    <xf numFmtId="2" fontId="5" fillId="8" borderId="3" xfId="0" applyNumberFormat="1" applyFont="1" applyFill="1" applyBorder="1" applyAlignment="1">
      <alignment horizontal="center" wrapText="1"/>
    </xf>
    <xf numFmtId="2" fontId="5" fillId="9" borderId="3" xfId="0" applyNumberFormat="1" applyFont="1" applyFill="1" applyBorder="1" applyAlignment="1">
      <alignment horizontal="center" wrapText="1"/>
    </xf>
    <xf numFmtId="2" fontId="5" fillId="10" borderId="3" xfId="0" applyNumberFormat="1" applyFont="1" applyFill="1" applyBorder="1" applyAlignment="1">
      <alignment horizontal="center" wrapText="1"/>
    </xf>
    <xf numFmtId="2" fontId="5" fillId="3" borderId="3" xfId="0" applyNumberFormat="1" applyFont="1" applyFill="1" applyBorder="1" applyAlignment="1">
      <alignment horizontal="center" wrapText="1"/>
    </xf>
    <xf numFmtId="0" fontId="14" fillId="0" borderId="23" xfId="0" applyFont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6" fillId="0" borderId="0" xfId="0" applyNumberFormat="1" applyFont="1"/>
    <xf numFmtId="0" fontId="4" fillId="6" borderId="3" xfId="0" applyFont="1" applyFill="1" applyBorder="1" applyAlignment="1">
      <alignment vertical="center" wrapText="1"/>
    </xf>
    <xf numFmtId="2" fontId="6" fillId="6" borderId="3" xfId="0" applyNumberFormat="1" applyFont="1" applyFill="1" applyBorder="1" applyAlignment="1">
      <alignment horizontal="center" vertical="center"/>
    </xf>
    <xf numFmtId="10" fontId="6" fillId="5" borderId="3" xfId="0" applyNumberFormat="1" applyFont="1" applyFill="1" applyBorder="1" applyAlignment="1">
      <alignment horizontal="center" vertical="center"/>
    </xf>
    <xf numFmtId="2" fontId="6" fillId="5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10" fontId="6" fillId="4" borderId="3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vertical="center" wrapText="1"/>
    </xf>
    <xf numFmtId="2" fontId="6" fillId="7" borderId="3" xfId="0" applyNumberFormat="1" applyFont="1" applyFill="1" applyBorder="1" applyAlignment="1">
      <alignment horizontal="center" vertical="center"/>
    </xf>
    <xf numFmtId="10" fontId="6" fillId="7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 wrapText="1"/>
    </xf>
    <xf numFmtId="10" fontId="6" fillId="8" borderId="3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 wrapText="1"/>
    </xf>
    <xf numFmtId="10" fontId="6" fillId="9" borderId="3" xfId="0" applyNumberFormat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 wrapText="1"/>
    </xf>
    <xf numFmtId="10" fontId="6" fillId="10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 applyAlignment="1">
      <alignment vertical="center" wrapText="1"/>
    </xf>
    <xf numFmtId="2" fontId="6" fillId="8" borderId="3" xfId="0" applyNumberFormat="1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5" fillId="12" borderId="3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Оценки</a:t>
            </a:r>
            <a:r>
              <a:rPr lang="ru-RU" sz="1200" baseline="0"/>
              <a:t> составляющих экономической безопасности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3"/>
          <c:tx>
            <c:strRef>
              <c:f>Визуализация!$C$1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7683465959328029E-2"/>
                  <c:y val="-0.17405294981827299"/>
                </c:manualLayout>
              </c:layout>
              <c:tx>
                <c:rich>
                  <a:bodyPr/>
                  <a:lstStyle/>
                  <a:p>
                    <a:fld id="{21929894-AF8E-4D7A-A796-CE4125F87A5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3A5-4361-905F-447AE004AFC4}"/>
                </c:ext>
              </c:extLst>
            </c:dLbl>
            <c:dLbl>
              <c:idx val="1"/>
              <c:layout>
                <c:manualLayout>
                  <c:x val="-2.357795461243737E-2"/>
                  <c:y val="-2.3200822989823379E-2"/>
                </c:manualLayout>
              </c:layout>
              <c:tx>
                <c:rich>
                  <a:bodyPr/>
                  <a:lstStyle/>
                  <a:p>
                    <a:fld id="{0F775D95-A1AA-415C-B6F0-7FF5C4BEF50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3A5-4361-905F-447AE004AFC4}"/>
                </c:ext>
              </c:extLst>
            </c:dLbl>
            <c:dLbl>
              <c:idx val="2"/>
              <c:layout>
                <c:manualLayout>
                  <c:x val="2.2104332449160036E-2"/>
                  <c:y val="-6.4433022896267386E-2"/>
                </c:manualLayout>
              </c:layout>
              <c:tx>
                <c:rich>
                  <a:bodyPr/>
                  <a:lstStyle/>
                  <a:p>
                    <a:fld id="{9D31A761-6F51-45F5-BF86-937DC78180D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3A5-4361-905F-447AE004AFC4}"/>
                </c:ext>
              </c:extLst>
            </c:dLbl>
            <c:dLbl>
              <c:idx val="3"/>
              <c:layout>
                <c:manualLayout>
                  <c:x val="4.8629531388152077E-2"/>
                  <c:y val="3.7724085253625856E-3"/>
                </c:manualLayout>
              </c:layout>
              <c:tx>
                <c:rich>
                  <a:bodyPr/>
                  <a:lstStyle/>
                  <a:p>
                    <a:fld id="{B59A0974-D865-44CC-BD7D-428F52ADFFB3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3A5-4361-905F-447AE004AFC4}"/>
                </c:ext>
              </c:extLst>
            </c:dLbl>
            <c:dLbl>
              <c:idx val="4"/>
              <c:layout>
                <c:manualLayout>
                  <c:x val="1.3262599469496022E-2"/>
                  <c:y val="-3.1710227201366577E-2"/>
                </c:manualLayout>
              </c:layout>
              <c:tx>
                <c:rich>
                  <a:bodyPr/>
                  <a:lstStyle/>
                  <a:p>
                    <a:fld id="{061712BE-AE36-40B7-9C3E-A4EDC5F9A74C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3A5-4361-905F-447AE004AFC4}"/>
                </c:ext>
              </c:extLst>
            </c:dLbl>
            <c:dLbl>
              <c:idx val="5"/>
              <c:layout>
                <c:manualLayout>
                  <c:x val="-2.5051576775714814E-2"/>
                  <c:y val="8.1263394421983132E-2"/>
                </c:manualLayout>
              </c:layout>
              <c:tx>
                <c:rich>
                  <a:bodyPr/>
                  <a:lstStyle/>
                  <a:p>
                    <a:fld id="{2822A176-344F-42E9-AF62-17C104F0242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23A5-4361-905F-447AE004AFC4}"/>
                </c:ext>
              </c:extLst>
            </c:dLbl>
            <c:dLbl>
              <c:idx val="6"/>
              <c:layout>
                <c:manualLayout>
                  <c:x val="3.6840554081933444E-2"/>
                  <c:y val="-8.7608225787851757E-3"/>
                </c:manualLayout>
              </c:layout>
              <c:tx>
                <c:rich>
                  <a:bodyPr/>
                  <a:lstStyle/>
                  <a:p>
                    <a:fld id="{563572AD-C4B6-4F4F-BF35-9539E4DE119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3A5-4361-905F-447AE004AFC4}"/>
                </c:ext>
              </c:extLst>
            </c:dLbl>
            <c:dLbl>
              <c:idx val="7"/>
              <c:layout>
                <c:manualLayout>
                  <c:x val="1.7683465959328029E-2"/>
                  <c:y val="-2.9075015613742834E-2"/>
                </c:manualLayout>
              </c:layout>
              <c:tx>
                <c:rich>
                  <a:bodyPr/>
                  <a:lstStyle/>
                  <a:p>
                    <a:fld id="{4B65744A-BE92-46CB-9633-128FC00A10B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23A5-4361-905F-447AE004AFC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BA7EA51-DCC4-473C-A209-B6F153441BB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3A5-4361-905F-447AE004AFC4}"/>
                </c:ext>
              </c:extLst>
            </c:dLbl>
            <c:dLbl>
              <c:idx val="9"/>
              <c:layout>
                <c:manualLayout>
                  <c:x val="1.9157088122605255E-2"/>
                  <c:y val="8.700308621183768E-3"/>
                </c:manualLayout>
              </c:layout>
              <c:tx>
                <c:rich>
                  <a:bodyPr/>
                  <a:lstStyle/>
                  <a:p>
                    <a:fld id="{50142271-1A97-4342-9884-CD21F12FDCE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23A5-4361-905F-447AE004A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Визуализация!$D$3:$D$12</c:f>
              <c:numCache>
                <c:formatCode>General</c:formatCode>
                <c:ptCount val="10"/>
                <c:pt idx="0">
                  <c:v>1.5000000000000001E-2</c:v>
                </c:pt>
                <c:pt idx="1">
                  <c:v>1.5384652528844732E-2</c:v>
                </c:pt>
                <c:pt idx="2">
                  <c:v>0.38959866220735778</c:v>
                </c:pt>
                <c:pt idx="3">
                  <c:v>0.36986703804886989</c:v>
                </c:pt>
                <c:pt idx="4">
                  <c:v>0.92399999999999993</c:v>
                </c:pt>
                <c:pt idx="5">
                  <c:v>0.69662652790314061</c:v>
                </c:pt>
                <c:pt idx="6">
                  <c:v>1.0095654822335025</c:v>
                </c:pt>
                <c:pt idx="7">
                  <c:v>0.9361578947368423</c:v>
                </c:pt>
                <c:pt idx="8">
                  <c:v>0</c:v>
                </c:pt>
                <c:pt idx="9">
                  <c:v>0.82499999999999929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Визуализация!$C$3:$C$12</c15:f>
                <c15:dlblRangeCache>
                  <c:ptCount val="10"/>
                  <c:pt idx="0">
                    <c:v>ПК1</c:v>
                  </c:pt>
                  <c:pt idx="1">
                    <c:v>ПК1</c:v>
                  </c:pt>
                  <c:pt idx="2">
                    <c:v>ПК2</c:v>
                  </c:pt>
                  <c:pt idx="3">
                    <c:v>ПК2</c:v>
                  </c:pt>
                  <c:pt idx="4">
                    <c:v>ПК3</c:v>
                  </c:pt>
                  <c:pt idx="5">
                    <c:v>ПК3</c:v>
                  </c:pt>
                  <c:pt idx="6">
                    <c:v>К1</c:v>
                  </c:pt>
                  <c:pt idx="7">
                    <c:v>ПК3</c:v>
                  </c:pt>
                  <c:pt idx="8">
                    <c:v>Н</c:v>
                  </c:pt>
                  <c:pt idx="9">
                    <c:v>ПК3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23A5-4361-905F-447AE004AFC4}"/>
            </c:ext>
          </c:extLst>
        </c:ser>
        <c:ser>
          <c:idx val="1"/>
          <c:order val="4"/>
          <c:tx>
            <c:strRef>
              <c:f>Визуализация!$E$1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3.3893309755378721E-2"/>
                  <c:y val="-0.13337346457258742"/>
                </c:manualLayout>
              </c:layout>
              <c:tx>
                <c:rich>
                  <a:bodyPr/>
                  <a:lstStyle/>
                  <a:p>
                    <a:fld id="{31D783A3-8659-453B-8B62-345F6113825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3A5-4361-905F-447AE004AFC4}"/>
                </c:ext>
              </c:extLst>
            </c:dLbl>
            <c:dLbl>
              <c:idx val="1"/>
              <c:layout>
                <c:manualLayout>
                  <c:x val="-3.3893309755378721E-2"/>
                  <c:y val="1.7400617242367536E-2"/>
                </c:manualLayout>
              </c:layout>
              <c:tx>
                <c:rich>
                  <a:bodyPr/>
                  <a:lstStyle/>
                  <a:p>
                    <a:fld id="{D52078EB-7924-4E5E-9AD0-B64F5BA0649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23A5-4361-905F-447AE004AFC4}"/>
                </c:ext>
              </c:extLst>
            </c:dLbl>
            <c:dLbl>
              <c:idx val="2"/>
              <c:layout>
                <c:manualLayout>
                  <c:x val="7.3681108163865701E-3"/>
                  <c:y val="5.7132536994772875E-3"/>
                </c:manualLayout>
              </c:layout>
              <c:tx>
                <c:rich>
                  <a:bodyPr/>
                  <a:lstStyle/>
                  <a:p>
                    <a:fld id="{127EB337-6CAC-426A-904B-4C6E071E0B4C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3A5-4361-905F-447AE004AFC4}"/>
                </c:ext>
              </c:extLst>
            </c:dLbl>
            <c:dLbl>
              <c:idx val="3"/>
              <c:layout>
                <c:manualLayout>
                  <c:x val="1.9157088122605255E-2"/>
                  <c:y val="-2.046193843332789E-2"/>
                </c:manualLayout>
              </c:layout>
              <c:tx>
                <c:rich>
                  <a:bodyPr/>
                  <a:lstStyle/>
                  <a:p>
                    <a:fld id="{7AF26806-C8B3-41DE-8E33-3D3D48C1E68C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23A5-4361-905F-447AE004AFC4}"/>
                </c:ext>
              </c:extLst>
            </c:dLbl>
            <c:dLbl>
              <c:idx val="4"/>
              <c:layout>
                <c:manualLayout>
                  <c:x val="7.8101974653698683E-2"/>
                  <c:y val="-2.3249091160030787E-2"/>
                </c:manualLayout>
              </c:layout>
              <c:tx>
                <c:rich>
                  <a:bodyPr/>
                  <a:lstStyle/>
                  <a:p>
                    <a:fld id="{9B24D628-6946-4571-8AFA-5826563AD9A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23A5-4361-905F-447AE004AFC4}"/>
                </c:ext>
              </c:extLst>
            </c:dLbl>
            <c:dLbl>
              <c:idx val="5"/>
              <c:layout>
                <c:manualLayout>
                  <c:x val="-1.4736221632773898E-3"/>
                  <c:y val="8.4102983338109644E-2"/>
                </c:manualLayout>
              </c:layout>
              <c:tx>
                <c:rich>
                  <a:bodyPr/>
                  <a:lstStyle/>
                  <a:p>
                    <a:fld id="{67F9C06E-C43C-4EB4-B71E-7C4E10AE13E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23A5-4361-905F-447AE004AFC4}"/>
                </c:ext>
              </c:extLst>
            </c:dLbl>
            <c:dLbl>
              <c:idx val="6"/>
              <c:layout>
                <c:manualLayout>
                  <c:x val="1.4736221632773356E-3"/>
                  <c:y val="-4.0601440232190915E-2"/>
                </c:manualLayout>
              </c:layout>
              <c:tx>
                <c:rich>
                  <a:bodyPr/>
                  <a:lstStyle/>
                  <a:p>
                    <a:fld id="{3AE7523C-ACB1-4B06-B74E-6222EB1C5334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23A5-4361-905F-447AE004AFC4}"/>
                </c:ext>
              </c:extLst>
            </c:dLbl>
            <c:dLbl>
              <c:idx val="7"/>
              <c:layout>
                <c:manualLayout>
                  <c:x val="2.5051576775714651E-2"/>
                  <c:y val="1.1600411494911689E-2"/>
                </c:manualLayout>
              </c:layout>
              <c:tx>
                <c:rich>
                  <a:bodyPr/>
                  <a:lstStyle/>
                  <a:p>
                    <a:fld id="{4E599B26-9BB1-41BB-B206-3828485F78F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23A5-4361-905F-447AE004AFC4}"/>
                </c:ext>
              </c:extLst>
            </c:dLbl>
            <c:dLbl>
              <c:idx val="8"/>
              <c:layout>
                <c:manualLayout>
                  <c:x val="1.4736221632772816E-3"/>
                  <c:y val="-2.04529559007583E-2"/>
                </c:manualLayout>
              </c:layout>
              <c:tx>
                <c:rich>
                  <a:bodyPr/>
                  <a:lstStyle/>
                  <a:p>
                    <a:fld id="{8DC67895-0149-4AE8-A935-C24C3C7C40E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23A5-4361-905F-447AE004AFC4}"/>
                </c:ext>
              </c:extLst>
            </c:dLbl>
            <c:dLbl>
              <c:idx val="9"/>
              <c:layout>
                <c:manualLayout>
                  <c:x val="-1.3262599469496022E-2"/>
                  <c:y val="2.6100925863551248E-2"/>
                </c:manualLayout>
              </c:layout>
              <c:tx>
                <c:rich>
                  <a:bodyPr/>
                  <a:lstStyle/>
                  <a:p>
                    <a:fld id="{28CB2F7F-72DC-4CFB-86F2-68C8AE4C0B7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23A5-4361-905F-447AE004A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Визуализация!$F$3:$F$12</c:f>
              <c:numCache>
                <c:formatCode>General</c:formatCode>
                <c:ptCount val="10"/>
                <c:pt idx="0">
                  <c:v>3.000000000000043E-3</c:v>
                </c:pt>
                <c:pt idx="1">
                  <c:v>6.6887757949862972E-2</c:v>
                </c:pt>
                <c:pt idx="2">
                  <c:v>0</c:v>
                </c:pt>
                <c:pt idx="3">
                  <c:v>0.43066752737141034</c:v>
                </c:pt>
                <c:pt idx="4">
                  <c:v>2.7789473684210173E-2</c:v>
                </c:pt>
                <c:pt idx="5">
                  <c:v>0.70940575492131042</c:v>
                </c:pt>
                <c:pt idx="6">
                  <c:v>1.4850000000000001</c:v>
                </c:pt>
                <c:pt idx="7">
                  <c:v>0.34389473684210492</c:v>
                </c:pt>
                <c:pt idx="8">
                  <c:v>0</c:v>
                </c:pt>
                <c:pt idx="9">
                  <c:v>0.43560000000000004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Визуализация!$E$3:$E$12</c15:f>
                <c15:dlblRangeCache>
                  <c:ptCount val="10"/>
                  <c:pt idx="0">
                    <c:v>ПК1</c:v>
                  </c:pt>
                  <c:pt idx="1">
                    <c:v>ПК1</c:v>
                  </c:pt>
                  <c:pt idx="2">
                    <c:v>Н</c:v>
                  </c:pt>
                  <c:pt idx="3">
                    <c:v>ПК2</c:v>
                  </c:pt>
                  <c:pt idx="4">
                    <c:v>ПК1</c:v>
                  </c:pt>
                  <c:pt idx="5">
                    <c:v>ПК3</c:v>
                  </c:pt>
                  <c:pt idx="6">
                    <c:v>К2</c:v>
                  </c:pt>
                  <c:pt idx="7">
                    <c:v>ПК2</c:v>
                  </c:pt>
                  <c:pt idx="8">
                    <c:v>Н</c:v>
                  </c:pt>
                  <c:pt idx="9">
                    <c:v>ПК2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23A5-4361-905F-447AE004AFC4}"/>
            </c:ext>
          </c:extLst>
        </c:ser>
        <c:ser>
          <c:idx val="2"/>
          <c:order val="5"/>
          <c:tx>
            <c:strRef>
              <c:f>Визуализация!$G$1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3.2419687592101384E-2"/>
                  <c:y val="-8.982533038823301E-2"/>
                </c:manualLayout>
              </c:layout>
              <c:tx>
                <c:rich>
                  <a:bodyPr/>
                  <a:lstStyle/>
                  <a:p>
                    <a:fld id="{1B622DAE-5733-4B52-88C5-C851C0C1BDA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23A5-4361-905F-447AE004AFC4}"/>
                </c:ext>
              </c:extLst>
            </c:dLbl>
            <c:dLbl>
              <c:idx val="1"/>
              <c:layout>
                <c:manualLayout>
                  <c:x val="0"/>
                  <c:y val="-4.3501543105918888E-2"/>
                </c:manualLayout>
              </c:layout>
              <c:tx>
                <c:rich>
                  <a:bodyPr/>
                  <a:lstStyle/>
                  <a:p>
                    <a:fld id="{1F3569F5-82A4-41B3-81D7-4D78CD744048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23A5-4361-905F-447AE004AFC4}"/>
                </c:ext>
              </c:extLst>
            </c:dLbl>
            <c:dLbl>
              <c:idx val="2"/>
              <c:layout>
                <c:manualLayout>
                  <c:x val="5.4524020041261313E-2"/>
                  <c:y val="-5.5101954600830526E-2"/>
                </c:manualLayout>
              </c:layout>
              <c:tx>
                <c:rich>
                  <a:bodyPr/>
                  <a:lstStyle/>
                  <a:p>
                    <a:fld id="{F3DC6444-7349-44F8-A928-E58DC2B057BC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23A5-4361-905F-447AE004AFC4}"/>
                </c:ext>
              </c:extLst>
            </c:dLbl>
            <c:dLbl>
              <c:idx val="3"/>
              <c:layout>
                <c:manualLayout>
                  <c:x val="1.9157088122605363E-2"/>
                  <c:y val="4.3582203925767414E-2"/>
                </c:manualLayout>
              </c:layout>
              <c:tx>
                <c:rich>
                  <a:bodyPr/>
                  <a:lstStyle/>
                  <a:p>
                    <a:fld id="{44E2B84F-85C0-4C42-9B3D-75A7FCE2E56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23A5-4361-905F-447AE004AFC4}"/>
                </c:ext>
              </c:extLst>
            </c:dLbl>
            <c:dLbl>
              <c:idx val="4"/>
              <c:layout>
                <c:manualLayout>
                  <c:x val="5.4524020041261313E-2"/>
                  <c:y val="-4.6481473809638796E-2"/>
                </c:manualLayout>
              </c:layout>
              <c:tx>
                <c:rich>
                  <a:bodyPr/>
                  <a:lstStyle/>
                  <a:p>
                    <a:fld id="{A6EEFF6C-9676-4D1F-9872-07782A810D0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23A5-4361-905F-447AE004AFC4}"/>
                </c:ext>
              </c:extLst>
            </c:dLbl>
            <c:dLbl>
              <c:idx val="5"/>
              <c:layout>
                <c:manualLayout>
                  <c:x val="2.6525198938992044E-2"/>
                  <c:y val="6.9810728325441787E-2"/>
                </c:manualLayout>
              </c:layout>
              <c:tx>
                <c:rich>
                  <a:bodyPr/>
                  <a:lstStyle/>
                  <a:p>
                    <a:fld id="{FC7CFA29-DE06-4F3B-8812-2D7C7B8E6C2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23A5-4361-905F-447AE004AFC4}"/>
                </c:ext>
              </c:extLst>
            </c:dLbl>
            <c:dLbl>
              <c:idx val="6"/>
              <c:layout>
                <c:manualLayout>
                  <c:x val="2.6525198938991988E-2"/>
                  <c:y val="-2.9740897501915322E-3"/>
                </c:manualLayout>
              </c:layout>
              <c:tx>
                <c:rich>
                  <a:bodyPr/>
                  <a:lstStyle/>
                  <a:p>
                    <a:fld id="{5206696B-9633-4C03-83B4-9D358F55916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23A5-4361-905F-447AE004AFC4}"/>
                </c:ext>
              </c:extLst>
            </c:dLbl>
            <c:dLbl>
              <c:idx val="7"/>
              <c:layout>
                <c:manualLayout>
                  <c:x val="1.6209843796050692E-2"/>
                  <c:y val="-5.5209509597171143E-2"/>
                </c:manualLayout>
              </c:layout>
              <c:tx>
                <c:rich>
                  <a:bodyPr/>
                  <a:lstStyle/>
                  <a:p>
                    <a:fld id="{30989840-EE33-4A56-A5FE-F492DBB2EA7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23A5-4361-905F-447AE004AFC4}"/>
                </c:ext>
              </c:extLst>
            </c:dLbl>
            <c:dLbl>
              <c:idx val="8"/>
              <c:layout>
                <c:manualLayout>
                  <c:x val="1.1788977306218631E-2"/>
                  <c:y val="-8.7655525288965214E-3"/>
                </c:manualLayout>
              </c:layout>
              <c:tx>
                <c:rich>
                  <a:bodyPr/>
                  <a:lstStyle/>
                  <a:p>
                    <a:fld id="{986D2623-39E0-4392-942F-D0F3509FC6EA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23A5-4361-905F-447AE004AFC4}"/>
                </c:ext>
              </c:extLst>
            </c:dLbl>
            <c:dLbl>
              <c:idx val="9"/>
              <c:layout>
                <c:manualLayout>
                  <c:x val="-1.4736221632773356E-3"/>
                  <c:y val="4.0601440232190963E-2"/>
                </c:manualLayout>
              </c:layout>
              <c:tx>
                <c:rich>
                  <a:bodyPr/>
                  <a:lstStyle/>
                  <a:p>
                    <a:fld id="{B0951161-447C-477F-8DF5-2311E413E9F8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23A5-4361-905F-447AE004A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Визуализация!$H$3:$H$12</c:f>
              <c:numCache>
                <c:formatCode>General</c:formatCode>
                <c:ptCount val="10"/>
                <c:pt idx="0">
                  <c:v>0</c:v>
                </c:pt>
                <c:pt idx="1">
                  <c:v>7.7945405361425815E-2</c:v>
                </c:pt>
                <c:pt idx="2">
                  <c:v>0.21819672131147536</c:v>
                </c:pt>
                <c:pt idx="3">
                  <c:v>0.32518530091982256</c:v>
                </c:pt>
                <c:pt idx="4">
                  <c:v>7.1210526315789363E-2</c:v>
                </c:pt>
                <c:pt idx="5">
                  <c:v>0.7236866459483392</c:v>
                </c:pt>
                <c:pt idx="6">
                  <c:v>1.2753097696584592</c:v>
                </c:pt>
                <c:pt idx="7">
                  <c:v>0.17194736842105263</c:v>
                </c:pt>
                <c:pt idx="8">
                  <c:v>0</c:v>
                </c:pt>
                <c:pt idx="9">
                  <c:v>0.88836000000000004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Визуализация!$G$3:$G$12</c15:f>
                <c15:dlblRangeCache>
                  <c:ptCount val="10"/>
                  <c:pt idx="0">
                    <c:v>Н</c:v>
                  </c:pt>
                  <c:pt idx="1">
                    <c:v>ПК1</c:v>
                  </c:pt>
                  <c:pt idx="2">
                    <c:v>ПК1</c:v>
                  </c:pt>
                  <c:pt idx="3">
                    <c:v>ПК1</c:v>
                  </c:pt>
                  <c:pt idx="4">
                    <c:v>ПК1</c:v>
                  </c:pt>
                  <c:pt idx="5">
                    <c:v>ПК3</c:v>
                  </c:pt>
                  <c:pt idx="6">
                    <c:v>К1</c:v>
                  </c:pt>
                  <c:pt idx="7">
                    <c:v>ПК1</c:v>
                  </c:pt>
                  <c:pt idx="8">
                    <c:v>Н</c:v>
                  </c:pt>
                  <c:pt idx="9">
                    <c:v>ПК3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3-23A5-4361-905F-447AE004A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61375"/>
        <c:axId val="654962815"/>
        <c:extLst>
          <c:ext xmlns:c15="http://schemas.microsoft.com/office/drawing/2012/chart" uri="{02D57815-91ED-43cb-92C2-25804820EDAC}">
            <c15:filteredRad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Визуализация!$C$1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>
                    <a:solidFill>
                      <a:srgbClr val="00B05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Визуализация!$B$3:$B$12</c15:sqref>
                        </c15:formulaRef>
                      </c:ext>
                    </c:extLst>
                    <c:strCache>
                      <c:ptCount val="10"/>
                      <c:pt idx="0">
                        <c:v>Энергетическая составляющая</c:v>
                      </c:pt>
                      <c:pt idx="1">
                        <c:v>Внешнеэкономическая составляющая</c:v>
                      </c:pt>
                      <c:pt idx="2">
                        <c:v>Инвестиционно-инновационная составляющая</c:v>
                      </c:pt>
                      <c:pt idx="3">
                        <c:v>Демографическая составляющая</c:v>
                      </c:pt>
                      <c:pt idx="4">
                        <c:v>Финансовая составляющая</c:v>
                      </c:pt>
                      <c:pt idx="5">
                        <c:v>Научно-техническая составляющая</c:v>
                      </c:pt>
                      <c:pt idx="6">
                        <c:v>Производственная составляющая</c:v>
                      </c:pt>
                      <c:pt idx="7">
                        <c:v>Продовольственная составляющая</c:v>
                      </c:pt>
                      <c:pt idx="8">
                        <c:v>Социальная составляющая</c:v>
                      </c:pt>
                      <c:pt idx="9">
                        <c:v>Экологическая составляющая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Визуализация!$D$3:$D$12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1.5000000000000001E-2</c:v>
                      </c:pt>
                      <c:pt idx="1">
                        <c:v>1.5384652528844732E-2</c:v>
                      </c:pt>
                      <c:pt idx="2">
                        <c:v>0.38959866220735778</c:v>
                      </c:pt>
                      <c:pt idx="3">
                        <c:v>0.36986703804886989</c:v>
                      </c:pt>
                      <c:pt idx="4">
                        <c:v>0.92399999999999993</c:v>
                      </c:pt>
                      <c:pt idx="5">
                        <c:v>0.69662652790314061</c:v>
                      </c:pt>
                      <c:pt idx="6">
                        <c:v>1.0095654822335025</c:v>
                      </c:pt>
                      <c:pt idx="7">
                        <c:v>0.9361578947368423</c:v>
                      </c:pt>
                      <c:pt idx="8">
                        <c:v>0</c:v>
                      </c:pt>
                      <c:pt idx="9">
                        <c:v>0.82499999999999929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4-23A5-4361-905F-447AE004AFC4}"/>
                  </c:ext>
                </c:extLst>
              </c15:ser>
            </c15:filteredRadarSeries>
            <c15:filteredRadarSeries>
              <c15:ser>
                <c:idx val="4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Визуализация!$E$1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>
                    <a:solidFill>
                      <a:srgbClr val="0070C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Визуализация!$B$3:$B$12</c15:sqref>
                        </c15:formulaRef>
                      </c:ext>
                    </c:extLst>
                    <c:strCache>
                      <c:ptCount val="10"/>
                      <c:pt idx="0">
                        <c:v>Энергетическая составляющая</c:v>
                      </c:pt>
                      <c:pt idx="1">
                        <c:v>Внешнеэкономическая составляющая</c:v>
                      </c:pt>
                      <c:pt idx="2">
                        <c:v>Инвестиционно-инновационная составляющая</c:v>
                      </c:pt>
                      <c:pt idx="3">
                        <c:v>Демографическая составляющая</c:v>
                      </c:pt>
                      <c:pt idx="4">
                        <c:v>Финансовая составляющая</c:v>
                      </c:pt>
                      <c:pt idx="5">
                        <c:v>Научно-техническая составляющая</c:v>
                      </c:pt>
                      <c:pt idx="6">
                        <c:v>Производственная составляющая</c:v>
                      </c:pt>
                      <c:pt idx="7">
                        <c:v>Продовольственная составляющая</c:v>
                      </c:pt>
                      <c:pt idx="8">
                        <c:v>Социальная составляющая</c:v>
                      </c:pt>
                      <c:pt idx="9">
                        <c:v>Экологическая составляющая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Визуализация!$F$3:$F$12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3.000000000000043E-3</c:v>
                      </c:pt>
                      <c:pt idx="1">
                        <c:v>6.6887757949862972E-2</c:v>
                      </c:pt>
                      <c:pt idx="2">
                        <c:v>0</c:v>
                      </c:pt>
                      <c:pt idx="3">
                        <c:v>0.43066752737141034</c:v>
                      </c:pt>
                      <c:pt idx="4">
                        <c:v>2.7789473684210173E-2</c:v>
                      </c:pt>
                      <c:pt idx="5">
                        <c:v>0.70940575492131042</c:v>
                      </c:pt>
                      <c:pt idx="6">
                        <c:v>1.4850000000000001</c:v>
                      </c:pt>
                      <c:pt idx="7">
                        <c:v>0.34389473684210492</c:v>
                      </c:pt>
                      <c:pt idx="8">
                        <c:v>0</c:v>
                      </c:pt>
                      <c:pt idx="9">
                        <c:v>0.43560000000000004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5-23A5-4361-905F-447AE004AFC4}"/>
                  </c:ext>
                </c:extLst>
              </c15:ser>
            </c15:filteredRadarSeries>
            <c15:filteredRadarSeries>
              <c15:ser>
                <c:idx val="5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Визуализация!$G$1</c15:sqref>
                        </c15:formulaRef>
                      </c:ext>
                    </c:extLst>
                    <c:strCache>
                      <c:ptCount val="1"/>
                      <c:pt idx="0">
                        <c:v>2024</c:v>
                      </c:pt>
                    </c:strCache>
                  </c:strRef>
                </c:tx>
                <c:spPr>
                  <a:ln>
                    <a:solidFill>
                      <a:srgbClr val="FFC00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Визуализация!$B$3:$B$12</c15:sqref>
                        </c15:formulaRef>
                      </c:ext>
                    </c:extLst>
                    <c:strCache>
                      <c:ptCount val="10"/>
                      <c:pt idx="0">
                        <c:v>Энергетическая составляющая</c:v>
                      </c:pt>
                      <c:pt idx="1">
                        <c:v>Внешнеэкономическая составляющая</c:v>
                      </c:pt>
                      <c:pt idx="2">
                        <c:v>Инвестиционно-инновационная составляющая</c:v>
                      </c:pt>
                      <c:pt idx="3">
                        <c:v>Демографическая составляющая</c:v>
                      </c:pt>
                      <c:pt idx="4">
                        <c:v>Финансовая составляющая</c:v>
                      </c:pt>
                      <c:pt idx="5">
                        <c:v>Научно-техническая составляющая</c:v>
                      </c:pt>
                      <c:pt idx="6">
                        <c:v>Производственная составляющая</c:v>
                      </c:pt>
                      <c:pt idx="7">
                        <c:v>Продовольственная составляющая</c:v>
                      </c:pt>
                      <c:pt idx="8">
                        <c:v>Социальная составляющая</c:v>
                      </c:pt>
                      <c:pt idx="9">
                        <c:v>Экологическая составляющая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Визуализация!$H$3:$H$12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0</c:v>
                      </c:pt>
                      <c:pt idx="1">
                        <c:v>7.7945405361425815E-2</c:v>
                      </c:pt>
                      <c:pt idx="2">
                        <c:v>0.21819672131147536</c:v>
                      </c:pt>
                      <c:pt idx="3">
                        <c:v>0.32518530091982256</c:v>
                      </c:pt>
                      <c:pt idx="4">
                        <c:v>7.1210526315789363E-2</c:v>
                      </c:pt>
                      <c:pt idx="5">
                        <c:v>0.7236866459483392</c:v>
                      </c:pt>
                      <c:pt idx="6">
                        <c:v>1.2753097696584592</c:v>
                      </c:pt>
                      <c:pt idx="7">
                        <c:v>0.17194736842105263</c:v>
                      </c:pt>
                      <c:pt idx="8">
                        <c:v>0</c:v>
                      </c:pt>
                      <c:pt idx="9">
                        <c:v>0.88836000000000004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6-23A5-4361-905F-447AE004AFC4}"/>
                  </c:ext>
                </c:extLst>
              </c15:ser>
            </c15:filteredRadarSeries>
          </c:ext>
        </c:extLst>
      </c:radarChart>
      <c:catAx>
        <c:axId val="65496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62815"/>
        <c:crosses val="autoZero"/>
        <c:auto val="1"/>
        <c:lblAlgn val="ctr"/>
        <c:lblOffset val="100"/>
        <c:noMultiLvlLbl val="0"/>
      </c:catAx>
      <c:valAx>
        <c:axId val="654962815"/>
        <c:scaling>
          <c:orientation val="minMax"/>
          <c:max val="3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.##0;\-#.##0" sourceLinked="0"/>
        <c:majorTickMark val="cross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61375"/>
        <c:crosses val="autoZero"/>
        <c:crossBetween val="between"/>
        <c:majorUnit val="0.5"/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Интегральная оценка</a:t>
            </a:r>
          </a:p>
        </c:rich>
      </c:tx>
      <c:layout>
        <c:manualLayout>
          <c:xMode val="edge"/>
          <c:yMode val="edge"/>
          <c:x val="0.20883190883190883"/>
          <c:y val="4.3103448275862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Визуализация!$B$14</c:f>
              <c:strCache>
                <c:ptCount val="1"/>
                <c:pt idx="0">
                  <c:v>Оценка за год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Визуализация!$B$15:$B$17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xVal>
          <c:yVal>
            <c:numRef>
              <c:f>Визуализация!$C$15:$C$17</c:f>
              <c:numCache>
                <c:formatCode>General</c:formatCode>
                <c:ptCount val="3"/>
                <c:pt idx="0">
                  <c:v>0.5181200257658557</c:v>
                </c:pt>
                <c:pt idx="1">
                  <c:v>0.35022452507688989</c:v>
                </c:pt>
                <c:pt idx="2">
                  <c:v>0.37518417379363644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F7-498F-9318-CC953F6AD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59455"/>
        <c:axId val="654959935"/>
      </c:scatterChart>
      <c:valAx>
        <c:axId val="654959455"/>
        <c:scaling>
          <c:orientation val="minMax"/>
          <c:max val="2025"/>
          <c:min val="202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59935"/>
        <c:crosses val="autoZero"/>
        <c:crossBetween val="midCat"/>
        <c:majorUnit val="1"/>
      </c:valAx>
      <c:valAx>
        <c:axId val="65495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594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0</xdr:row>
      <xdr:rowOff>45720</xdr:rowOff>
    </xdr:from>
    <xdr:to>
      <xdr:col>23</xdr:col>
      <xdr:colOff>129540</xdr:colOff>
      <xdr:row>23</xdr:row>
      <xdr:rowOff>99060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CD96754-7DAF-27B8-D8D4-1CFC6145A7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61623</xdr:colOff>
      <xdr:row>12</xdr:row>
      <xdr:rowOff>129871</xdr:rowOff>
    </xdr:from>
    <xdr:to>
      <xdr:col>9</xdr:col>
      <xdr:colOff>38763</xdr:colOff>
      <xdr:row>27</xdr:row>
      <xdr:rowOff>122251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2212F3DE-DD3B-34DB-8F25-0E2E0E6366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3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CB8763D-B2B5-452F-93B4-8157DFDD2912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c9f0d698-31b9-47e5-9c8e-08c377c4a473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rosstat.gov.ru/storage/mediabank/Region_Pokaz_2024.rar" TargetMode="External"/><Relationship Id="rId21" Type="http://schemas.openxmlformats.org/officeDocument/2006/relationships/hyperlink" Target="https://rosstat.gov.ru/storage/mediabank/Region_Pokaz_2024.rar" TargetMode="External"/><Relationship Id="rId42" Type="http://schemas.openxmlformats.org/officeDocument/2006/relationships/hyperlink" Target="https://rosstat.gov.ru/storage/mediabank/Region_Pokaz_2025.rar" TargetMode="External"/><Relationship Id="rId47" Type="http://schemas.openxmlformats.org/officeDocument/2006/relationships/hyperlink" Target="https://rosstat.gov.ru/storage/mediabank/Region_Pokaz_2023.rar" TargetMode="External"/><Relationship Id="rId63" Type="http://schemas.openxmlformats.org/officeDocument/2006/relationships/hyperlink" Target="https://rosstat.gov.ru/storage/mediabank/Region_Pokaz_2025.rar" TargetMode="External"/><Relationship Id="rId68" Type="http://schemas.openxmlformats.org/officeDocument/2006/relationships/hyperlink" Target="https://rosstat.gov.ru/storage/mediabank/Region_Pokaz_2025.rar" TargetMode="External"/><Relationship Id="rId84" Type="http://schemas.openxmlformats.org/officeDocument/2006/relationships/hyperlink" Target="https://rosstat.gov.ru/storage/mediabank/Region_Pokaz_2024.rar" TargetMode="External"/><Relationship Id="rId89" Type="http://schemas.openxmlformats.org/officeDocument/2006/relationships/hyperlink" Target="https://rosstat.gov.ru/storage/mediabank/Region_Pokaz_2024.rar" TargetMode="External"/><Relationship Id="rId112" Type="http://schemas.openxmlformats.org/officeDocument/2006/relationships/hyperlink" Target="https://rosstat.gov.ru/storage/mediabank/Region_Pokazateli_2022.rar" TargetMode="External"/><Relationship Id="rId16" Type="http://schemas.openxmlformats.org/officeDocument/2006/relationships/hyperlink" Target="https://rosstat.gov.ru/storage/mediabank/Region_Pokaz_2023.rar" TargetMode="External"/><Relationship Id="rId107" Type="http://schemas.openxmlformats.org/officeDocument/2006/relationships/hyperlink" Target="https://rosstat.gov.ru/storage/mediabank/Region_Pokaz_2023.rar" TargetMode="External"/><Relationship Id="rId11" Type="http://schemas.openxmlformats.org/officeDocument/2006/relationships/hyperlink" Target="https://rosstat.gov.ru/storage/mediabank/Region_Pokaz_2023.rar" TargetMode="External"/><Relationship Id="rId32" Type="http://schemas.openxmlformats.org/officeDocument/2006/relationships/hyperlink" Target="https://rosstat.gov.ru/storage/mediabank/Region_Pokazateli_2022.rar" TargetMode="External"/><Relationship Id="rId37" Type="http://schemas.openxmlformats.org/officeDocument/2006/relationships/hyperlink" Target="https://youthlib.mirea.ru/ru/reader/6780" TargetMode="External"/><Relationship Id="rId53" Type="http://schemas.openxmlformats.org/officeDocument/2006/relationships/hyperlink" Target="https://rosstat.gov.ru/storage/mediabank/Region_Pokaz_2024.rar" TargetMode="External"/><Relationship Id="rId58" Type="http://schemas.openxmlformats.org/officeDocument/2006/relationships/hyperlink" Target="https://rosstat.gov.ru/storage/mediabank/Region_Pokaz_2025.rar" TargetMode="External"/><Relationship Id="rId74" Type="http://schemas.openxmlformats.org/officeDocument/2006/relationships/hyperlink" Target="https://rosstat.gov.ru/storage/mediabank/Region_Pokaz_2023.rar" TargetMode="External"/><Relationship Id="rId79" Type="http://schemas.openxmlformats.org/officeDocument/2006/relationships/hyperlink" Target="https://rosstat.gov.ru/storage/mediabank/Region_Pokazateli_2022.rar" TargetMode="External"/><Relationship Id="rId102" Type="http://schemas.openxmlformats.org/officeDocument/2006/relationships/hyperlink" Target="https://rosstat.gov.ru/storage/mediabank/Region_Pokaz_2025.rar" TargetMode="External"/><Relationship Id="rId123" Type="http://schemas.openxmlformats.org/officeDocument/2006/relationships/hyperlink" Target="https://rosstat.gov.ru/storage/mediabank/Region_Pokaz_2023.rar" TargetMode="External"/><Relationship Id="rId128" Type="http://schemas.openxmlformats.org/officeDocument/2006/relationships/hyperlink" Target="https://rosstat.gov.ru/storage/mediabank/Region_Pokazateli_2022.rar" TargetMode="External"/><Relationship Id="rId5" Type="http://schemas.openxmlformats.org/officeDocument/2006/relationships/hyperlink" Target="https://cbr.ru/vfs/statistics/credit_statistics/trade/imp_services_reg_24.xlsx" TargetMode="External"/><Relationship Id="rId90" Type="http://schemas.openxmlformats.org/officeDocument/2006/relationships/hyperlink" Target="https://rosstat.gov.ru/storage/mediabank/Region_Pokaz_2025.rar" TargetMode="External"/><Relationship Id="rId95" Type="http://schemas.openxmlformats.org/officeDocument/2006/relationships/hyperlink" Target="https://rosstat.gov.ru/storage/mediabank/Region_Pokaz_2023.rar" TargetMode="External"/><Relationship Id="rId22" Type="http://schemas.openxmlformats.org/officeDocument/2006/relationships/hyperlink" Target="https://rosstat.gov.ru/storage/mediabank/Region_Pokaz_2025.rar" TargetMode="External"/><Relationship Id="rId27" Type="http://schemas.openxmlformats.org/officeDocument/2006/relationships/hyperlink" Target="https://rosstat.gov.ru/storage/mediabank/Region_Pokaz_2023.rar" TargetMode="External"/><Relationship Id="rId43" Type="http://schemas.openxmlformats.org/officeDocument/2006/relationships/hyperlink" Target="https://rosstat.gov.ru/storage/mediabank/Region_Pokaz_2023.rar" TargetMode="External"/><Relationship Id="rId48" Type="http://schemas.openxmlformats.org/officeDocument/2006/relationships/hyperlink" Target="https://rosstat.gov.ru/storage/mediabank/Region_Pokazateli_2022.rar" TargetMode="External"/><Relationship Id="rId64" Type="http://schemas.openxmlformats.org/officeDocument/2006/relationships/hyperlink" Target="https://rosstat.gov.ru/storage/mediabank/Region_Pokaz_2025.rar" TargetMode="External"/><Relationship Id="rId69" Type="http://schemas.openxmlformats.org/officeDocument/2006/relationships/hyperlink" Target="https://rosstat.gov.ru/storage/mediabank/Region_Pokaz_2023.rar" TargetMode="External"/><Relationship Id="rId113" Type="http://schemas.openxmlformats.org/officeDocument/2006/relationships/hyperlink" Target="https://rosstat.gov.ru/storage/mediabank/Region_Pokaz_2024.rar" TargetMode="External"/><Relationship Id="rId118" Type="http://schemas.openxmlformats.org/officeDocument/2006/relationships/hyperlink" Target="https://rosstat.gov.ru/storage/mediabank/Region_Pokaz_2025.rar" TargetMode="External"/><Relationship Id="rId80" Type="http://schemas.openxmlformats.org/officeDocument/2006/relationships/hyperlink" Target="https://rosstat.gov.ru/storage/mediabank/Region_Pokazateli_2022.rar" TargetMode="External"/><Relationship Id="rId85" Type="http://schemas.openxmlformats.org/officeDocument/2006/relationships/hyperlink" Target="https://rosstat.gov.ru/storage/mediabank/Region_Pokaz_2024.rar" TargetMode="External"/><Relationship Id="rId12" Type="http://schemas.openxmlformats.org/officeDocument/2006/relationships/hyperlink" Target="https://rosstat.gov.ru/storage/mediabank/Region_Pokazateli_2022.rar" TargetMode="External"/><Relationship Id="rId17" Type="http://schemas.openxmlformats.org/officeDocument/2006/relationships/hyperlink" Target="https://rosstat.gov.ru/storage/mediabank/Region_Pokaz_2023.rar" TargetMode="External"/><Relationship Id="rId33" Type="http://schemas.openxmlformats.org/officeDocument/2006/relationships/hyperlink" Target="https://rosstat.gov.ru/storage/mediabank/Region_Pokaz_2024.rar" TargetMode="External"/><Relationship Id="rId38" Type="http://schemas.openxmlformats.org/officeDocument/2006/relationships/hyperlink" Target="https://rosstat.gov.ru/storage/mediabank/Region_Pokaz_2025.rar" TargetMode="External"/><Relationship Id="rId59" Type="http://schemas.openxmlformats.org/officeDocument/2006/relationships/hyperlink" Target="https://rosstat.gov.ru/storage/mediabank/Region_Pokaz_2023.rar" TargetMode="External"/><Relationship Id="rId103" Type="http://schemas.openxmlformats.org/officeDocument/2006/relationships/hyperlink" Target="https://rosstat.gov.ru/storage/mediabank/Region_Pokaz_2023.rar" TargetMode="External"/><Relationship Id="rId108" Type="http://schemas.openxmlformats.org/officeDocument/2006/relationships/hyperlink" Target="https://rosstat.gov.ru/storage/mediabank/Region_Pokazateli_2022.rar" TargetMode="External"/><Relationship Id="rId124" Type="http://schemas.openxmlformats.org/officeDocument/2006/relationships/hyperlink" Target="https://rosstat.gov.ru/storage/mediabank/Region_Pokazateli_2022.rar" TargetMode="External"/><Relationship Id="rId129" Type="http://schemas.openxmlformats.org/officeDocument/2006/relationships/hyperlink" Target="https://rosstat.gov.ru/storage/mediabank/Region_Pokaz_2024.rar" TargetMode="External"/><Relationship Id="rId54" Type="http://schemas.openxmlformats.org/officeDocument/2006/relationships/hyperlink" Target="https://rosstat.gov.ru/storage/mediabank/Region_Pokaz_2025.rar" TargetMode="External"/><Relationship Id="rId70" Type="http://schemas.openxmlformats.org/officeDocument/2006/relationships/hyperlink" Target="https://rosstat.gov.ru/storage/mediabank/Region_Pokaz_2023.rar" TargetMode="External"/><Relationship Id="rId75" Type="http://schemas.openxmlformats.org/officeDocument/2006/relationships/hyperlink" Target="https://rosstat.gov.ru/storage/mediabank/Region_Pokaz_2023.rar" TargetMode="External"/><Relationship Id="rId91" Type="http://schemas.openxmlformats.org/officeDocument/2006/relationships/hyperlink" Target="https://rosstat.gov.ru/storage/mediabank/Region_Pokaz_2023.rar" TargetMode="External"/><Relationship Id="rId96" Type="http://schemas.openxmlformats.org/officeDocument/2006/relationships/hyperlink" Target="https://rosstat.gov.ru/storage/mediabank/Region_Pokazateli_2022.rar" TargetMode="External"/><Relationship Id="rId1" Type="http://schemas.openxmlformats.org/officeDocument/2006/relationships/hyperlink" Target="https://rosstat.gov.ru/storage/mediabank/Region_Pokaz_2025.rar" TargetMode="External"/><Relationship Id="rId6" Type="http://schemas.openxmlformats.org/officeDocument/2006/relationships/hyperlink" Target="https://cbr.ru/vfs/statistics/credit_statistics/trade/imp_services_reg_22.xlsx" TargetMode="External"/><Relationship Id="rId23" Type="http://schemas.openxmlformats.org/officeDocument/2006/relationships/hyperlink" Target="https://rosstat.gov.ru/storage/mediabank/Region_Pokaz_2023.rar" TargetMode="External"/><Relationship Id="rId28" Type="http://schemas.openxmlformats.org/officeDocument/2006/relationships/hyperlink" Target="https://rosstat.gov.ru/storage/mediabank/Region_Pokazateli_2022.rar" TargetMode="External"/><Relationship Id="rId49" Type="http://schemas.openxmlformats.org/officeDocument/2006/relationships/hyperlink" Target="https://rosstat.gov.ru/storage/mediabank/Region_Pokaz_2024.rar" TargetMode="External"/><Relationship Id="rId114" Type="http://schemas.openxmlformats.org/officeDocument/2006/relationships/hyperlink" Target="https://rosstat.gov.ru/storage/mediabank/Region_Pokaz_2025.rar" TargetMode="External"/><Relationship Id="rId119" Type="http://schemas.openxmlformats.org/officeDocument/2006/relationships/hyperlink" Target="https://rosstat.gov.ru/storage/mediabank/Region_Pokaz_2023.rar" TargetMode="External"/><Relationship Id="rId44" Type="http://schemas.openxmlformats.org/officeDocument/2006/relationships/hyperlink" Target="https://rosstat.gov.ru/storage/mediabank/Region_Pokazateli_2022.rar" TargetMode="External"/><Relationship Id="rId60" Type="http://schemas.openxmlformats.org/officeDocument/2006/relationships/hyperlink" Target="https://rosstat.gov.ru/storage/mediabank/Region_Pokazateli_2022.rar" TargetMode="External"/><Relationship Id="rId65" Type="http://schemas.openxmlformats.org/officeDocument/2006/relationships/hyperlink" Target="https://rosstat.gov.ru/storage/mediabank/Region_Pokaz_2025.rar" TargetMode="External"/><Relationship Id="rId81" Type="http://schemas.openxmlformats.org/officeDocument/2006/relationships/hyperlink" Target="https://rosstat.gov.ru/storage/mediabank/Region_Pokazateli_2022.rar" TargetMode="External"/><Relationship Id="rId86" Type="http://schemas.openxmlformats.org/officeDocument/2006/relationships/hyperlink" Target="https://rosstat.gov.ru/storage/mediabank/Region_Pokaz_2024.rar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rosstat.gov.ru/storage/mediabank/Region_Pokaz_2024.rar" TargetMode="External"/><Relationship Id="rId18" Type="http://schemas.openxmlformats.org/officeDocument/2006/relationships/hyperlink" Target="https://rosstat.gov.ru/storage/mediabank/Region_Pokazateli_2022.rar" TargetMode="External"/><Relationship Id="rId39" Type="http://schemas.openxmlformats.org/officeDocument/2006/relationships/hyperlink" Target="https://rosstat.gov.ru/storage/mediabank/Region_Pokaz_2023.rar" TargetMode="External"/><Relationship Id="rId109" Type="http://schemas.openxmlformats.org/officeDocument/2006/relationships/hyperlink" Target="https://rosstat.gov.ru/storage/mediabank/Region_Pokaz_2024.rar" TargetMode="External"/><Relationship Id="rId34" Type="http://schemas.openxmlformats.org/officeDocument/2006/relationships/hyperlink" Target="https://youthlib.mirea.ru/ru/reader/6780" TargetMode="External"/><Relationship Id="rId50" Type="http://schemas.openxmlformats.org/officeDocument/2006/relationships/hyperlink" Target="https://rosstat.gov.ru/storage/mediabank/Region_Pokaz_2025.rar" TargetMode="External"/><Relationship Id="rId55" Type="http://schemas.openxmlformats.org/officeDocument/2006/relationships/hyperlink" Target="https://rosstat.gov.ru/storage/mediabank/Region_Pokaz_2023.rar" TargetMode="External"/><Relationship Id="rId76" Type="http://schemas.openxmlformats.org/officeDocument/2006/relationships/hyperlink" Target="https://rosstat.gov.ru/storage/mediabank/Region_Pokazateli_2022.rar" TargetMode="External"/><Relationship Id="rId97" Type="http://schemas.openxmlformats.org/officeDocument/2006/relationships/hyperlink" Target="https://rosstat.gov.ru/storage/mediabank/Region_Pokaz_2024.rar" TargetMode="External"/><Relationship Id="rId104" Type="http://schemas.openxmlformats.org/officeDocument/2006/relationships/hyperlink" Target="https://rosstat.gov.ru/storage/mediabank/Region_Pokazateli_2022.rar" TargetMode="External"/><Relationship Id="rId120" Type="http://schemas.openxmlformats.org/officeDocument/2006/relationships/hyperlink" Target="https://rosstat.gov.ru/storage/mediabank/Region_Pokazateli_2022.rar" TargetMode="External"/><Relationship Id="rId125" Type="http://schemas.openxmlformats.org/officeDocument/2006/relationships/hyperlink" Target="https://rosstat.gov.ru/storage/mediabank/Region_Pokaz_2024.rar" TargetMode="External"/><Relationship Id="rId7" Type="http://schemas.openxmlformats.org/officeDocument/2006/relationships/hyperlink" Target="https://cbr.ru/vfs/statistics/credit_statistics/trade/imp_services_reg_22.xlsx" TargetMode="External"/><Relationship Id="rId71" Type="http://schemas.openxmlformats.org/officeDocument/2006/relationships/hyperlink" Target="https://rosstat.gov.ru/storage/mediabank/Region_Pokaz_2023.rar" TargetMode="External"/><Relationship Id="rId92" Type="http://schemas.openxmlformats.org/officeDocument/2006/relationships/hyperlink" Target="https://rosstat.gov.ru/storage/mediabank/Region_Pokazateli_2022.rar" TargetMode="External"/><Relationship Id="rId2" Type="http://schemas.openxmlformats.org/officeDocument/2006/relationships/hyperlink" Target="https://cbr.ru/vfs/statistics/credit_statistics/trade/imp_services_reg_23.xlsx" TargetMode="External"/><Relationship Id="rId29" Type="http://schemas.openxmlformats.org/officeDocument/2006/relationships/hyperlink" Target="https://rosstat.gov.ru/storage/mediabank/Region_Pokaz_2024.rar" TargetMode="External"/><Relationship Id="rId24" Type="http://schemas.openxmlformats.org/officeDocument/2006/relationships/hyperlink" Target="https://rosstat.gov.ru/storage/mediabank/Region_Pokazateli_2022.rar" TargetMode="External"/><Relationship Id="rId40" Type="http://schemas.openxmlformats.org/officeDocument/2006/relationships/hyperlink" Target="https://rosstat.gov.ru/storage/mediabank/Region_Pokazateli_2022.rar" TargetMode="External"/><Relationship Id="rId45" Type="http://schemas.openxmlformats.org/officeDocument/2006/relationships/hyperlink" Target="https://rosstat.gov.ru/storage/mediabank/Region_Pokaz_2024.rar" TargetMode="External"/><Relationship Id="rId66" Type="http://schemas.openxmlformats.org/officeDocument/2006/relationships/hyperlink" Target="https://rosstat.gov.ru/storage/mediabank/Region_Pokaz_2025.rar" TargetMode="External"/><Relationship Id="rId87" Type="http://schemas.openxmlformats.org/officeDocument/2006/relationships/hyperlink" Target="https://rosstat.gov.ru/storage/mediabank/Region_Pokaz_2024.rar" TargetMode="External"/><Relationship Id="rId110" Type="http://schemas.openxmlformats.org/officeDocument/2006/relationships/hyperlink" Target="https://rosstat.gov.ru/storage/mediabank/Region_Pokaz_2025.rar" TargetMode="External"/><Relationship Id="rId115" Type="http://schemas.openxmlformats.org/officeDocument/2006/relationships/hyperlink" Target="https://rosstat.gov.ru/storage/mediabank/Region_Pokaz_2023.rar" TargetMode="External"/><Relationship Id="rId61" Type="http://schemas.openxmlformats.org/officeDocument/2006/relationships/hyperlink" Target="https://rosstat.gov.ru/storage/mediabank/Region_Pokaz_2024.rar" TargetMode="External"/><Relationship Id="rId82" Type="http://schemas.openxmlformats.org/officeDocument/2006/relationships/hyperlink" Target="https://rosstat.gov.ru/storage/mediabank/Region_Pokazateli_2022.rar" TargetMode="External"/><Relationship Id="rId19" Type="http://schemas.openxmlformats.org/officeDocument/2006/relationships/hyperlink" Target="https://rosstat.gov.ru/storage/mediabank/Region_Pokazateli_2022.rar" TargetMode="External"/><Relationship Id="rId14" Type="http://schemas.openxmlformats.org/officeDocument/2006/relationships/hyperlink" Target="https://rosstat.gov.ru/storage/mediabank/Region_Pokaz_2025.rar" TargetMode="External"/><Relationship Id="rId30" Type="http://schemas.openxmlformats.org/officeDocument/2006/relationships/hyperlink" Target="https://rosstat.gov.ru/storage/mediabank/Region_Pokaz_2025.rar" TargetMode="External"/><Relationship Id="rId35" Type="http://schemas.openxmlformats.org/officeDocument/2006/relationships/hyperlink" Target="https://youthlib.mirea.ru/ru/reader/6780" TargetMode="External"/><Relationship Id="rId56" Type="http://schemas.openxmlformats.org/officeDocument/2006/relationships/hyperlink" Target="https://rosstat.gov.ru/storage/mediabank/Region_Pokazateli_2022.rar" TargetMode="External"/><Relationship Id="rId77" Type="http://schemas.openxmlformats.org/officeDocument/2006/relationships/hyperlink" Target="https://rosstat.gov.ru/storage/mediabank/Region_Pokazateli_2022.rar" TargetMode="External"/><Relationship Id="rId100" Type="http://schemas.openxmlformats.org/officeDocument/2006/relationships/hyperlink" Target="https://rosstat.gov.ru/storage/mediabank/Region_Pokazateli_2022.rar" TargetMode="External"/><Relationship Id="rId105" Type="http://schemas.openxmlformats.org/officeDocument/2006/relationships/hyperlink" Target="https://rosstat.gov.ru/storage/mediabank/Region_Pokaz_2024.rar" TargetMode="External"/><Relationship Id="rId126" Type="http://schemas.openxmlformats.org/officeDocument/2006/relationships/hyperlink" Target="https://rosstat.gov.ru/storage/mediabank/Region_Pokaz_2025.rar" TargetMode="External"/><Relationship Id="rId8" Type="http://schemas.openxmlformats.org/officeDocument/2006/relationships/hyperlink" Target="https://www.cbr.ru/vfs/statistics/credit_statistics/bop/bal_of_payments_ap.xlsx" TargetMode="External"/><Relationship Id="rId51" Type="http://schemas.openxmlformats.org/officeDocument/2006/relationships/hyperlink" Target="https://rosstat.gov.ru/storage/mediabank/Region_Pokaz_2023.rar" TargetMode="External"/><Relationship Id="rId72" Type="http://schemas.openxmlformats.org/officeDocument/2006/relationships/hyperlink" Target="https://rosstat.gov.ru/storage/mediabank/Region_Pokaz_2023.rar" TargetMode="External"/><Relationship Id="rId93" Type="http://schemas.openxmlformats.org/officeDocument/2006/relationships/hyperlink" Target="https://rosstat.gov.ru/storage/mediabank/Region_Pokaz_2024.rar" TargetMode="External"/><Relationship Id="rId98" Type="http://schemas.openxmlformats.org/officeDocument/2006/relationships/hyperlink" Target="https://rosstat.gov.ru/storage/mediabank/Region_Pokaz_2025.rar" TargetMode="External"/><Relationship Id="rId121" Type="http://schemas.openxmlformats.org/officeDocument/2006/relationships/hyperlink" Target="https://rosstat.gov.ru/storage/mediabank/Region_Pokaz_2024.rar" TargetMode="External"/><Relationship Id="rId3" Type="http://schemas.openxmlformats.org/officeDocument/2006/relationships/hyperlink" Target="https://cbr.ru/vfs/statistics/credit_statistics/trade/imp_services_reg_24.xlsx" TargetMode="External"/><Relationship Id="rId25" Type="http://schemas.openxmlformats.org/officeDocument/2006/relationships/hyperlink" Target="https://rosstat.gov.ru/storage/mediabank/Region_Pokaz_2024.rar" TargetMode="External"/><Relationship Id="rId46" Type="http://schemas.openxmlformats.org/officeDocument/2006/relationships/hyperlink" Target="https://rosstat.gov.ru/storage/mediabank/Region_Pokaz_2025.rar" TargetMode="External"/><Relationship Id="rId67" Type="http://schemas.openxmlformats.org/officeDocument/2006/relationships/hyperlink" Target="https://rosstat.gov.ru/storage/mediabank/Region_Pokaz_2025.rar" TargetMode="External"/><Relationship Id="rId116" Type="http://schemas.openxmlformats.org/officeDocument/2006/relationships/hyperlink" Target="https://rosstat.gov.ru/storage/mediabank/Region_Pokazateli_2022.rar" TargetMode="External"/><Relationship Id="rId20" Type="http://schemas.openxmlformats.org/officeDocument/2006/relationships/hyperlink" Target="https://rosstat.gov.ru/storage/mediabank/Region_Pokaz_2024.rar" TargetMode="External"/><Relationship Id="rId41" Type="http://schemas.openxmlformats.org/officeDocument/2006/relationships/hyperlink" Target="https://rosstat.gov.ru/storage/mediabank/Region_Pokaz_2024.rar" TargetMode="External"/><Relationship Id="rId62" Type="http://schemas.openxmlformats.org/officeDocument/2006/relationships/hyperlink" Target="https://rosstat.gov.ru/storage/mediabank/Region_Pokaz_2025.rar" TargetMode="External"/><Relationship Id="rId83" Type="http://schemas.openxmlformats.org/officeDocument/2006/relationships/hyperlink" Target="https://rosstat.gov.ru/storage/mediabank/Region_Pokaz_2024.rar" TargetMode="External"/><Relationship Id="rId88" Type="http://schemas.openxmlformats.org/officeDocument/2006/relationships/hyperlink" Target="https://rosstat.gov.ru/storage/mediabank/Region_Pokaz_2024.rar" TargetMode="External"/><Relationship Id="rId111" Type="http://schemas.openxmlformats.org/officeDocument/2006/relationships/hyperlink" Target="https://rosstat.gov.ru/storage/mediabank/Region_Pokaz_2023.rar" TargetMode="External"/><Relationship Id="rId15" Type="http://schemas.openxmlformats.org/officeDocument/2006/relationships/hyperlink" Target="https://rosstat.gov.ru/storage/mediabank/Region_Pokaz_2025.rar" TargetMode="External"/><Relationship Id="rId36" Type="http://schemas.openxmlformats.org/officeDocument/2006/relationships/hyperlink" Target="https://youthlib.mirea.ru/ru/reader/6780" TargetMode="External"/><Relationship Id="rId57" Type="http://schemas.openxmlformats.org/officeDocument/2006/relationships/hyperlink" Target="https://rosstat.gov.ru/storage/mediabank/Region_Pokaz_2024.rar" TargetMode="External"/><Relationship Id="rId106" Type="http://schemas.openxmlformats.org/officeDocument/2006/relationships/hyperlink" Target="https://rosstat.gov.ru/storage/mediabank/Region_Pokaz_2025.rar" TargetMode="External"/><Relationship Id="rId127" Type="http://schemas.openxmlformats.org/officeDocument/2006/relationships/hyperlink" Target="https://rosstat.gov.ru/storage/mediabank/Region_Pokaz_2023.rar" TargetMode="External"/><Relationship Id="rId10" Type="http://schemas.openxmlformats.org/officeDocument/2006/relationships/hyperlink" Target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TargetMode="External"/><Relationship Id="rId31" Type="http://schemas.openxmlformats.org/officeDocument/2006/relationships/hyperlink" Target="https://rosstat.gov.ru/storage/mediabank/Region_Pokaz_2023.rar" TargetMode="External"/><Relationship Id="rId52" Type="http://schemas.openxmlformats.org/officeDocument/2006/relationships/hyperlink" Target="https://rosstat.gov.ru/storage/mediabank/Region_Pokazateli_2022.rar" TargetMode="External"/><Relationship Id="rId73" Type="http://schemas.openxmlformats.org/officeDocument/2006/relationships/hyperlink" Target="https://rosstat.gov.ru/storage/mediabank/Region_Pokaz_2023.rar" TargetMode="External"/><Relationship Id="rId78" Type="http://schemas.openxmlformats.org/officeDocument/2006/relationships/hyperlink" Target="https://rosstat.gov.ru/storage/mediabank/Region_Pokazateli_2022.rar" TargetMode="External"/><Relationship Id="rId94" Type="http://schemas.openxmlformats.org/officeDocument/2006/relationships/hyperlink" Target="https://rosstat.gov.ru/storage/mediabank/Region_Pokaz_2025.rar" TargetMode="External"/><Relationship Id="rId99" Type="http://schemas.openxmlformats.org/officeDocument/2006/relationships/hyperlink" Target="https://rosstat.gov.ru/storage/mediabank/Region_Pokaz_2023.rar" TargetMode="External"/><Relationship Id="rId101" Type="http://schemas.openxmlformats.org/officeDocument/2006/relationships/hyperlink" Target="https://rosstat.gov.ru/storage/mediabank/Region_Pokaz_2024.rar" TargetMode="External"/><Relationship Id="rId122" Type="http://schemas.openxmlformats.org/officeDocument/2006/relationships/hyperlink" Target="https://rosstat.gov.ru/storage/mediabank/Region_Pokaz_2025.rar" TargetMode="External"/><Relationship Id="rId4" Type="http://schemas.openxmlformats.org/officeDocument/2006/relationships/hyperlink" Target="https://cbr.ru/vfs/statistics/credit_statistics/trade/imp_services_reg_23.xlsx" TargetMode="External"/><Relationship Id="rId9" Type="http://schemas.openxmlformats.org/officeDocument/2006/relationships/hyperlink" Target="https://www.cbr.ru/vfs/statistics/credit_statistics/bop/bal_of_payments_ap.xlsx" TargetMode="External"/><Relationship Id="rId26" Type="http://schemas.openxmlformats.org/officeDocument/2006/relationships/hyperlink" Target="https://rosstat.gov.ru/storage/mediabank/Region_Pokaz_2025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opLeftCell="A13" zoomScaleNormal="100" workbookViewId="0">
      <selection activeCell="C22" sqref="C22"/>
    </sheetView>
  </sheetViews>
  <sheetFormatPr defaultRowHeight="14.4" x14ac:dyDescent="0.3"/>
  <cols>
    <col min="1" max="1" width="7.109375" bestFit="1" customWidth="1"/>
    <col min="2" max="2" width="57.33203125" customWidth="1"/>
    <col min="3" max="3" width="23.88671875" bestFit="1" customWidth="1"/>
    <col min="4" max="4" width="24.21875" style="4" customWidth="1"/>
  </cols>
  <sheetData>
    <row r="1" spans="1:4" ht="16.2" thickBot="1" x14ac:dyDescent="0.35">
      <c r="A1" s="10" t="s">
        <v>0</v>
      </c>
      <c r="B1" s="16" t="s">
        <v>1</v>
      </c>
      <c r="C1" s="16" t="s">
        <v>2</v>
      </c>
      <c r="D1" s="17" t="s">
        <v>74</v>
      </c>
    </row>
    <row r="2" spans="1:4" ht="15.6" x14ac:dyDescent="0.3">
      <c r="A2" s="62">
        <v>1</v>
      </c>
      <c r="B2" s="129" t="s">
        <v>3</v>
      </c>
      <c r="C2" s="130"/>
      <c r="D2" s="131"/>
    </row>
    <row r="3" spans="1:4" ht="15.6" x14ac:dyDescent="0.3">
      <c r="A3" s="14" t="s">
        <v>4</v>
      </c>
      <c r="B3" s="132" t="s">
        <v>5</v>
      </c>
      <c r="C3" s="133"/>
      <c r="D3" s="134"/>
    </row>
    <row r="4" spans="1:4" ht="15.6" x14ac:dyDescent="0.3">
      <c r="A4" s="14" t="s">
        <v>6</v>
      </c>
      <c r="B4" s="23" t="s">
        <v>7</v>
      </c>
      <c r="C4" s="6" t="s">
        <v>8</v>
      </c>
      <c r="D4" s="11" t="s">
        <v>75</v>
      </c>
    </row>
    <row r="5" spans="1:4" ht="15.6" x14ac:dyDescent="0.3">
      <c r="A5" s="14" t="s">
        <v>9</v>
      </c>
      <c r="B5" s="18" t="s">
        <v>10</v>
      </c>
      <c r="C5" s="24" t="s">
        <v>11</v>
      </c>
      <c r="D5" s="11" t="s">
        <v>75</v>
      </c>
    </row>
    <row r="6" spans="1:4" ht="46.8" x14ac:dyDescent="0.3">
      <c r="A6" s="14" t="s">
        <v>12</v>
      </c>
      <c r="B6" s="18" t="s">
        <v>101</v>
      </c>
      <c r="C6" s="6" t="s">
        <v>13</v>
      </c>
      <c r="D6" s="11" t="s">
        <v>75</v>
      </c>
    </row>
    <row r="7" spans="1:4" ht="15.6" x14ac:dyDescent="0.3">
      <c r="A7" s="14" t="s">
        <v>14</v>
      </c>
      <c r="B7" s="135" t="s">
        <v>15</v>
      </c>
      <c r="C7" s="136"/>
      <c r="D7" s="137"/>
    </row>
    <row r="8" spans="1:4" ht="31.2" x14ac:dyDescent="0.3">
      <c r="A8" s="14" t="s">
        <v>16</v>
      </c>
      <c r="B8" s="19" t="s">
        <v>103</v>
      </c>
      <c r="C8" s="6" t="s">
        <v>79</v>
      </c>
      <c r="D8" s="11" t="s">
        <v>76</v>
      </c>
    </row>
    <row r="9" spans="1:4" ht="15.6" x14ac:dyDescent="0.3">
      <c r="A9" s="15" t="s">
        <v>17</v>
      </c>
      <c r="B9" s="19" t="s">
        <v>77</v>
      </c>
      <c r="C9" s="6" t="s">
        <v>148</v>
      </c>
      <c r="D9" s="11" t="s">
        <v>75</v>
      </c>
    </row>
    <row r="10" spans="1:4" ht="15.6" x14ac:dyDescent="0.3">
      <c r="A10" s="15" t="s">
        <v>18</v>
      </c>
      <c r="B10" s="19" t="s">
        <v>78</v>
      </c>
      <c r="C10" s="6" t="s">
        <v>79</v>
      </c>
      <c r="D10" s="11" t="s">
        <v>75</v>
      </c>
    </row>
    <row r="11" spans="1:4" ht="15.6" x14ac:dyDescent="0.3">
      <c r="A11" s="15" t="s">
        <v>19</v>
      </c>
      <c r="B11" s="138" t="s">
        <v>20</v>
      </c>
      <c r="C11" s="139"/>
      <c r="D11" s="140"/>
    </row>
    <row r="12" spans="1:4" ht="31.2" x14ac:dyDescent="0.3">
      <c r="A12" s="15" t="s">
        <v>21</v>
      </c>
      <c r="B12" s="18" t="s">
        <v>22</v>
      </c>
      <c r="C12" s="6" t="s">
        <v>13</v>
      </c>
      <c r="D12" s="11" t="s">
        <v>75</v>
      </c>
    </row>
    <row r="13" spans="1:4" ht="62.4" x14ac:dyDescent="0.3">
      <c r="A13" s="15" t="s">
        <v>23</v>
      </c>
      <c r="B13" s="18" t="s">
        <v>24</v>
      </c>
      <c r="C13" s="6" t="s">
        <v>25</v>
      </c>
      <c r="D13" s="11" t="s">
        <v>75</v>
      </c>
    </row>
    <row r="14" spans="1:4" ht="62.4" x14ac:dyDescent="0.3">
      <c r="A14" s="15" t="s">
        <v>26</v>
      </c>
      <c r="B14" s="18" t="s">
        <v>27</v>
      </c>
      <c r="C14" s="6" t="s">
        <v>25</v>
      </c>
      <c r="D14" s="11" t="s">
        <v>75</v>
      </c>
    </row>
    <row r="15" spans="1:4" ht="15.6" x14ac:dyDescent="0.3">
      <c r="A15" s="15" t="s">
        <v>28</v>
      </c>
      <c r="B15" s="150" t="s">
        <v>29</v>
      </c>
      <c r="C15" s="151"/>
      <c r="D15" s="152"/>
    </row>
    <row r="16" spans="1:4" ht="15.6" x14ac:dyDescent="0.3">
      <c r="A16" s="14" t="s">
        <v>30</v>
      </c>
      <c r="B16" s="18" t="s">
        <v>80</v>
      </c>
      <c r="C16" s="6" t="s">
        <v>81</v>
      </c>
      <c r="D16" s="11" t="s">
        <v>76</v>
      </c>
    </row>
    <row r="17" spans="1:4" ht="15.6" x14ac:dyDescent="0.3">
      <c r="A17" s="14" t="s">
        <v>31</v>
      </c>
      <c r="B17" s="18" t="s">
        <v>119</v>
      </c>
      <c r="C17" s="6" t="s">
        <v>81</v>
      </c>
      <c r="D17" s="11" t="s">
        <v>75</v>
      </c>
    </row>
    <row r="18" spans="1:4" ht="15.6" x14ac:dyDescent="0.3">
      <c r="A18" s="14" t="s">
        <v>32</v>
      </c>
      <c r="B18" s="18" t="s">
        <v>123</v>
      </c>
      <c r="C18" s="6" t="s">
        <v>79</v>
      </c>
      <c r="D18" s="11" t="s">
        <v>75</v>
      </c>
    </row>
    <row r="19" spans="1:4" ht="15.6" x14ac:dyDescent="0.3">
      <c r="A19" s="14" t="s">
        <v>33</v>
      </c>
      <c r="B19" s="135" t="s">
        <v>34</v>
      </c>
      <c r="C19" s="136"/>
      <c r="D19" s="137"/>
    </row>
    <row r="20" spans="1:4" ht="15.6" x14ac:dyDescent="0.3">
      <c r="A20" s="15" t="s">
        <v>35</v>
      </c>
      <c r="B20" s="18" t="s">
        <v>82</v>
      </c>
      <c r="C20" s="6" t="s">
        <v>79</v>
      </c>
      <c r="D20" s="11" t="s">
        <v>76</v>
      </c>
    </row>
    <row r="21" spans="1:4" ht="31.2" x14ac:dyDescent="0.3">
      <c r="A21" s="15" t="s">
        <v>37</v>
      </c>
      <c r="B21" s="18" t="s">
        <v>83</v>
      </c>
      <c r="C21" s="6" t="s">
        <v>149</v>
      </c>
      <c r="D21" s="11" t="s">
        <v>75</v>
      </c>
    </row>
    <row r="22" spans="1:4" ht="16.2" thickBot="1" x14ac:dyDescent="0.35">
      <c r="A22" s="15" t="s">
        <v>38</v>
      </c>
      <c r="B22" s="20" t="s">
        <v>84</v>
      </c>
      <c r="C22" s="12" t="s">
        <v>79</v>
      </c>
      <c r="D22" s="11" t="s">
        <v>75</v>
      </c>
    </row>
    <row r="23" spans="1:4" ht="15.6" x14ac:dyDescent="0.3">
      <c r="A23" s="21">
        <v>2</v>
      </c>
      <c r="B23" s="144" t="s">
        <v>40</v>
      </c>
      <c r="C23" s="145"/>
      <c r="D23" s="146"/>
    </row>
    <row r="24" spans="1:4" ht="15.6" x14ac:dyDescent="0.3">
      <c r="A24" s="14" t="s">
        <v>41</v>
      </c>
      <c r="B24" s="141" t="s">
        <v>42</v>
      </c>
      <c r="C24" s="142"/>
      <c r="D24" s="143"/>
    </row>
    <row r="25" spans="1:4" ht="31.2" x14ac:dyDescent="0.3">
      <c r="A25" s="15" t="s">
        <v>43</v>
      </c>
      <c r="B25" s="19" t="s">
        <v>44</v>
      </c>
      <c r="C25" s="6" t="s">
        <v>79</v>
      </c>
      <c r="D25" s="11" t="s">
        <v>75</v>
      </c>
    </row>
    <row r="26" spans="1:4" ht="46.8" x14ac:dyDescent="0.3">
      <c r="A26" s="15" t="s">
        <v>45</v>
      </c>
      <c r="B26" s="19" t="s">
        <v>46</v>
      </c>
      <c r="C26" s="6" t="s">
        <v>79</v>
      </c>
      <c r="D26" s="11" t="s">
        <v>75</v>
      </c>
    </row>
    <row r="27" spans="1:4" ht="31.2" x14ac:dyDescent="0.3">
      <c r="A27" s="15" t="s">
        <v>47</v>
      </c>
      <c r="B27" s="19" t="s">
        <v>48</v>
      </c>
      <c r="C27" s="6" t="s">
        <v>79</v>
      </c>
      <c r="D27" s="11" t="s">
        <v>75</v>
      </c>
    </row>
    <row r="28" spans="1:4" ht="15.6" x14ac:dyDescent="0.3">
      <c r="A28" s="15" t="s">
        <v>49</v>
      </c>
      <c r="B28" s="147" t="s">
        <v>50</v>
      </c>
      <c r="C28" s="148"/>
      <c r="D28" s="149"/>
    </row>
    <row r="29" spans="1:4" ht="31.2" x14ac:dyDescent="0.3">
      <c r="A29" s="15" t="s">
        <v>51</v>
      </c>
      <c r="B29" s="18" t="s">
        <v>52</v>
      </c>
      <c r="C29" s="6" t="s">
        <v>13</v>
      </c>
      <c r="D29" s="11" t="s">
        <v>75</v>
      </c>
    </row>
    <row r="30" spans="1:4" ht="31.2" x14ac:dyDescent="0.3">
      <c r="A30" s="15" t="s">
        <v>53</v>
      </c>
      <c r="B30" s="18" t="s">
        <v>54</v>
      </c>
      <c r="C30" s="6" t="s">
        <v>13</v>
      </c>
      <c r="D30" s="11" t="s">
        <v>75</v>
      </c>
    </row>
    <row r="31" spans="1:4" ht="15.6" x14ac:dyDescent="0.3">
      <c r="A31" s="15" t="s">
        <v>55</v>
      </c>
      <c r="B31" s="1" t="s">
        <v>133</v>
      </c>
      <c r="C31" s="6" t="s">
        <v>79</v>
      </c>
      <c r="D31" s="11" t="s">
        <v>75</v>
      </c>
    </row>
    <row r="32" spans="1:4" ht="15.6" x14ac:dyDescent="0.3">
      <c r="A32" s="15" t="s">
        <v>56</v>
      </c>
      <c r="B32" s="126" t="s">
        <v>57</v>
      </c>
      <c r="C32" s="127"/>
      <c r="D32" s="128"/>
    </row>
    <row r="33" spans="1:4" ht="31.2" x14ac:dyDescent="0.3">
      <c r="A33" s="15" t="s">
        <v>58</v>
      </c>
      <c r="B33" s="18" t="s">
        <v>59</v>
      </c>
      <c r="C33" s="6" t="s">
        <v>39</v>
      </c>
      <c r="D33" s="3" t="s">
        <v>76</v>
      </c>
    </row>
    <row r="34" spans="1:4" ht="31.2" x14ac:dyDescent="0.3">
      <c r="A34" s="15" t="s">
        <v>60</v>
      </c>
      <c r="B34" s="1" t="s">
        <v>134</v>
      </c>
      <c r="C34" s="6" t="s">
        <v>13</v>
      </c>
      <c r="D34" s="3" t="s">
        <v>76</v>
      </c>
    </row>
    <row r="35" spans="1:4" ht="31.2" x14ac:dyDescent="0.3">
      <c r="A35" s="15" t="s">
        <v>61</v>
      </c>
      <c r="B35" s="18" t="s">
        <v>135</v>
      </c>
      <c r="C35" s="6" t="s">
        <v>13</v>
      </c>
      <c r="D35" s="3" t="s">
        <v>76</v>
      </c>
    </row>
    <row r="36" spans="1:4" ht="15.6" x14ac:dyDescent="0.3">
      <c r="A36" s="15" t="s">
        <v>62</v>
      </c>
      <c r="B36" s="123" t="s">
        <v>63</v>
      </c>
      <c r="C36" s="124"/>
      <c r="D36" s="125"/>
    </row>
    <row r="37" spans="1:4" ht="15.6" x14ac:dyDescent="0.3">
      <c r="A37" s="15" t="s">
        <v>64</v>
      </c>
      <c r="B37" s="18" t="s">
        <v>66</v>
      </c>
      <c r="C37" s="6" t="s">
        <v>85</v>
      </c>
      <c r="D37" s="11" t="s">
        <v>75</v>
      </c>
    </row>
    <row r="38" spans="1:4" ht="46.8" x14ac:dyDescent="0.3">
      <c r="A38" s="15" t="s">
        <v>65</v>
      </c>
      <c r="B38" s="18" t="s">
        <v>86</v>
      </c>
      <c r="C38" s="6" t="s">
        <v>136</v>
      </c>
      <c r="D38" s="11" t="s">
        <v>76</v>
      </c>
    </row>
    <row r="39" spans="1:4" ht="15.6" x14ac:dyDescent="0.3">
      <c r="A39" s="15" t="s">
        <v>67</v>
      </c>
      <c r="B39" s="18" t="s">
        <v>87</v>
      </c>
      <c r="C39" s="6" t="s">
        <v>88</v>
      </c>
      <c r="D39" s="11" t="s">
        <v>75</v>
      </c>
    </row>
    <row r="40" spans="1:4" ht="15.6" x14ac:dyDescent="0.3">
      <c r="A40" s="15" t="s">
        <v>68</v>
      </c>
      <c r="B40" s="126" t="s">
        <v>69</v>
      </c>
      <c r="C40" s="127"/>
      <c r="D40" s="128"/>
    </row>
    <row r="41" spans="1:4" ht="15.6" x14ac:dyDescent="0.3">
      <c r="A41" s="15" t="s">
        <v>70</v>
      </c>
      <c r="B41" s="18" t="s">
        <v>71</v>
      </c>
      <c r="C41" s="6" t="s">
        <v>89</v>
      </c>
      <c r="D41" s="11" t="s">
        <v>75</v>
      </c>
    </row>
    <row r="42" spans="1:4" ht="46.8" x14ac:dyDescent="0.3">
      <c r="A42" s="15" t="s">
        <v>72</v>
      </c>
      <c r="B42" s="18" t="s">
        <v>90</v>
      </c>
      <c r="C42" s="6" t="s">
        <v>79</v>
      </c>
      <c r="D42" s="11" t="s">
        <v>75</v>
      </c>
    </row>
    <row r="43" spans="1:4" ht="31.8" thickBot="1" x14ac:dyDescent="0.35">
      <c r="A43" s="22" t="s">
        <v>73</v>
      </c>
      <c r="B43" s="1" t="s">
        <v>139</v>
      </c>
      <c r="C43" s="6" t="s">
        <v>79</v>
      </c>
      <c r="D43" s="3" t="s">
        <v>75</v>
      </c>
    </row>
  </sheetData>
  <mergeCells count="12">
    <mergeCell ref="B36:D36"/>
    <mergeCell ref="B40:D40"/>
    <mergeCell ref="B2:D2"/>
    <mergeCell ref="B3:D3"/>
    <mergeCell ref="B7:D7"/>
    <mergeCell ref="B11:D11"/>
    <mergeCell ref="B24:D24"/>
    <mergeCell ref="B23:D23"/>
    <mergeCell ref="B28:D28"/>
    <mergeCell ref="B32:D32"/>
    <mergeCell ref="B15:D15"/>
    <mergeCell ref="B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50B4-460B-4310-930E-1A77CCA49EC2}">
  <dimension ref="A1:O87"/>
  <sheetViews>
    <sheetView zoomScale="70" zoomScaleNormal="70" workbookViewId="0">
      <pane ySplit="1" topLeftCell="A31" activePane="bottomLeft" state="frozen"/>
      <selection pane="bottomLeft" activeCell="H41" sqref="H41"/>
    </sheetView>
  </sheetViews>
  <sheetFormatPr defaultRowHeight="13.8" x14ac:dyDescent="0.25"/>
  <cols>
    <col min="1" max="1" width="7.44140625" style="40" customWidth="1"/>
    <col min="2" max="2" width="47.6640625" style="40" customWidth="1"/>
    <col min="3" max="3" width="22.33203125" style="40" customWidth="1"/>
    <col min="4" max="4" width="17.6640625" style="40" customWidth="1"/>
    <col min="5" max="5" width="12.5546875" style="40" bestFit="1" customWidth="1"/>
    <col min="6" max="6" width="13.109375" style="40" customWidth="1"/>
    <col min="7" max="7" width="20.88671875" style="40" customWidth="1"/>
    <col min="8" max="8" width="24.109375" style="40" customWidth="1"/>
    <col min="9" max="9" width="17" style="40" customWidth="1"/>
    <col min="10" max="10" width="11.5546875" style="40" bestFit="1" customWidth="1"/>
    <col min="11" max="13" width="10.21875" style="40" bestFit="1" customWidth="1"/>
    <col min="14" max="14" width="8.88671875" style="40"/>
    <col min="15" max="15" width="10.5546875" style="40" bestFit="1" customWidth="1"/>
    <col min="16" max="17" width="8.88671875" style="40" customWidth="1"/>
    <col min="18" max="16384" width="8.88671875" style="40"/>
  </cols>
  <sheetData>
    <row r="1" spans="1:15" ht="15.6" x14ac:dyDescent="0.25">
      <c r="A1" s="10" t="s">
        <v>0</v>
      </c>
      <c r="B1" s="16" t="s">
        <v>1</v>
      </c>
      <c r="C1" s="16" t="s">
        <v>2</v>
      </c>
      <c r="D1" s="25" t="s">
        <v>74</v>
      </c>
      <c r="E1" s="26">
        <v>2022</v>
      </c>
      <c r="F1" s="26">
        <v>2023</v>
      </c>
      <c r="G1" s="26">
        <v>2024</v>
      </c>
      <c r="H1" s="26" t="s">
        <v>91</v>
      </c>
      <c r="I1" s="26" t="s">
        <v>92</v>
      </c>
      <c r="J1" s="26" t="s">
        <v>93</v>
      </c>
      <c r="K1" s="26" t="s">
        <v>94</v>
      </c>
      <c r="L1" s="26" t="s">
        <v>95</v>
      </c>
      <c r="M1" s="26" t="s">
        <v>96</v>
      </c>
      <c r="N1" s="26" t="s">
        <v>97</v>
      </c>
    </row>
    <row r="2" spans="1:15" ht="15.6" customHeight="1" x14ac:dyDescent="0.25">
      <c r="A2" s="13">
        <v>1</v>
      </c>
      <c r="B2" s="153" t="s">
        <v>3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5"/>
    </row>
    <row r="3" spans="1:15" ht="15.6" x14ac:dyDescent="0.25">
      <c r="A3" s="14" t="s">
        <v>4</v>
      </c>
      <c r="B3" s="156" t="s">
        <v>5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8"/>
    </row>
    <row r="4" spans="1:15" ht="15.6" x14ac:dyDescent="0.25">
      <c r="A4" s="14" t="s">
        <v>6</v>
      </c>
      <c r="B4" s="1" t="str">
        <f>'Шаг 1'!B4</f>
        <v>Мощность электростанций</v>
      </c>
      <c r="C4" s="1" t="str">
        <f>'Шаг 1'!C4</f>
        <v>млн кВт</v>
      </c>
      <c r="D4" s="1" t="str">
        <f>'Шаг 1'!D4</f>
        <v>убывающий</v>
      </c>
      <c r="E4" s="35">
        <f t="shared" ref="E4:G5" si="0">C46</f>
        <v>10.8</v>
      </c>
      <c r="F4" s="35">
        <f t="shared" si="0"/>
        <v>10.6</v>
      </c>
      <c r="G4" s="35">
        <f t="shared" si="0"/>
        <v>10.7</v>
      </c>
      <c r="H4" s="35">
        <v>10.5</v>
      </c>
      <c r="I4" s="35">
        <v>9.8000000000000007</v>
      </c>
      <c r="J4" s="35">
        <v>9.1</v>
      </c>
      <c r="K4" s="35">
        <v>8.4</v>
      </c>
      <c r="L4" s="35">
        <v>6</v>
      </c>
      <c r="M4" s="35">
        <v>4.67</v>
      </c>
      <c r="N4" s="35">
        <v>0.33</v>
      </c>
    </row>
    <row r="5" spans="1:15" ht="15.6" x14ac:dyDescent="0.25">
      <c r="A5" s="14" t="s">
        <v>9</v>
      </c>
      <c r="B5" s="1" t="str">
        <f>'Шаг 1'!B5</f>
        <v>Производство электроэнергии</v>
      </c>
      <c r="C5" s="1" t="str">
        <f>'Шаг 1'!C5</f>
        <v>млрд кВт·ч</v>
      </c>
      <c r="D5" s="1" t="str">
        <f>'Шаг 1'!D5</f>
        <v>убывающий</v>
      </c>
      <c r="E5" s="35">
        <f t="shared" si="0"/>
        <v>54.5</v>
      </c>
      <c r="F5" s="35">
        <f t="shared" si="0"/>
        <v>54.9</v>
      </c>
      <c r="G5" s="35">
        <f t="shared" si="0"/>
        <v>57</v>
      </c>
      <c r="H5" s="35">
        <v>55</v>
      </c>
      <c r="I5" s="35">
        <v>51.33</v>
      </c>
      <c r="J5" s="35">
        <v>47.67</v>
      </c>
      <c r="K5" s="35">
        <v>44</v>
      </c>
      <c r="L5" s="35">
        <v>31.43</v>
      </c>
      <c r="M5" s="35">
        <v>24.44</v>
      </c>
      <c r="N5" s="35">
        <v>0.33</v>
      </c>
    </row>
    <row r="6" spans="1:15" ht="62.4" x14ac:dyDescent="0.25">
      <c r="A6" s="14" t="s">
        <v>12</v>
      </c>
      <c r="B6" s="1" t="str">
        <f>'Шаг 1'!B6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C6" s="1" t="str">
        <f>'Шаг 1'!C6</f>
        <v>в % к предыдущему году</v>
      </c>
      <c r="D6" s="1" t="str">
        <f>'Шаг 1'!D6</f>
        <v>убывающий</v>
      </c>
      <c r="E6" s="36">
        <f>C48/B48</f>
        <v>1.0120265688464076</v>
      </c>
      <c r="F6" s="36">
        <f>D48/C48</f>
        <v>1.1440765273628086</v>
      </c>
      <c r="G6" s="36">
        <f>E48/D48</f>
        <v>1.0961284951432537</v>
      </c>
      <c r="H6" s="36">
        <v>1</v>
      </c>
      <c r="I6" s="36">
        <v>0.98329999999999995</v>
      </c>
      <c r="J6" s="36">
        <v>0.9667</v>
      </c>
      <c r="K6" s="36">
        <v>0.95</v>
      </c>
      <c r="L6" s="36">
        <v>0.67859999999999998</v>
      </c>
      <c r="M6" s="36">
        <v>0.52780000000000005</v>
      </c>
      <c r="N6" s="35">
        <v>0.33</v>
      </c>
    </row>
    <row r="7" spans="1:15" ht="15.6" x14ac:dyDescent="0.25">
      <c r="A7" s="14" t="s">
        <v>14</v>
      </c>
      <c r="B7" s="161" t="s">
        <v>15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62"/>
    </row>
    <row r="8" spans="1:15" ht="31.2" x14ac:dyDescent="0.25">
      <c r="A8" s="14" t="s">
        <v>16</v>
      </c>
      <c r="B8" s="2" t="str">
        <f>'Шаг 1'!B8</f>
        <v>Доля субъекта в общероссийском импорте транспортных услуг</v>
      </c>
      <c r="C8" s="2" t="str">
        <f>'Шаг 1'!C8</f>
        <v>%</v>
      </c>
      <c r="D8" s="2" t="str">
        <f>'Шаг 1'!D8</f>
        <v>возрастающий</v>
      </c>
      <c r="E8" s="36">
        <f>C49/C50</f>
        <v>0.35699302387674758</v>
      </c>
      <c r="F8" s="36">
        <f>D49/D50</f>
        <v>0.38040352634084679</v>
      </c>
      <c r="G8" s="36">
        <f>E49/E50</f>
        <v>0.38542972970973899</v>
      </c>
      <c r="H8" s="36">
        <v>0.35</v>
      </c>
      <c r="I8" s="36">
        <v>0.4</v>
      </c>
      <c r="J8" s="36">
        <v>0.45</v>
      </c>
      <c r="K8" s="36">
        <v>0.5</v>
      </c>
      <c r="L8" s="36">
        <v>0.7</v>
      </c>
      <c r="M8" s="36">
        <v>0.9</v>
      </c>
      <c r="N8" s="35">
        <v>0.33</v>
      </c>
    </row>
    <row r="9" spans="1:15" ht="15.6" x14ac:dyDescent="0.25">
      <c r="A9" s="15" t="s">
        <v>17</v>
      </c>
      <c r="B9" s="2" t="str">
        <f>'Шаг 1'!B9</f>
        <v>Сальдо торгового баланса</v>
      </c>
      <c r="C9" s="2" t="str">
        <f>'Шаг 1'!C9</f>
        <v>млрд. руб</v>
      </c>
      <c r="D9" s="2" t="str">
        <f>'Шаг 1'!D9</f>
        <v>убывающий</v>
      </c>
      <c r="E9" s="35">
        <f>(C51-C52)*C53/1000</f>
        <v>21569.674774130002</v>
      </c>
      <c r="F9" s="35">
        <f t="shared" ref="F9:G9" si="1">(D51-D52)*D53/1000</f>
        <v>10439.997149343997</v>
      </c>
      <c r="G9" s="35">
        <f t="shared" si="1"/>
        <v>12238.646390231001</v>
      </c>
      <c r="H9" s="35">
        <f>10000000/1000</f>
        <v>10000</v>
      </c>
      <c r="I9" s="35">
        <f>(H9-3333333/1000)</f>
        <v>6666.6669999999995</v>
      </c>
      <c r="J9" s="35">
        <f>3333333/1000</f>
        <v>3333.3330000000001</v>
      </c>
      <c r="K9" s="35">
        <v>0</v>
      </c>
      <c r="L9" s="35">
        <v>0</v>
      </c>
      <c r="M9" s="35">
        <v>0</v>
      </c>
      <c r="N9" s="35">
        <v>0.33</v>
      </c>
      <c r="O9" s="98"/>
    </row>
    <row r="10" spans="1:15" ht="15.6" x14ac:dyDescent="0.25">
      <c r="A10" s="15" t="s">
        <v>18</v>
      </c>
      <c r="B10" s="2" t="str">
        <f>'Шаг 1'!B10</f>
        <v>Коэффициент покрытия импорта экспортом</v>
      </c>
      <c r="C10" s="2" t="str">
        <f>'Шаг 1'!C10</f>
        <v>%</v>
      </c>
      <c r="D10" s="2" t="str">
        <f>'Шаг 1'!D10</f>
        <v>убывающий</v>
      </c>
      <c r="E10" s="36">
        <f>C51/C52</f>
        <v>2.1412490938840958</v>
      </c>
      <c r="F10" s="36">
        <f>D51/D52</f>
        <v>1.4014097762687396</v>
      </c>
      <c r="G10" s="36">
        <f>E51/E52</f>
        <v>1.4380260582631408</v>
      </c>
      <c r="H10" s="36">
        <v>1</v>
      </c>
      <c r="I10" s="36">
        <v>0.9</v>
      </c>
      <c r="J10" s="36">
        <v>0.8</v>
      </c>
      <c r="K10" s="36">
        <v>0.7</v>
      </c>
      <c r="L10" s="36">
        <v>0.5</v>
      </c>
      <c r="M10" s="36">
        <v>0.38890000000000002</v>
      </c>
      <c r="N10" s="35">
        <v>0.33</v>
      </c>
    </row>
    <row r="11" spans="1:15" ht="15.6" x14ac:dyDescent="0.25">
      <c r="A11" s="15" t="s">
        <v>19</v>
      </c>
      <c r="B11" s="159" t="s">
        <v>20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60"/>
    </row>
    <row r="12" spans="1:15" ht="31.2" x14ac:dyDescent="0.25">
      <c r="A12" s="15" t="s">
        <v>21</v>
      </c>
      <c r="B12" s="1" t="str">
        <f>'Шаг 1'!B12</f>
        <v>Индекс физического объема инвестиций в основной капитал</v>
      </c>
      <c r="C12" s="1" t="str">
        <f>'Шаг 1'!C12</f>
        <v>в % к предыдущему году</v>
      </c>
      <c r="D12" s="1" t="str">
        <f>'Шаг 1'!D12</f>
        <v>убывающий</v>
      </c>
      <c r="E12" s="36">
        <f>C54/B54</f>
        <v>0.8729096989966556</v>
      </c>
      <c r="F12" s="36">
        <f>D54/C54</f>
        <v>1.0517241379310345</v>
      </c>
      <c r="G12" s="36">
        <f>E54/D54</f>
        <v>0.9508196721311476</v>
      </c>
      <c r="H12" s="36">
        <v>1.05</v>
      </c>
      <c r="I12" s="36">
        <v>1</v>
      </c>
      <c r="J12" s="36">
        <v>0.95</v>
      </c>
      <c r="K12" s="36">
        <v>0.9</v>
      </c>
      <c r="L12" s="36">
        <v>0.85</v>
      </c>
      <c r="M12" s="36">
        <v>0.8</v>
      </c>
      <c r="N12" s="35">
        <v>0.33</v>
      </c>
    </row>
    <row r="13" spans="1:15" ht="78" x14ac:dyDescent="0.25">
      <c r="A13" s="15" t="s">
        <v>23</v>
      </c>
      <c r="B13" s="1" t="str">
        <f>'Шаг 1'!B13</f>
        <v>Объем инновационных товаров, работ, услуг</v>
      </c>
      <c r="C13" s="1" t="str">
        <f>'Шаг 1'!C13</f>
        <v>в % от общего объема отгруженных товаров, выполненных работ, услуг</v>
      </c>
      <c r="D13" s="1" t="str">
        <f>'Шаг 1'!D13</f>
        <v>убывающий</v>
      </c>
      <c r="E13" s="35">
        <f t="shared" ref="E13:G14" si="2">C55</f>
        <v>4.4000000000000004</v>
      </c>
      <c r="F13" s="35">
        <f t="shared" si="2"/>
        <v>4.9000000000000004</v>
      </c>
      <c r="G13" s="35">
        <f t="shared" si="2"/>
        <v>4.8</v>
      </c>
      <c r="H13" s="35">
        <v>0.15</v>
      </c>
      <c r="I13" s="35">
        <v>0.12670000000000001</v>
      </c>
      <c r="J13" s="35">
        <v>0.1033</v>
      </c>
      <c r="K13" s="35">
        <v>0.08</v>
      </c>
      <c r="L13" s="35">
        <v>5.7099999999999998E-2</v>
      </c>
      <c r="M13" s="35">
        <v>4.4400000000000002E-2</v>
      </c>
      <c r="N13" s="35">
        <v>0.33</v>
      </c>
    </row>
    <row r="14" spans="1:15" ht="78" x14ac:dyDescent="0.25">
      <c r="A14" s="15" t="s">
        <v>26</v>
      </c>
      <c r="B14" s="1" t="str">
        <f>'Шаг 1'!B14</f>
        <v>Затраты на инновационную деятельность организаций</v>
      </c>
      <c r="C14" s="1" t="str">
        <f>'Шаг 1'!C14</f>
        <v>в % от общего объема отгруженных товаров, выполненных работ, услуг</v>
      </c>
      <c r="D14" s="1" t="str">
        <f>'Шаг 1'!D14</f>
        <v>убывающий</v>
      </c>
      <c r="E14" s="35">
        <f t="shared" si="2"/>
        <v>3.2</v>
      </c>
      <c r="F14" s="35">
        <f t="shared" si="2"/>
        <v>4.5999999999999996</v>
      </c>
      <c r="G14" s="35">
        <f t="shared" si="2"/>
        <v>4.8</v>
      </c>
      <c r="H14" s="35">
        <v>3.2000000000000001E-2</v>
      </c>
      <c r="I14" s="35">
        <v>2.9700000000000001E-2</v>
      </c>
      <c r="J14" s="35">
        <v>2.7300000000000001E-2</v>
      </c>
      <c r="K14" s="35">
        <v>2.5000000000000001E-2</v>
      </c>
      <c r="L14" s="35">
        <v>1.7899999999999999E-2</v>
      </c>
      <c r="M14" s="35">
        <v>1.3899999999999999E-2</v>
      </c>
      <c r="N14" s="35">
        <v>0.33</v>
      </c>
    </row>
    <row r="15" spans="1:15" ht="15.6" x14ac:dyDescent="0.25">
      <c r="A15" s="15" t="s">
        <v>28</v>
      </c>
      <c r="B15" s="163" t="s">
        <v>29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64"/>
    </row>
    <row r="16" spans="1:15" ht="15.6" x14ac:dyDescent="0.25">
      <c r="A16" s="14" t="s">
        <v>30</v>
      </c>
      <c r="B16" s="1" t="str">
        <f>'Шаг 1'!B16</f>
        <v>Общий коэффициент смертности</v>
      </c>
      <c r="C16" s="1" t="str">
        <f>'Шаг 1'!C16</f>
        <v>чел./1000 чел</v>
      </c>
      <c r="D16" s="1" t="str">
        <f>'Шаг 1'!D16</f>
        <v>возрастающий</v>
      </c>
      <c r="E16" s="35">
        <f>C58</f>
        <v>9.6999999999999993</v>
      </c>
      <c r="F16" s="35">
        <f>D58</f>
        <v>8.8000000000000007</v>
      </c>
      <c r="G16" s="35">
        <f>E58</f>
        <v>8.9</v>
      </c>
      <c r="H16" s="35">
        <v>12</v>
      </c>
      <c r="I16" s="35">
        <v>13</v>
      </c>
      <c r="J16" s="35">
        <v>14</v>
      </c>
      <c r="K16" s="35">
        <v>15</v>
      </c>
      <c r="L16" s="35">
        <v>21</v>
      </c>
      <c r="M16" s="35">
        <v>27</v>
      </c>
      <c r="N16" s="35">
        <v>0.33</v>
      </c>
    </row>
    <row r="17" spans="1:14" ht="15.6" x14ac:dyDescent="0.25">
      <c r="A17" s="14" t="s">
        <v>31</v>
      </c>
      <c r="B17" s="1" t="str">
        <f>'Шаг 1'!B17</f>
        <v>Общий коэффициент рождаемости</v>
      </c>
      <c r="C17" s="1" t="str">
        <f>'Шаг 1'!C17</f>
        <v>чел./1000 чел</v>
      </c>
      <c r="D17" s="1" t="str">
        <f>'Шаг 1'!D17</f>
        <v>убывающий</v>
      </c>
      <c r="E17" s="35">
        <f>B57</f>
        <v>10.3</v>
      </c>
      <c r="F17" s="35">
        <f>C57</f>
        <v>9.4</v>
      </c>
      <c r="G17" s="35">
        <f>D57</f>
        <v>9.1999999999999993</v>
      </c>
      <c r="H17" s="35">
        <v>14</v>
      </c>
      <c r="I17" s="35">
        <v>12.33</v>
      </c>
      <c r="J17" s="35">
        <v>10.67</v>
      </c>
      <c r="K17" s="35">
        <v>9</v>
      </c>
      <c r="L17" s="35">
        <v>6.43</v>
      </c>
      <c r="M17" s="35">
        <v>5</v>
      </c>
      <c r="N17" s="35">
        <v>0.33</v>
      </c>
    </row>
    <row r="18" spans="1:14" ht="15.6" x14ac:dyDescent="0.25">
      <c r="A18" s="14" t="s">
        <v>32</v>
      </c>
      <c r="B18" s="1" t="str">
        <f>'Шаг 1'!B18</f>
        <v>Миграционный прирост (убыль) к населению</v>
      </c>
      <c r="C18" s="1" t="str">
        <f>'Шаг 1'!C18</f>
        <v>%</v>
      </c>
      <c r="D18" s="1" t="str">
        <f>'Шаг 1'!D18</f>
        <v>убывающий</v>
      </c>
      <c r="E18" s="36">
        <f>C60/C59 / 1000</f>
        <v>2.4334335556539122E-2</v>
      </c>
      <c r="F18" s="36">
        <f>D60/D59 / 1000</f>
        <v>2.4304628207273114E-2</v>
      </c>
      <c r="G18" s="36">
        <f>E60/E59 / 1000</f>
        <v>2.6822129980488614E-2</v>
      </c>
      <c r="H18" s="36">
        <v>2.7E-2</v>
      </c>
      <c r="I18" s="36">
        <v>2.5000000000000001E-2</v>
      </c>
      <c r="J18" s="36">
        <v>2.3E-2</v>
      </c>
      <c r="K18" s="36">
        <v>0.02</v>
      </c>
      <c r="L18" s="36">
        <v>1.4999999999999999E-2</v>
      </c>
      <c r="M18" s="36">
        <v>0.01</v>
      </c>
      <c r="N18" s="35">
        <v>0.33</v>
      </c>
    </row>
    <row r="19" spans="1:14" ht="15.6" x14ac:dyDescent="0.25">
      <c r="A19" s="14" t="s">
        <v>33</v>
      </c>
      <c r="B19" s="161" t="s">
        <v>34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62"/>
    </row>
    <row r="20" spans="1:14" ht="15.6" x14ac:dyDescent="0.25">
      <c r="A20" s="15" t="s">
        <v>35</v>
      </c>
      <c r="B20" s="1" t="str">
        <f>'Шаг 1'!B20</f>
        <v>Индекс потребительский цен</v>
      </c>
      <c r="C20" s="1" t="str">
        <f>'Шаг 1'!C20</f>
        <v>%</v>
      </c>
      <c r="D20" s="1" t="str">
        <f>'Шаг 1'!D20</f>
        <v>возрастающий</v>
      </c>
      <c r="E20" s="36">
        <f>C61/100</f>
        <v>1.117</v>
      </c>
      <c r="F20" s="36">
        <f>D61/100</f>
        <v>1.0759999999999998</v>
      </c>
      <c r="G20" s="36">
        <f>E61/100</f>
        <v>1.101</v>
      </c>
      <c r="H20" s="36">
        <v>1.06</v>
      </c>
      <c r="I20" s="36">
        <v>1.1233</v>
      </c>
      <c r="J20" s="36">
        <v>1.1867000000000001</v>
      </c>
      <c r="K20" s="36">
        <v>1.25</v>
      </c>
      <c r="L20" s="36">
        <v>1.75</v>
      </c>
      <c r="M20" s="36">
        <v>2.25</v>
      </c>
      <c r="N20" s="35">
        <v>0.33</v>
      </c>
    </row>
    <row r="21" spans="1:14" ht="31.2" x14ac:dyDescent="0.25">
      <c r="A21" s="15" t="s">
        <v>37</v>
      </c>
      <c r="B21" s="1" t="str">
        <f>'Шаг 1'!B21</f>
        <v>Дефицит (профицит) консолидированного бюджета области</v>
      </c>
      <c r="C21" s="1" t="str">
        <f>'Шаг 1'!C21</f>
        <v>млрд. руб.</v>
      </c>
      <c r="D21" s="1" t="str">
        <f>'Шаг 1'!D21</f>
        <v>убывающий</v>
      </c>
      <c r="E21" s="35">
        <f>(C62-C63)/1000</f>
        <v>3671.4333999999999</v>
      </c>
      <c r="F21" s="35">
        <f t="shared" ref="F21:G21" si="3">(D62-D63)/1000</f>
        <v>4228.3065999999999</v>
      </c>
      <c r="G21" s="35">
        <f t="shared" si="3"/>
        <v>5191.7532999999994</v>
      </c>
      <c r="H21" s="35">
        <v>0</v>
      </c>
      <c r="I21" s="35">
        <f>-50000/1000</f>
        <v>-50</v>
      </c>
      <c r="J21" s="35">
        <f>-100000/1000</f>
        <v>-100</v>
      </c>
      <c r="K21" s="35">
        <f>-150000/1000</f>
        <v>-150</v>
      </c>
      <c r="L21" s="35">
        <f>-200000/1000</f>
        <v>-200</v>
      </c>
      <c r="M21" s="35">
        <f>-250000/1000</f>
        <v>-250</v>
      </c>
      <c r="N21" s="35">
        <v>0.33</v>
      </c>
    </row>
    <row r="22" spans="1:14" ht="31.2" x14ac:dyDescent="0.25">
      <c r="A22" s="15" t="s">
        <v>38</v>
      </c>
      <c r="B22" s="1" t="str">
        <f>'Шаг 1'!B22</f>
        <v>Индекс физического объёма розничной торговли</v>
      </c>
      <c r="C22" s="1" t="str">
        <f>'Шаг 1'!C22</f>
        <v>%</v>
      </c>
      <c r="D22" s="1" t="str">
        <f>'Шаг 1'!D22</f>
        <v>убывающий</v>
      </c>
      <c r="E22" s="36">
        <f>C63/100</f>
        <v>0.871</v>
      </c>
      <c r="F22" s="36">
        <f>D63/100</f>
        <v>1.075</v>
      </c>
      <c r="G22" s="36">
        <f>E63/100</f>
        <v>1.05</v>
      </c>
      <c r="H22" s="36">
        <v>1</v>
      </c>
      <c r="I22" s="36">
        <v>0.98329999999999995</v>
      </c>
      <c r="J22" s="36">
        <v>0.9667</v>
      </c>
      <c r="K22" s="36">
        <v>0.95</v>
      </c>
      <c r="L22" s="36">
        <v>0.67859999999999998</v>
      </c>
      <c r="M22" s="36">
        <v>0.52780000000000005</v>
      </c>
      <c r="N22" s="35">
        <v>0.33</v>
      </c>
    </row>
    <row r="23" spans="1:14" ht="15.6" customHeight="1" x14ac:dyDescent="0.25">
      <c r="A23" s="21">
        <v>2</v>
      </c>
      <c r="B23" s="167" t="s">
        <v>40</v>
      </c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9"/>
    </row>
    <row r="24" spans="1:14" ht="15.6" x14ac:dyDescent="0.25">
      <c r="A24" s="14" t="s">
        <v>41</v>
      </c>
      <c r="B24" s="165" t="s">
        <v>42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66"/>
    </row>
    <row r="25" spans="1:14" ht="46.8" x14ac:dyDescent="0.25">
      <c r="A25" s="15" t="s">
        <v>43</v>
      </c>
      <c r="B25" s="2" t="str">
        <f>'Шаг 1'!B25</f>
        <v>Доля численности персонала, занятого научными исследованиями и разработками в численности занятых</v>
      </c>
      <c r="C25" s="2" t="str">
        <f>'Шаг 1'!C25</f>
        <v>%</v>
      </c>
      <c r="D25" s="2" t="str">
        <f>'Шаг 1'!D25</f>
        <v>убывающий</v>
      </c>
      <c r="E25" s="36">
        <f>C64/C65</f>
        <v>2.8518614801537893E-2</v>
      </c>
      <c r="F25" s="36">
        <f>D64/D65</f>
        <v>2.8746176117120069E-2</v>
      </c>
      <c r="G25" s="36">
        <f>E64/E65</f>
        <v>2.9838343889150097E-2</v>
      </c>
      <c r="H25" s="36">
        <v>1.4999999999999999E-2</v>
      </c>
      <c r="I25" s="36">
        <v>1.3299999999999999E-2</v>
      </c>
      <c r="J25" s="36">
        <v>1.17E-2</v>
      </c>
      <c r="K25" s="36">
        <v>0.01</v>
      </c>
      <c r="L25" s="36">
        <v>7.1000000000000004E-3</v>
      </c>
      <c r="M25" s="36">
        <v>5.5999999999999999E-3</v>
      </c>
      <c r="N25" s="35">
        <v>0.33</v>
      </c>
    </row>
    <row r="26" spans="1:14" ht="46.8" x14ac:dyDescent="0.25">
      <c r="A26" s="15" t="s">
        <v>45</v>
      </c>
      <c r="B26" s="2" t="str">
        <f>'Шаг 1'!B26</f>
        <v>Удельный вес организаций, осуществлявших технологические инновации в общем числе обследованных организаций</v>
      </c>
      <c r="C26" s="2" t="str">
        <f>'Шаг 1'!C26</f>
        <v>%</v>
      </c>
      <c r="D26" s="2" t="str">
        <f>'Шаг 1'!D26</f>
        <v>убывающий</v>
      </c>
      <c r="E26" s="36">
        <f>C66/C67</f>
        <v>1.4140974373126321E-3</v>
      </c>
      <c r="F26" s="36">
        <f>D66/D67</f>
        <v>1.3957893687376415E-3</v>
      </c>
      <c r="G26" s="36">
        <f>E66/E67</f>
        <v>1.4006806034386708E-3</v>
      </c>
      <c r="H26" s="36">
        <v>0.1</v>
      </c>
      <c r="I26" s="36">
        <v>8.3299999999999999E-2</v>
      </c>
      <c r="J26" s="36">
        <v>6.6699999999999995E-2</v>
      </c>
      <c r="K26" s="36">
        <v>0.05</v>
      </c>
      <c r="L26" s="36">
        <v>3.5700000000000003E-2</v>
      </c>
      <c r="M26" s="36">
        <v>2.7799999999999998E-2</v>
      </c>
      <c r="N26" s="35">
        <v>0.33</v>
      </c>
    </row>
    <row r="27" spans="1:14" ht="31.2" x14ac:dyDescent="0.25">
      <c r="A27" s="15" t="s">
        <v>47</v>
      </c>
      <c r="B27" s="2" t="str">
        <f>'Шаг 1'!B27</f>
        <v>Доля внутренних затрат на научные исследования и разработки к ВРП</v>
      </c>
      <c r="C27" s="2" t="str">
        <f>'Шаг 1'!C27</f>
        <v>%</v>
      </c>
      <c r="D27" s="2" t="str">
        <f>'Шаг 1'!D27</f>
        <v>убывающий</v>
      </c>
      <c r="E27" s="36">
        <f>C68/C69</f>
        <v>1.860728572759382E-2</v>
      </c>
      <c r="F27" s="36">
        <f>D68/D69</f>
        <v>1.8223698037727915E-2</v>
      </c>
      <c r="G27" s="36">
        <f>E68/E69</f>
        <v>1.778996551724138E-2</v>
      </c>
      <c r="H27" s="36">
        <v>0.02</v>
      </c>
      <c r="I27" s="36">
        <v>1.67E-2</v>
      </c>
      <c r="J27" s="36">
        <v>1.3299999999999999E-2</v>
      </c>
      <c r="K27" s="36">
        <v>0.01</v>
      </c>
      <c r="L27" s="36">
        <v>7.1000000000000004E-3</v>
      </c>
      <c r="M27" s="36">
        <v>5.5999999999999999E-3</v>
      </c>
      <c r="N27" s="35">
        <v>0.33</v>
      </c>
    </row>
    <row r="28" spans="1:14" ht="15.6" x14ac:dyDescent="0.25">
      <c r="A28" s="15" t="s">
        <v>49</v>
      </c>
      <c r="B28" s="174" t="s">
        <v>50</v>
      </c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75"/>
    </row>
    <row r="29" spans="1:14" ht="31.2" x14ac:dyDescent="0.25">
      <c r="A29" s="15" t="s">
        <v>51</v>
      </c>
      <c r="B29" s="1" t="str">
        <f>'Шаг 1'!B29</f>
        <v>Индексы промышленного производства</v>
      </c>
      <c r="C29" s="1" t="str">
        <f>'Шаг 1'!C29</f>
        <v>в % к предыдущему году</v>
      </c>
      <c r="D29" s="1" t="str">
        <f>'Шаг 1'!D29</f>
        <v>убывающий</v>
      </c>
      <c r="E29" s="49">
        <f t="shared" ref="E29:G30" si="4">C70/100</f>
        <v>1.155</v>
      </c>
      <c r="F29" s="49">
        <f t="shared" si="4"/>
        <v>1.19</v>
      </c>
      <c r="G29" s="49">
        <f t="shared" si="4"/>
        <v>1.1930000000000001</v>
      </c>
      <c r="H29" s="49">
        <v>1</v>
      </c>
      <c r="I29" s="49">
        <v>0.98329999999999995</v>
      </c>
      <c r="J29" s="49">
        <v>0.9667</v>
      </c>
      <c r="K29" s="49">
        <v>0.95</v>
      </c>
      <c r="L29" s="49">
        <v>0.67859999999999998</v>
      </c>
      <c r="M29" s="49">
        <v>0.52780000000000005</v>
      </c>
      <c r="N29" s="35">
        <v>0.33</v>
      </c>
    </row>
    <row r="30" spans="1:14" ht="31.2" x14ac:dyDescent="0.25">
      <c r="A30" s="15" t="s">
        <v>53</v>
      </c>
      <c r="B30" s="1" t="str">
        <f>'Шаг 1'!B30</f>
        <v>Индексы производства продукции сельского хозяйства</v>
      </c>
      <c r="C30" s="1" t="str">
        <f>'Шаг 1'!C30</f>
        <v>в % к предыдущему году</v>
      </c>
      <c r="D30" s="1" t="str">
        <f>'Шаг 1'!D30</f>
        <v>убывающий</v>
      </c>
      <c r="E30" s="49">
        <f t="shared" si="4"/>
        <v>0.92799999999999994</v>
      </c>
      <c r="F30" s="49">
        <f t="shared" si="4"/>
        <v>0.70799999999999996</v>
      </c>
      <c r="G30" s="49">
        <f t="shared" si="4"/>
        <v>0.72599999999999998</v>
      </c>
      <c r="H30" s="49">
        <v>1</v>
      </c>
      <c r="I30" s="49">
        <v>0.98329999999999995</v>
      </c>
      <c r="J30" s="49">
        <v>0.9667</v>
      </c>
      <c r="K30" s="49">
        <v>0.95</v>
      </c>
      <c r="L30" s="49">
        <v>0.67859999999999998</v>
      </c>
      <c r="M30" s="49">
        <v>0.52780000000000005</v>
      </c>
      <c r="N30" s="35">
        <v>0.33</v>
      </c>
    </row>
    <row r="31" spans="1:14" ht="31.2" x14ac:dyDescent="0.25">
      <c r="A31" s="15" t="s">
        <v>55</v>
      </c>
      <c r="B31" s="1" t="str">
        <f>'Шаг 1'!B31</f>
        <v>Доля валового сбора сырья субъекта к сбору в РФ</v>
      </c>
      <c r="C31" s="1" t="str">
        <f>'Шаг 1'!C31</f>
        <v>%</v>
      </c>
      <c r="D31" s="1" t="str">
        <f>'Шаг 1'!D31</f>
        <v>убывающий</v>
      </c>
      <c r="E31" s="49">
        <f>C72/C73</f>
        <v>1.9035532994923859E-3</v>
      </c>
      <c r="F31" s="49">
        <f>D72/D73</f>
        <v>0</v>
      </c>
      <c r="G31" s="49">
        <f>E72/E73</f>
        <v>3.177124702144559E-3</v>
      </c>
      <c r="H31" s="49">
        <v>0.01</v>
      </c>
      <c r="I31" s="49">
        <v>8.3000000000000001E-3</v>
      </c>
      <c r="J31" s="49">
        <v>6.7000000000000002E-3</v>
      </c>
      <c r="K31" s="49">
        <v>5.0000000000000001E-3</v>
      </c>
      <c r="L31" s="49">
        <v>3.5999999999999999E-3</v>
      </c>
      <c r="M31" s="49">
        <v>2.8E-3</v>
      </c>
      <c r="N31" s="35">
        <v>0.33</v>
      </c>
    </row>
    <row r="32" spans="1:14" ht="15.6" x14ac:dyDescent="0.25">
      <c r="A32" s="15" t="s">
        <v>56</v>
      </c>
      <c r="B32" s="170" t="s">
        <v>57</v>
      </c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71"/>
    </row>
    <row r="33" spans="1:14" ht="31.2" x14ac:dyDescent="0.25">
      <c r="A33" s="15" t="s">
        <v>58</v>
      </c>
      <c r="B33" s="1" t="str">
        <f>'Шаг 1'!B33</f>
        <v>Индексы потребительских цен на продовольственные товары</v>
      </c>
      <c r="C33" s="1" t="str">
        <f>'Шаг 1'!C33</f>
        <v>в %</v>
      </c>
      <c r="D33" s="1" t="str">
        <f>'Шаг 1'!D33</f>
        <v>возрастающий</v>
      </c>
      <c r="E33" s="36">
        <f t="shared" ref="E33:G35" si="5">C74/100</f>
        <v>1.0940000000000001</v>
      </c>
      <c r="F33" s="36">
        <f t="shared" si="5"/>
        <v>1.0649999999999999</v>
      </c>
      <c r="G33" s="36">
        <f t="shared" si="5"/>
        <v>1.1120000000000001</v>
      </c>
      <c r="H33" s="36">
        <v>1.06</v>
      </c>
      <c r="I33" s="36">
        <v>1.1233</v>
      </c>
      <c r="J33" s="36">
        <v>1.1867000000000001</v>
      </c>
      <c r="K33" s="36">
        <v>1.25</v>
      </c>
      <c r="L33" s="36">
        <v>1.75</v>
      </c>
      <c r="M33" s="36">
        <v>2.25</v>
      </c>
      <c r="N33" s="35">
        <v>0.33</v>
      </c>
    </row>
    <row r="34" spans="1:14" ht="31.2" x14ac:dyDescent="0.25">
      <c r="A34" s="15" t="s">
        <v>60</v>
      </c>
      <c r="B34" s="1" t="str">
        <f>'Шаг 1'!B34</f>
        <v>Индекс цен приобретения промышленных товаров и услуг</v>
      </c>
      <c r="C34" s="1" t="str">
        <f>'Шаг 1'!C34</f>
        <v>в % к предыдущему году</v>
      </c>
      <c r="D34" s="1" t="str">
        <f>'Шаг 1'!D34</f>
        <v>возрастающий</v>
      </c>
      <c r="E34" s="36">
        <f t="shared" si="5"/>
        <v>1.0900000000000001</v>
      </c>
      <c r="F34" s="36">
        <f t="shared" si="5"/>
        <v>1.0629999999999999</v>
      </c>
      <c r="G34" s="36">
        <f t="shared" si="5"/>
        <v>1.095</v>
      </c>
      <c r="H34" s="36">
        <v>1.06</v>
      </c>
      <c r="I34" s="36">
        <v>1.1233</v>
      </c>
      <c r="J34" s="36">
        <v>1.1867000000000001</v>
      </c>
      <c r="K34" s="36">
        <v>1.25</v>
      </c>
      <c r="L34" s="36">
        <v>1.75</v>
      </c>
      <c r="M34" s="36">
        <v>2.25</v>
      </c>
      <c r="N34" s="35">
        <v>0.33</v>
      </c>
    </row>
    <row r="35" spans="1:14" ht="31.2" x14ac:dyDescent="0.25">
      <c r="A35" s="15" t="s">
        <v>61</v>
      </c>
      <c r="B35" s="1" t="str">
        <f>'Шаг 1'!B35</f>
        <v>Индекс цен производителей сельскохозяйственной продукции</v>
      </c>
      <c r="C35" s="1" t="str">
        <f>'Шаг 1'!C35</f>
        <v>в % к предыдущему году</v>
      </c>
      <c r="D35" s="1" t="str">
        <f>'Шаг 1'!D35</f>
        <v>возрастающий</v>
      </c>
      <c r="E35" s="36">
        <f t="shared" si="5"/>
        <v>1.579</v>
      </c>
      <c r="F35" s="36">
        <f t="shared" si="5"/>
        <v>1.25</v>
      </c>
      <c r="G35" s="36">
        <f t="shared" si="5"/>
        <v>1.0720000000000001</v>
      </c>
      <c r="H35" s="36">
        <v>1.06</v>
      </c>
      <c r="I35" s="36">
        <v>1.1233</v>
      </c>
      <c r="J35" s="36">
        <v>1.1867000000000001</v>
      </c>
      <c r="K35" s="36">
        <v>1.25</v>
      </c>
      <c r="L35" s="36">
        <v>1.75</v>
      </c>
      <c r="M35" s="36">
        <v>2.25</v>
      </c>
      <c r="N35" s="35">
        <v>0.33</v>
      </c>
    </row>
    <row r="36" spans="1:14" ht="15.6" x14ac:dyDescent="0.25">
      <c r="A36" s="15" t="s">
        <v>62</v>
      </c>
      <c r="B36" s="172" t="s">
        <v>63</v>
      </c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73"/>
    </row>
    <row r="37" spans="1:14" ht="31.2" x14ac:dyDescent="0.25">
      <c r="A37" s="15" t="s">
        <v>64</v>
      </c>
      <c r="B37" s="1" t="str">
        <f>'Шаг 1'!B37</f>
        <v>Реальные денежные доходы населения</v>
      </c>
      <c r="C37" s="1" t="str">
        <f>'Шаг 1'!C37</f>
        <v>% к предыдущему году</v>
      </c>
      <c r="D37" s="1" t="str">
        <f>'Шаг 1'!D37</f>
        <v>убывающий</v>
      </c>
      <c r="E37" s="36">
        <f t="shared" ref="E37:G38" si="6">C77/100</f>
        <v>1.0509999999999999</v>
      </c>
      <c r="F37" s="36">
        <f t="shared" si="6"/>
        <v>1.0880000000000001</v>
      </c>
      <c r="G37" s="36">
        <f t="shared" si="6"/>
        <v>1.129</v>
      </c>
      <c r="H37" s="36">
        <v>1</v>
      </c>
      <c r="I37" s="36">
        <v>0.98329999999999995</v>
      </c>
      <c r="J37" s="36">
        <v>0.9667</v>
      </c>
      <c r="K37" s="36">
        <v>0.95</v>
      </c>
      <c r="L37" s="36">
        <v>0.67859999999999998</v>
      </c>
      <c r="M37" s="36">
        <v>0.52780000000000005</v>
      </c>
      <c r="N37" s="35">
        <v>0.33</v>
      </c>
    </row>
    <row r="38" spans="1:14" ht="46.8" x14ac:dyDescent="0.25">
      <c r="A38" s="15" t="s">
        <v>65</v>
      </c>
      <c r="B38" s="1" t="str">
        <f>'Шаг 1'!B38</f>
        <v>Численность населения с денежными доходами ниже границы бедности/величины прожиточного минимума</v>
      </c>
      <c r="C38" s="1" t="str">
        <f>'Шаг 1'!C38</f>
        <v>в % от общей численности населения  субъекта</v>
      </c>
      <c r="D38" s="1" t="str">
        <f>'Шаг 1'!D38</f>
        <v>возрастающий</v>
      </c>
      <c r="E38" s="36">
        <f t="shared" si="6"/>
        <v>4.8000000000000001E-2</v>
      </c>
      <c r="F38" s="36">
        <f t="shared" si="6"/>
        <v>4.4000000000000004E-2</v>
      </c>
      <c r="G38" s="36">
        <f t="shared" si="6"/>
        <v>0.04</v>
      </c>
      <c r="H38" s="36">
        <v>7.0000000000000007E-2</v>
      </c>
      <c r="I38" s="36">
        <v>0.08</v>
      </c>
      <c r="J38" s="36">
        <v>0.09</v>
      </c>
      <c r="K38" s="36">
        <v>0.1</v>
      </c>
      <c r="L38" s="36">
        <v>0.14000000000000001</v>
      </c>
      <c r="M38" s="36">
        <v>0.18</v>
      </c>
      <c r="N38" s="35">
        <v>0.33</v>
      </c>
    </row>
    <row r="39" spans="1:14" ht="31.2" x14ac:dyDescent="0.25">
      <c r="A39" s="15" t="s">
        <v>67</v>
      </c>
      <c r="B39" s="1" t="str">
        <f>'Шаг 1'!B39</f>
        <v>Численность населения на одну больничную койку</v>
      </c>
      <c r="C39" s="1" t="str">
        <f>'Шаг 1'!C39</f>
        <v>человек</v>
      </c>
      <c r="D39" s="1" t="str">
        <f>'Шаг 1'!D39</f>
        <v>убывающий</v>
      </c>
      <c r="E39" s="35">
        <f>C79</f>
        <v>175</v>
      </c>
      <c r="F39" s="35">
        <f>D79</f>
        <v>173.2</v>
      </c>
      <c r="G39" s="35">
        <f>E79</f>
        <v>175.6</v>
      </c>
      <c r="H39" s="35">
        <v>130</v>
      </c>
      <c r="I39" s="35">
        <v>147</v>
      </c>
      <c r="J39" s="35">
        <v>163</v>
      </c>
      <c r="K39" s="35">
        <v>180</v>
      </c>
      <c r="L39" s="35">
        <v>252</v>
      </c>
      <c r="M39" s="35">
        <v>324</v>
      </c>
      <c r="N39" s="35">
        <v>0.33</v>
      </c>
    </row>
    <row r="40" spans="1:14" ht="15.6" x14ac:dyDescent="0.25">
      <c r="A40" s="15" t="s">
        <v>68</v>
      </c>
      <c r="B40" s="170" t="s">
        <v>69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71"/>
    </row>
    <row r="41" spans="1:14" ht="31.2" x14ac:dyDescent="0.25">
      <c r="A41" s="15" t="s">
        <v>70</v>
      </c>
      <c r="B41" s="1" t="str">
        <f>'Шаг 1'!B41</f>
        <v>Индекс физического объема природоохранных расходов</v>
      </c>
      <c r="C41" s="1" t="str">
        <f>'Шаг 1'!C41</f>
        <v>% к пред. году</v>
      </c>
      <c r="D41" s="1" t="str">
        <f>'Шаг 1'!D41</f>
        <v>убывающий</v>
      </c>
      <c r="E41" s="36">
        <f t="shared" ref="E41:G42" si="7">C80/100</f>
        <v>0.90300000000000002</v>
      </c>
      <c r="F41" s="36">
        <f t="shared" si="7"/>
        <v>0.99299999999999999</v>
      </c>
      <c r="G41" s="36">
        <f t="shared" si="7"/>
        <v>0.92299999999999993</v>
      </c>
      <c r="H41" s="36">
        <v>1</v>
      </c>
      <c r="I41" s="36">
        <v>0.98329999999999995</v>
      </c>
      <c r="J41" s="36">
        <v>0.9667</v>
      </c>
      <c r="K41" s="36">
        <v>0.95</v>
      </c>
      <c r="L41" s="36">
        <v>0.67859999999999998</v>
      </c>
      <c r="M41" s="36">
        <v>0.52780000000000005</v>
      </c>
      <c r="N41" s="35">
        <v>0.33</v>
      </c>
    </row>
    <row r="42" spans="1:14" ht="62.4" x14ac:dyDescent="0.25">
      <c r="A42" s="15" t="s">
        <v>72</v>
      </c>
      <c r="B42" s="1" t="str">
        <f>'Шаг 1'!B42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C42" s="1" t="str">
        <f>'Шаг 1'!C42</f>
        <v>%</v>
      </c>
      <c r="D42" s="1" t="str">
        <f>'Шаг 1'!D42</f>
        <v>убывающий</v>
      </c>
      <c r="E42" s="36">
        <f t="shared" si="7"/>
        <v>0.61</v>
      </c>
      <c r="F42" s="36">
        <f t="shared" si="7"/>
        <v>0.45500000000000002</v>
      </c>
      <c r="G42" s="36">
        <f t="shared" si="7"/>
        <v>0.46200000000000002</v>
      </c>
      <c r="H42" s="36">
        <v>0.75</v>
      </c>
      <c r="I42" s="36">
        <v>0.66669999999999996</v>
      </c>
      <c r="J42" s="36">
        <v>0.58330000000000004</v>
      </c>
      <c r="K42" s="36">
        <v>0.5</v>
      </c>
      <c r="L42" s="36">
        <v>0.35709999999999997</v>
      </c>
      <c r="M42" s="36">
        <v>0.27779999999999999</v>
      </c>
      <c r="N42" s="35">
        <v>0.33</v>
      </c>
    </row>
    <row r="43" spans="1:14" ht="31.8" thickBot="1" x14ac:dyDescent="0.3">
      <c r="A43" s="22" t="s">
        <v>73</v>
      </c>
      <c r="B43" s="1" t="str">
        <f>'Шаг 1'!B43</f>
        <v>Доля расходов на защиту окружающей среды в бюджете субьекта</v>
      </c>
      <c r="C43" s="1" t="str">
        <f>'Шаг 1'!C43</f>
        <v>%</v>
      </c>
      <c r="D43" s="1" t="str">
        <f>'Шаг 1'!D43</f>
        <v>убывающий</v>
      </c>
      <c r="E43" s="36">
        <f>C82/C83</f>
        <v>2.2178579065085932E-3</v>
      </c>
      <c r="F43" s="36">
        <f>D82/D83</f>
        <v>2.1824270440238902E-3</v>
      </c>
      <c r="G43" s="36">
        <f>E82/E83</f>
        <v>1.702530156228433E-3</v>
      </c>
      <c r="H43" s="36">
        <v>5.0000000000000001E-3</v>
      </c>
      <c r="I43" s="36">
        <v>4.0000000000000001E-3</v>
      </c>
      <c r="J43" s="36">
        <v>3.0000000000000001E-3</v>
      </c>
      <c r="K43" s="36">
        <v>2E-3</v>
      </c>
      <c r="L43" s="36">
        <v>1.5E-3</v>
      </c>
      <c r="M43" s="36">
        <v>1E-3</v>
      </c>
      <c r="N43" s="35">
        <v>0.33</v>
      </c>
    </row>
    <row r="45" spans="1:14" x14ac:dyDescent="0.25">
      <c r="A45" s="42" t="s">
        <v>99</v>
      </c>
      <c r="B45" s="43">
        <v>2021</v>
      </c>
      <c r="C45" s="43">
        <v>2022</v>
      </c>
      <c r="D45" s="43">
        <v>2023</v>
      </c>
      <c r="E45" s="43">
        <v>2024</v>
      </c>
      <c r="F45" s="44" t="s">
        <v>98</v>
      </c>
    </row>
    <row r="46" spans="1:14" ht="52.8" x14ac:dyDescent="0.25">
      <c r="A46" s="51" t="s">
        <v>7</v>
      </c>
      <c r="B46" s="38">
        <v>10.7</v>
      </c>
      <c r="C46" s="38">
        <v>10.8</v>
      </c>
      <c r="D46" s="38">
        <v>10.6</v>
      </c>
      <c r="E46" s="38">
        <v>10.7</v>
      </c>
      <c r="F46" s="41" t="s">
        <v>109</v>
      </c>
      <c r="G46" s="39" t="s">
        <v>110</v>
      </c>
      <c r="H46" s="39" t="s">
        <v>111</v>
      </c>
      <c r="I46" s="39" t="s">
        <v>112</v>
      </c>
    </row>
    <row r="47" spans="1:14" ht="52.8" x14ac:dyDescent="0.25">
      <c r="A47" s="51" t="s">
        <v>10</v>
      </c>
      <c r="B47" s="38">
        <v>54.7</v>
      </c>
      <c r="C47" s="38">
        <v>54.5</v>
      </c>
      <c r="D47" s="38">
        <v>54.9</v>
      </c>
      <c r="E47" s="38">
        <v>57</v>
      </c>
      <c r="F47" s="41" t="s">
        <v>109</v>
      </c>
      <c r="G47" s="39" t="s">
        <v>110</v>
      </c>
      <c r="H47" s="39" t="s">
        <v>111</v>
      </c>
      <c r="I47" s="39" t="s">
        <v>112</v>
      </c>
    </row>
    <row r="48" spans="1:14" ht="158.4" x14ac:dyDescent="0.25">
      <c r="A48" s="28" t="s">
        <v>102</v>
      </c>
      <c r="B48" s="38">
        <v>864170</v>
      </c>
      <c r="C48" s="38">
        <v>874563</v>
      </c>
      <c r="D48" s="38">
        <v>1000567</v>
      </c>
      <c r="E48" s="38">
        <v>1096750</v>
      </c>
      <c r="F48" s="41" t="s">
        <v>109</v>
      </c>
      <c r="G48" s="39" t="s">
        <v>110</v>
      </c>
      <c r="H48" s="39" t="s">
        <v>111</v>
      </c>
      <c r="I48" s="39" t="s">
        <v>112</v>
      </c>
    </row>
    <row r="49" spans="1:9" ht="105.6" x14ac:dyDescent="0.25">
      <c r="A49" s="33" t="s">
        <v>104</v>
      </c>
      <c r="B49" s="38">
        <v>4781.1099999999997</v>
      </c>
      <c r="C49" s="38">
        <v>5027.29</v>
      </c>
      <c r="D49" s="38">
        <v>5792.88</v>
      </c>
      <c r="E49" s="38">
        <v>5732.03</v>
      </c>
      <c r="F49" s="41" t="s">
        <v>113</v>
      </c>
      <c r="G49" s="39" t="s">
        <v>114</v>
      </c>
      <c r="H49" s="39" t="s">
        <v>115</v>
      </c>
      <c r="I49" s="29"/>
    </row>
    <row r="50" spans="1:9" ht="92.4" x14ac:dyDescent="0.25">
      <c r="A50" s="33" t="s">
        <v>105</v>
      </c>
      <c r="B50" s="38">
        <v>16127.88</v>
      </c>
      <c r="C50" s="38">
        <v>14082.32</v>
      </c>
      <c r="D50" s="38">
        <v>15228.25</v>
      </c>
      <c r="E50" s="38">
        <v>14871.79</v>
      </c>
      <c r="F50" s="41" t="s">
        <v>113</v>
      </c>
      <c r="G50" s="39" t="s">
        <v>114</v>
      </c>
      <c r="H50" s="39" t="s">
        <v>115</v>
      </c>
      <c r="I50" s="29"/>
    </row>
    <row r="51" spans="1:9" x14ac:dyDescent="0.25">
      <c r="A51" s="30" t="s">
        <v>116</v>
      </c>
      <c r="B51" s="38">
        <v>494161.14</v>
      </c>
      <c r="C51" s="38">
        <v>592076.53</v>
      </c>
      <c r="D51" s="38">
        <v>424748.23</v>
      </c>
      <c r="E51" s="38">
        <v>433634.04</v>
      </c>
      <c r="F51" s="41" t="s">
        <v>107</v>
      </c>
      <c r="G51" s="29"/>
      <c r="H51" s="29"/>
      <c r="I51" s="29"/>
    </row>
    <row r="52" spans="1:9" x14ac:dyDescent="0.25">
      <c r="A52" s="30" t="s">
        <v>117</v>
      </c>
      <c r="B52" s="38">
        <v>301046.90999999997</v>
      </c>
      <c r="C52" s="38">
        <v>276509.88</v>
      </c>
      <c r="D52" s="38">
        <v>303086.39</v>
      </c>
      <c r="E52" s="38">
        <v>301548.11</v>
      </c>
      <c r="F52" s="39" t="s">
        <v>107</v>
      </c>
      <c r="G52" s="29"/>
      <c r="H52" s="29"/>
      <c r="I52" s="29"/>
    </row>
    <row r="53" spans="1:9" x14ac:dyDescent="0.25">
      <c r="A53" s="34" t="s">
        <v>106</v>
      </c>
      <c r="B53" s="38">
        <v>73.668499999999995</v>
      </c>
      <c r="C53" s="38">
        <v>68.352199999999996</v>
      </c>
      <c r="D53" s="38">
        <v>85.811599999999999</v>
      </c>
      <c r="E53" s="38">
        <v>92.656700000000001</v>
      </c>
      <c r="F53" s="39" t="s">
        <v>108</v>
      </c>
      <c r="G53" s="29"/>
      <c r="H53" s="29"/>
      <c r="I53" s="29"/>
    </row>
    <row r="54" spans="1:9" ht="118.8" x14ac:dyDescent="0.25">
      <c r="A54" s="37" t="s">
        <v>22</v>
      </c>
      <c r="B54" s="32">
        <v>119.6</v>
      </c>
      <c r="C54" s="38">
        <v>104.4</v>
      </c>
      <c r="D54" s="38">
        <v>109.8</v>
      </c>
      <c r="E54" s="38">
        <v>104.4</v>
      </c>
      <c r="F54" s="41" t="s">
        <v>109</v>
      </c>
      <c r="G54" s="39" t="s">
        <v>110</v>
      </c>
      <c r="H54" s="39" t="s">
        <v>111</v>
      </c>
      <c r="I54" s="39" t="s">
        <v>112</v>
      </c>
    </row>
    <row r="55" spans="1:9" x14ac:dyDescent="0.25">
      <c r="A55" s="30" t="s">
        <v>24</v>
      </c>
      <c r="B55" s="27">
        <v>3.2</v>
      </c>
      <c r="C55" s="38">
        <v>4.4000000000000004</v>
      </c>
      <c r="D55" s="38">
        <v>4.9000000000000004</v>
      </c>
      <c r="E55" s="38">
        <v>4.8</v>
      </c>
      <c r="F55" s="41" t="s">
        <v>109</v>
      </c>
      <c r="G55" s="39" t="s">
        <v>110</v>
      </c>
      <c r="H55" s="39" t="s">
        <v>111</v>
      </c>
      <c r="I55" s="39" t="s">
        <v>112</v>
      </c>
    </row>
    <row r="56" spans="1:9" x14ac:dyDescent="0.25">
      <c r="A56" s="30" t="s">
        <v>118</v>
      </c>
      <c r="B56" s="38">
        <v>2.6</v>
      </c>
      <c r="C56" s="38">
        <v>3.2</v>
      </c>
      <c r="D56" s="38">
        <v>4.5999999999999996</v>
      </c>
      <c r="E56" s="38">
        <v>4.8</v>
      </c>
      <c r="F56" s="41" t="s">
        <v>109</v>
      </c>
      <c r="G56" s="39" t="s">
        <v>110</v>
      </c>
      <c r="H56" s="39" t="s">
        <v>111</v>
      </c>
      <c r="I56" s="39" t="s">
        <v>112</v>
      </c>
    </row>
    <row r="57" spans="1:9" x14ac:dyDescent="0.25">
      <c r="A57" s="30" t="s">
        <v>119</v>
      </c>
      <c r="B57" s="38">
        <v>10.3</v>
      </c>
      <c r="C57" s="38">
        <v>9.4</v>
      </c>
      <c r="D57" s="38">
        <v>9.1999999999999993</v>
      </c>
      <c r="E57" s="38">
        <v>9.1</v>
      </c>
      <c r="F57" s="39" t="s">
        <v>120</v>
      </c>
      <c r="G57" s="29"/>
      <c r="H57" s="29"/>
      <c r="I57" s="29"/>
    </row>
    <row r="58" spans="1:9" x14ac:dyDescent="0.25">
      <c r="A58" s="30" t="s">
        <v>80</v>
      </c>
      <c r="B58" s="38">
        <v>10</v>
      </c>
      <c r="C58" s="38">
        <v>9.6999999999999993</v>
      </c>
      <c r="D58" s="38">
        <v>8.8000000000000007</v>
      </c>
      <c r="E58" s="38">
        <v>8.9</v>
      </c>
      <c r="F58" s="39" t="s">
        <v>120</v>
      </c>
      <c r="G58" s="29"/>
      <c r="H58" s="29"/>
      <c r="I58" s="29"/>
    </row>
    <row r="59" spans="1:9" x14ac:dyDescent="0.25">
      <c r="A59" s="30" t="s">
        <v>122</v>
      </c>
      <c r="B59" s="38">
        <f>13015.1</f>
        <v>13015.1</v>
      </c>
      <c r="C59" s="45">
        <f>13104.2</f>
        <v>13104.2</v>
      </c>
      <c r="D59" s="38">
        <f>13149.8</f>
        <v>13149.8</v>
      </c>
      <c r="E59" s="38">
        <f>13274.3</f>
        <v>13274.3</v>
      </c>
      <c r="F59" s="39" t="s">
        <v>120</v>
      </c>
      <c r="G59" s="29"/>
      <c r="H59" s="29"/>
      <c r="I59" s="29"/>
    </row>
    <row r="60" spans="1:9" x14ac:dyDescent="0.25">
      <c r="A60" s="30" t="s">
        <v>121</v>
      </c>
      <c r="B60" s="38">
        <v>22866</v>
      </c>
      <c r="C60" s="38">
        <v>318882</v>
      </c>
      <c r="D60" s="38">
        <v>319601</v>
      </c>
      <c r="E60" s="38">
        <v>356045</v>
      </c>
      <c r="F60" s="39" t="s">
        <v>120</v>
      </c>
      <c r="G60" s="29"/>
      <c r="H60" s="29"/>
      <c r="I60" s="29"/>
    </row>
    <row r="61" spans="1:9" x14ac:dyDescent="0.25">
      <c r="A61" s="30" t="s">
        <v>36</v>
      </c>
      <c r="B61" s="38">
        <v>107.1</v>
      </c>
      <c r="C61" s="38">
        <v>111.7</v>
      </c>
      <c r="D61" s="38">
        <v>107.6</v>
      </c>
      <c r="E61" s="38">
        <v>110.1</v>
      </c>
      <c r="F61" s="41" t="s">
        <v>109</v>
      </c>
      <c r="G61" s="39" t="s">
        <v>110</v>
      </c>
      <c r="H61" s="39" t="s">
        <v>111</v>
      </c>
      <c r="I61" s="39" t="s">
        <v>112</v>
      </c>
    </row>
    <row r="62" spans="1:9" ht="118.8" x14ac:dyDescent="0.25">
      <c r="A62" s="28" t="s">
        <v>124</v>
      </c>
      <c r="B62" s="38">
        <v>3349411.1</v>
      </c>
      <c r="C62" s="38">
        <v>3671520.5</v>
      </c>
      <c r="D62" s="38">
        <v>4228414.0999999996</v>
      </c>
      <c r="E62" s="38">
        <v>5191858.3</v>
      </c>
      <c r="F62" s="41" t="s">
        <v>109</v>
      </c>
      <c r="G62" s="39" t="s">
        <v>110</v>
      </c>
      <c r="H62" s="39" t="s">
        <v>111</v>
      </c>
      <c r="I62" s="39" t="s">
        <v>112</v>
      </c>
    </row>
    <row r="63" spans="1:9" ht="105.6" x14ac:dyDescent="0.25">
      <c r="A63" s="28" t="s">
        <v>84</v>
      </c>
      <c r="B63" s="38">
        <v>109.3</v>
      </c>
      <c r="C63" s="38">
        <v>87.1</v>
      </c>
      <c r="D63" s="38">
        <v>107.5</v>
      </c>
      <c r="E63" s="38">
        <v>105</v>
      </c>
      <c r="F63" s="41" t="s">
        <v>109</v>
      </c>
      <c r="G63" s="39" t="s">
        <v>110</v>
      </c>
      <c r="H63" s="39" t="s">
        <v>111</v>
      </c>
      <c r="I63" s="39" t="s">
        <v>112</v>
      </c>
    </row>
    <row r="64" spans="1:9" ht="171.6" x14ac:dyDescent="0.25">
      <c r="A64" s="28" t="s">
        <v>125</v>
      </c>
      <c r="B64" s="38" t="s">
        <v>100</v>
      </c>
      <c r="C64" s="38">
        <v>208434</v>
      </c>
      <c r="D64" s="38">
        <v>210491</v>
      </c>
      <c r="E64" s="38">
        <v>215773</v>
      </c>
      <c r="F64" s="41" t="s">
        <v>109</v>
      </c>
      <c r="G64" s="39" t="s">
        <v>110</v>
      </c>
      <c r="H64" s="39" t="s">
        <v>111</v>
      </c>
      <c r="I64" s="39" t="s">
        <v>112</v>
      </c>
    </row>
    <row r="65" spans="1:10" ht="52.8" x14ac:dyDescent="0.25">
      <c r="A65" s="28" t="s">
        <v>126</v>
      </c>
      <c r="B65" s="38" t="s">
        <v>100</v>
      </c>
      <c r="C65" s="38">
        <f>7308.7 * 1000</f>
        <v>7308700</v>
      </c>
      <c r="D65" s="38">
        <f>7322.4*1000</f>
        <v>7322400</v>
      </c>
      <c r="E65" s="38">
        <f>7231.4*1000</f>
        <v>7231400</v>
      </c>
      <c r="F65" s="41" t="s">
        <v>109</v>
      </c>
      <c r="G65" s="39" t="s">
        <v>110</v>
      </c>
      <c r="H65" s="39" t="s">
        <v>111</v>
      </c>
      <c r="I65" s="39" t="s">
        <v>112</v>
      </c>
    </row>
    <row r="66" spans="1:10" ht="105.6" x14ac:dyDescent="0.25">
      <c r="A66" s="28" t="s">
        <v>127</v>
      </c>
      <c r="B66" s="38" t="s">
        <v>100</v>
      </c>
      <c r="C66" s="38">
        <v>825</v>
      </c>
      <c r="D66" s="38">
        <v>840</v>
      </c>
      <c r="E66" s="38">
        <v>880</v>
      </c>
      <c r="F66" s="41" t="s">
        <v>109</v>
      </c>
      <c r="G66" s="39" t="s">
        <v>110</v>
      </c>
      <c r="H66" s="39" t="s">
        <v>111</v>
      </c>
      <c r="I66" s="39" t="s">
        <v>112</v>
      </c>
    </row>
    <row r="67" spans="1:10" ht="39.6" x14ac:dyDescent="0.25">
      <c r="A67" s="28" t="s">
        <v>128</v>
      </c>
      <c r="B67" s="38" t="s">
        <v>100</v>
      </c>
      <c r="C67" s="47">
        <v>583411</v>
      </c>
      <c r="D67" s="47">
        <v>601810</v>
      </c>
      <c r="E67" s="47">
        <v>628266</v>
      </c>
      <c r="F67" s="41" t="s">
        <v>109</v>
      </c>
      <c r="G67" s="39" t="s">
        <v>110</v>
      </c>
      <c r="H67" s="39" t="s">
        <v>111</v>
      </c>
      <c r="I67" s="39" t="s">
        <v>112</v>
      </c>
    </row>
    <row r="68" spans="1:10" ht="105.6" x14ac:dyDescent="0.25">
      <c r="A68" s="28" t="s">
        <v>129</v>
      </c>
      <c r="B68" s="38" t="s">
        <v>100</v>
      </c>
      <c r="C68" s="38">
        <v>515912.9</v>
      </c>
      <c r="D68" s="38">
        <v>589336.19999999995</v>
      </c>
      <c r="E68" s="38">
        <v>670681.69999999995</v>
      </c>
      <c r="F68" s="41" t="s">
        <v>109</v>
      </c>
      <c r="G68" s="39" t="s">
        <v>110</v>
      </c>
      <c r="H68" s="39" t="s">
        <v>111</v>
      </c>
      <c r="I68" s="39" t="s">
        <v>112</v>
      </c>
      <c r="J68" s="46"/>
    </row>
    <row r="69" spans="1:10" x14ac:dyDescent="0.25">
      <c r="A69" s="28" t="s">
        <v>130</v>
      </c>
      <c r="B69" s="38" t="s">
        <v>100</v>
      </c>
      <c r="C69" s="38">
        <v>27726392.100000001</v>
      </c>
      <c r="D69" s="38">
        <v>32339001.600000001</v>
      </c>
      <c r="E69" s="38">
        <v>37700000</v>
      </c>
      <c r="F69" s="41" t="s">
        <v>109</v>
      </c>
      <c r="G69" s="39" t="s">
        <v>110</v>
      </c>
      <c r="H69" s="39" t="s">
        <v>111</v>
      </c>
      <c r="I69" s="39" t="s">
        <v>112</v>
      </c>
    </row>
    <row r="70" spans="1:10" ht="92.4" x14ac:dyDescent="0.25">
      <c r="A70" s="28" t="s">
        <v>52</v>
      </c>
      <c r="B70" s="38" t="s">
        <v>100</v>
      </c>
      <c r="C70" s="38">
        <v>115.5</v>
      </c>
      <c r="D70" s="38">
        <v>119</v>
      </c>
      <c r="E70" s="38">
        <v>119.3</v>
      </c>
      <c r="F70" s="41" t="s">
        <v>109</v>
      </c>
      <c r="G70" s="39" t="s">
        <v>110</v>
      </c>
      <c r="H70" s="39" t="s">
        <v>111</v>
      </c>
      <c r="I70" s="39" t="s">
        <v>112</v>
      </c>
    </row>
    <row r="71" spans="1:10" ht="132" x14ac:dyDescent="0.25">
      <c r="A71" s="28" t="s">
        <v>54</v>
      </c>
      <c r="B71" s="38" t="s">
        <v>100</v>
      </c>
      <c r="C71" s="38">
        <v>92.8</v>
      </c>
      <c r="D71" s="38">
        <v>70.8</v>
      </c>
      <c r="E71" s="38">
        <v>72.599999999999994</v>
      </c>
      <c r="F71" s="41" t="s">
        <v>109</v>
      </c>
      <c r="G71" s="39" t="s">
        <v>110</v>
      </c>
      <c r="H71" s="39" t="s">
        <v>111</v>
      </c>
      <c r="I71" s="39" t="s">
        <v>112</v>
      </c>
    </row>
    <row r="72" spans="1:10" ht="66" x14ac:dyDescent="0.25">
      <c r="A72" s="28" t="s">
        <v>131</v>
      </c>
      <c r="B72" s="38" t="s">
        <v>100</v>
      </c>
      <c r="C72" s="38">
        <v>0.3</v>
      </c>
      <c r="D72" s="38">
        <v>0</v>
      </c>
      <c r="E72" s="38">
        <v>0.4</v>
      </c>
      <c r="F72" s="41" t="s">
        <v>109</v>
      </c>
      <c r="G72" s="39" t="s">
        <v>110</v>
      </c>
      <c r="H72" s="39" t="s">
        <v>111</v>
      </c>
      <c r="I72" s="39" t="s">
        <v>112</v>
      </c>
    </row>
    <row r="73" spans="1:10" ht="52.8" x14ac:dyDescent="0.25">
      <c r="A73" s="28" t="s">
        <v>132</v>
      </c>
      <c r="B73" s="38" t="s">
        <v>100</v>
      </c>
      <c r="C73" s="38">
        <v>157.6</v>
      </c>
      <c r="D73" s="38">
        <v>145</v>
      </c>
      <c r="E73" s="38">
        <v>125.9</v>
      </c>
      <c r="F73" s="41" t="s">
        <v>109</v>
      </c>
      <c r="G73" s="39" t="s">
        <v>110</v>
      </c>
      <c r="H73" s="39" t="s">
        <v>111</v>
      </c>
      <c r="I73" s="39" t="s">
        <v>112</v>
      </c>
    </row>
    <row r="74" spans="1:10" ht="118.8" x14ac:dyDescent="0.25">
      <c r="A74" s="28" t="s">
        <v>59</v>
      </c>
      <c r="B74" s="38" t="s">
        <v>100</v>
      </c>
      <c r="C74" s="38">
        <v>109.4</v>
      </c>
      <c r="D74" s="38">
        <v>106.5</v>
      </c>
      <c r="E74" s="38">
        <v>111.2</v>
      </c>
      <c r="F74" s="41" t="s">
        <v>109</v>
      </c>
      <c r="G74" s="39" t="s">
        <v>110</v>
      </c>
      <c r="H74" s="39" t="s">
        <v>111</v>
      </c>
      <c r="I74" s="39" t="s">
        <v>112</v>
      </c>
    </row>
    <row r="75" spans="1:10" ht="118.8" x14ac:dyDescent="0.25">
      <c r="A75" s="28" t="s">
        <v>134</v>
      </c>
      <c r="B75" s="38" t="s">
        <v>100</v>
      </c>
      <c r="C75" s="38">
        <v>109</v>
      </c>
      <c r="D75" s="38">
        <v>106.3</v>
      </c>
      <c r="E75" s="38">
        <v>109.5</v>
      </c>
      <c r="F75" s="41" t="s">
        <v>109</v>
      </c>
      <c r="G75" s="39" t="s">
        <v>110</v>
      </c>
      <c r="H75" s="39" t="s">
        <v>111</v>
      </c>
      <c r="I75" s="39" t="s">
        <v>112</v>
      </c>
    </row>
    <row r="76" spans="1:10" ht="118.8" x14ac:dyDescent="0.25">
      <c r="A76" s="28" t="s">
        <v>135</v>
      </c>
      <c r="B76" s="38" t="s">
        <v>100</v>
      </c>
      <c r="C76" s="38">
        <v>157.9</v>
      </c>
      <c r="D76" s="38">
        <v>125</v>
      </c>
      <c r="E76" s="38">
        <v>107.2</v>
      </c>
      <c r="F76" s="41" t="s">
        <v>109</v>
      </c>
      <c r="G76" s="39" t="s">
        <v>110</v>
      </c>
      <c r="H76" s="39" t="s">
        <v>111</v>
      </c>
      <c r="I76" s="39" t="s">
        <v>112</v>
      </c>
    </row>
    <row r="77" spans="1:10" ht="92.4" x14ac:dyDescent="0.25">
      <c r="A77" s="28" t="s">
        <v>66</v>
      </c>
      <c r="B77" s="38" t="s">
        <v>100</v>
      </c>
      <c r="C77" s="38">
        <v>105.1</v>
      </c>
      <c r="D77" s="38">
        <v>108.8</v>
      </c>
      <c r="E77" s="38">
        <v>112.9</v>
      </c>
      <c r="F77" s="41" t="s">
        <v>109</v>
      </c>
      <c r="G77" s="39" t="s">
        <v>110</v>
      </c>
      <c r="H77" s="39" t="s">
        <v>111</v>
      </c>
      <c r="I77" s="39" t="s">
        <v>112</v>
      </c>
    </row>
    <row r="78" spans="1:10" ht="211.2" x14ac:dyDescent="0.25">
      <c r="A78" s="28" t="s">
        <v>86</v>
      </c>
      <c r="B78" s="38" t="s">
        <v>100</v>
      </c>
      <c r="C78" s="38">
        <v>4.8</v>
      </c>
      <c r="D78" s="38">
        <v>4.4000000000000004</v>
      </c>
      <c r="E78" s="38">
        <v>4</v>
      </c>
      <c r="F78" s="41" t="s">
        <v>109</v>
      </c>
      <c r="G78" s="39" t="s">
        <v>110</v>
      </c>
      <c r="H78" s="39" t="s">
        <v>111</v>
      </c>
      <c r="I78" s="39" t="s">
        <v>112</v>
      </c>
    </row>
    <row r="79" spans="1:10" ht="105.6" x14ac:dyDescent="0.25">
      <c r="A79" s="28" t="s">
        <v>87</v>
      </c>
      <c r="B79" s="38" t="s">
        <v>100</v>
      </c>
      <c r="C79" s="38">
        <v>175</v>
      </c>
      <c r="D79" s="38">
        <v>173.2</v>
      </c>
      <c r="E79" s="38">
        <v>175.6</v>
      </c>
      <c r="F79" s="41" t="s">
        <v>109</v>
      </c>
      <c r="G79" s="39" t="s">
        <v>110</v>
      </c>
      <c r="H79" s="39" t="s">
        <v>111</v>
      </c>
      <c r="I79" s="39" t="s">
        <v>112</v>
      </c>
    </row>
    <row r="80" spans="1:10" ht="118.8" x14ac:dyDescent="0.25">
      <c r="A80" s="28" t="s">
        <v>71</v>
      </c>
      <c r="B80" s="38" t="s">
        <v>100</v>
      </c>
      <c r="C80" s="38">
        <v>90.3</v>
      </c>
      <c r="D80" s="38">
        <v>99.3</v>
      </c>
      <c r="E80" s="38">
        <v>92.3</v>
      </c>
      <c r="F80" s="41" t="s">
        <v>109</v>
      </c>
      <c r="G80" s="39" t="s">
        <v>110</v>
      </c>
      <c r="H80" s="39" t="s">
        <v>111</v>
      </c>
      <c r="I80" s="39" t="s">
        <v>112</v>
      </c>
    </row>
    <row r="81" spans="1:9" ht="290.39999999999998" x14ac:dyDescent="0.25">
      <c r="A81" s="50" t="s">
        <v>90</v>
      </c>
      <c r="B81" s="38" t="s">
        <v>100</v>
      </c>
      <c r="C81" s="38">
        <v>61</v>
      </c>
      <c r="D81" s="38">
        <v>45.5</v>
      </c>
      <c r="E81" s="38">
        <v>46.2</v>
      </c>
      <c r="F81" s="41" t="s">
        <v>109</v>
      </c>
      <c r="G81" s="39" t="s">
        <v>110</v>
      </c>
      <c r="H81" s="39" t="s">
        <v>111</v>
      </c>
      <c r="I81" s="39" t="s">
        <v>112</v>
      </c>
    </row>
    <row r="82" spans="1:9" ht="105.6" x14ac:dyDescent="0.25">
      <c r="A82" s="28" t="s">
        <v>137</v>
      </c>
      <c r="B82" s="38" t="s">
        <v>100</v>
      </c>
      <c r="C82" s="38">
        <v>8021</v>
      </c>
      <c r="D82" s="38">
        <v>9642</v>
      </c>
      <c r="E82" s="38">
        <v>8876</v>
      </c>
      <c r="F82" s="41" t="s">
        <v>109</v>
      </c>
      <c r="G82" s="39" t="s">
        <v>110</v>
      </c>
      <c r="H82" s="39" t="s">
        <v>111</v>
      </c>
      <c r="I82" s="39" t="s">
        <v>112</v>
      </c>
    </row>
    <row r="83" spans="1:9" ht="132" x14ac:dyDescent="0.25">
      <c r="A83" s="52" t="s">
        <v>138</v>
      </c>
      <c r="B83" s="53" t="s">
        <v>100</v>
      </c>
      <c r="C83" s="53">
        <v>3616552.7</v>
      </c>
      <c r="D83" s="53">
        <v>4418017.0999999996</v>
      </c>
      <c r="E83" s="53">
        <v>5213417.2</v>
      </c>
      <c r="F83" s="41" t="s">
        <v>109</v>
      </c>
      <c r="G83" s="39" t="s">
        <v>110</v>
      </c>
      <c r="H83" s="39" t="s">
        <v>111</v>
      </c>
      <c r="I83" s="39" t="s">
        <v>112</v>
      </c>
    </row>
    <row r="84" spans="1:9" x14ac:dyDescent="0.25">
      <c r="A84" s="58"/>
      <c r="B84" s="59" t="s">
        <v>100</v>
      </c>
      <c r="C84" s="59"/>
      <c r="D84" s="59"/>
      <c r="E84" s="59"/>
      <c r="F84" s="60"/>
      <c r="G84" s="61"/>
      <c r="H84" s="61"/>
      <c r="I84" s="61"/>
    </row>
    <row r="85" spans="1:9" x14ac:dyDescent="0.25">
      <c r="A85" s="54"/>
      <c r="B85" s="55" t="s">
        <v>100</v>
      </c>
      <c r="C85" s="55"/>
      <c r="D85" s="55"/>
      <c r="E85" s="55"/>
      <c r="F85" s="56"/>
      <c r="G85" s="57"/>
      <c r="H85" s="57"/>
      <c r="I85" s="57"/>
    </row>
    <row r="86" spans="1:9" x14ac:dyDescent="0.25">
      <c r="A86" s="54"/>
      <c r="B86" s="55" t="s">
        <v>100</v>
      </c>
      <c r="C86" s="55"/>
      <c r="D86" s="55"/>
      <c r="E86" s="55"/>
      <c r="F86" s="56"/>
      <c r="G86" s="57"/>
      <c r="H86" s="57"/>
      <c r="I86" s="57"/>
    </row>
    <row r="87" spans="1:9" x14ac:dyDescent="0.25">
      <c r="A87" s="54"/>
      <c r="B87" s="55" t="s">
        <v>100</v>
      </c>
      <c r="C87" s="55"/>
      <c r="D87" s="55"/>
      <c r="E87" s="55"/>
      <c r="F87" s="56"/>
      <c r="G87" s="57"/>
      <c r="H87" s="57"/>
      <c r="I87" s="57"/>
    </row>
  </sheetData>
  <mergeCells count="12">
    <mergeCell ref="B24:N24"/>
    <mergeCell ref="B23:N23"/>
    <mergeCell ref="B40:N40"/>
    <mergeCell ref="B36:N36"/>
    <mergeCell ref="B32:N32"/>
    <mergeCell ref="B28:N28"/>
    <mergeCell ref="B2:N2"/>
    <mergeCell ref="B3:N3"/>
    <mergeCell ref="B11:N11"/>
    <mergeCell ref="B7:N7"/>
    <mergeCell ref="B19:N19"/>
    <mergeCell ref="B15:N15"/>
  </mergeCells>
  <phoneticPr fontId="13" type="noConversion"/>
  <hyperlinks>
    <hyperlink ref="I46" r:id="rId1" xr:uid="{3CD31760-207C-4E25-B533-DC7E68E6417D}"/>
    <hyperlink ref="G49" r:id="rId2" xr:uid="{A0FBF637-9A75-4A07-9932-A7AF83056336}"/>
    <hyperlink ref="H49" r:id="rId3" xr:uid="{F444C53E-A031-46B2-A01A-7E60ADA91119}"/>
    <hyperlink ref="G50" r:id="rId4" xr:uid="{7A8BC6DB-59FB-4DF1-8B9A-9F3CDC363E70}"/>
    <hyperlink ref="H50" r:id="rId5" xr:uid="{15A90F44-C4EA-4566-BC69-0CA300C7E921}"/>
    <hyperlink ref="F49" r:id="rId6" xr:uid="{69150BC1-D3AE-4255-97B2-7D45AAF9B54F}"/>
    <hyperlink ref="F50" r:id="rId7" xr:uid="{C789A86A-1318-4490-B3EA-7CA6608492BF}"/>
    <hyperlink ref="F51" r:id="rId8" xr:uid="{8A62A7D0-8992-4FD3-A5C3-2FA824CBDC9E}"/>
    <hyperlink ref="F52" r:id="rId9" xr:uid="{1046FE6B-9E66-4D8E-8800-9426071A5F14}"/>
    <hyperlink ref="F53" r:id="rId10" display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xr:uid="{D5127706-5343-4283-9A72-0C5F87074C12}"/>
    <hyperlink ref="G46" r:id="rId11" xr:uid="{CCB73B5C-9E91-4C93-B5CC-8088C037AA0F}"/>
    <hyperlink ref="F46" r:id="rId12" xr:uid="{182BFF0C-A3DC-48CD-BB6F-D2A56B3F60E3}"/>
    <hyperlink ref="H46" r:id="rId13" xr:uid="{58DBE087-1460-4B82-A3B2-2584D4CEF463}"/>
    <hyperlink ref="I47" r:id="rId14" xr:uid="{CD183274-FCD9-4981-972E-F6D49458B91B}"/>
    <hyperlink ref="I48" r:id="rId15" xr:uid="{9D664EE6-CA02-472E-97AB-98A2CFD77FD3}"/>
    <hyperlink ref="G47" r:id="rId16" xr:uid="{3D526A0D-479F-499F-8E9E-80D45E104043}"/>
    <hyperlink ref="G48" r:id="rId17" xr:uid="{7BE2BB19-EED5-4A74-8025-66E7F0C98780}"/>
    <hyperlink ref="F47" r:id="rId18" xr:uid="{1801C0DC-2140-42D3-B97A-CC094B501FB2}"/>
    <hyperlink ref="F48" r:id="rId19" xr:uid="{AD1374DA-7B42-4071-BA50-A2673AA32673}"/>
    <hyperlink ref="H47" r:id="rId20" xr:uid="{EBB05F38-04A7-43A1-9EC1-CAC81312558F}"/>
    <hyperlink ref="H48" r:id="rId21" xr:uid="{6ED5BB0F-4A05-4504-8098-6DBC7B82188E}"/>
    <hyperlink ref="I54" r:id="rId22" xr:uid="{088D36F0-1D09-4658-8D2C-111426CDC997}"/>
    <hyperlink ref="G54" r:id="rId23" xr:uid="{BF15D988-6B6F-42CA-A6FB-E095176AAA0B}"/>
    <hyperlink ref="F54" r:id="rId24" xr:uid="{6341AB44-E2FD-420A-AE51-DBD927C62C03}"/>
    <hyperlink ref="H54" r:id="rId25" xr:uid="{73419F21-90A2-440C-8124-ADE51F1C21AD}"/>
    <hyperlink ref="I55" r:id="rId26" xr:uid="{0C93A996-DA9A-42EA-AC74-24329005534E}"/>
    <hyperlink ref="G55" r:id="rId27" xr:uid="{83896522-AE38-4761-A977-47597266F98B}"/>
    <hyperlink ref="F55" r:id="rId28" xr:uid="{2FA0F9C1-2E37-48E5-9D95-0B31D8A1B320}"/>
    <hyperlink ref="H55" r:id="rId29" xr:uid="{3F63A5F5-333A-4E34-91F5-1B2BF84CE649}"/>
    <hyperlink ref="I56" r:id="rId30" xr:uid="{D714D64E-B97B-4CF8-A619-840A5429B713}"/>
    <hyperlink ref="G56" r:id="rId31" xr:uid="{A4203C0F-5E4F-4585-95A8-6B67B9E44C6E}"/>
    <hyperlink ref="F56" r:id="rId32" xr:uid="{1402F5D0-F43A-489C-A6E0-FC0DD76268F3}"/>
    <hyperlink ref="H56" r:id="rId33" xr:uid="{E808D87D-EDF7-4AEC-B122-8790F761C5E8}"/>
    <hyperlink ref="F57" r:id="rId34" xr:uid="{25B0C16E-0096-4D97-989C-8DB3865A3139}"/>
    <hyperlink ref="F58" r:id="rId35" xr:uid="{888A24DC-064F-4F2B-9638-056A88ED9837}"/>
    <hyperlink ref="F59" r:id="rId36" xr:uid="{F023671B-58FA-4EE9-9C7B-5503E7FBD6BE}"/>
    <hyperlink ref="F60" r:id="rId37" xr:uid="{7E2E917D-C6BF-49B8-8436-07E9231BDCAD}"/>
    <hyperlink ref="I61" r:id="rId38" xr:uid="{D7219FB9-B0C3-4209-B221-6D982C893E30}"/>
    <hyperlink ref="G61" r:id="rId39" xr:uid="{E7C59DC1-F062-4F4F-9B22-2E6811683AA9}"/>
    <hyperlink ref="F61" r:id="rId40" xr:uid="{C165E4D4-2842-4910-ACAB-32B4F132A48E}"/>
    <hyperlink ref="H61" r:id="rId41" xr:uid="{FD5FE35B-E354-447D-BC8C-3B28C70C604D}"/>
    <hyperlink ref="I62" r:id="rId42" xr:uid="{6A915B47-D87B-4282-8079-ED0E5441A8A5}"/>
    <hyperlink ref="G62" r:id="rId43" xr:uid="{F14E3AE7-AE95-4B79-8DF7-941EF30D56FE}"/>
    <hyperlink ref="F62" r:id="rId44" xr:uid="{967A50F0-4607-4F4B-B5D4-5B5342AE1020}"/>
    <hyperlink ref="H62" r:id="rId45" xr:uid="{FBB123D5-3A91-48AA-9B4F-A5C3DC5D3EAC}"/>
    <hyperlink ref="I63" r:id="rId46" xr:uid="{02424F2B-DEA0-4E63-8E21-5361B57B8ED7}"/>
    <hyperlink ref="G63" r:id="rId47" xr:uid="{8595083A-E0FA-4276-8A47-7E04EBC66C63}"/>
    <hyperlink ref="F63" r:id="rId48" xr:uid="{3887E99B-F344-466A-AF57-87B77D0275AB}"/>
    <hyperlink ref="H63" r:id="rId49" xr:uid="{E9CA0422-1FF6-46D2-86CE-9247382E81AC}"/>
    <hyperlink ref="I64" r:id="rId50" xr:uid="{FB0D5C53-706C-434D-9A0C-32AA111DFFDD}"/>
    <hyperlink ref="G64" r:id="rId51" xr:uid="{4DBE6771-B3BE-4DC2-9740-A28321DB39D1}"/>
    <hyperlink ref="F64" r:id="rId52" xr:uid="{4789A9FB-F44D-4A75-BA62-4981F3912418}"/>
    <hyperlink ref="H64" r:id="rId53" xr:uid="{A07C5E30-E3FB-4BC7-9616-590952E56E76}"/>
    <hyperlink ref="I65" r:id="rId54" xr:uid="{53A19025-3B20-4CA0-B56A-30615BE8D69E}"/>
    <hyperlink ref="G65" r:id="rId55" xr:uid="{C70D5CA1-D7BC-47CE-9927-52E5DB2A86ED}"/>
    <hyperlink ref="F65" r:id="rId56" xr:uid="{3B631C12-A7BC-42F3-A5D0-79F0BED0A64A}"/>
    <hyperlink ref="H65" r:id="rId57" xr:uid="{ABDFD837-1281-4A52-9420-508CB497C8E1}"/>
    <hyperlink ref="I66" r:id="rId58" xr:uid="{6973D9ED-9827-49DA-AA8C-2635850881ED}"/>
    <hyperlink ref="G66" r:id="rId59" xr:uid="{CF3E8F19-BD74-4E47-91BC-E294624299C2}"/>
    <hyperlink ref="F66" r:id="rId60" xr:uid="{790C2526-8FFD-4B9C-AD51-FA130B22A176}"/>
    <hyperlink ref="H66" r:id="rId61" xr:uid="{14C4055A-004D-4255-8548-15D89D5EDD44}"/>
    <hyperlink ref="I67" r:id="rId62" xr:uid="{2DCE9319-96B1-4DAD-BE02-89A8893DB21E}"/>
    <hyperlink ref="I68" r:id="rId63" xr:uid="{C8E423B9-01B7-4AA3-B6C0-FCFC9F775A69}"/>
    <hyperlink ref="I69" r:id="rId64" xr:uid="{D683967E-6555-45AF-9E2E-BF183301B56C}"/>
    <hyperlink ref="I70" r:id="rId65" xr:uid="{0FD20A81-BE9A-4A30-9A74-35FDA9AEBCFE}"/>
    <hyperlink ref="I71" r:id="rId66" xr:uid="{5E589C4D-38EE-40F9-891B-5C6C05920BBC}"/>
    <hyperlink ref="I72" r:id="rId67" xr:uid="{C762C817-2077-495D-98BB-BA8D446F164A}"/>
    <hyperlink ref="I73" r:id="rId68" xr:uid="{D6086EA0-4977-478C-956B-136612292063}"/>
    <hyperlink ref="G67" r:id="rId69" xr:uid="{4F8E2F77-A19E-4937-A760-A208EEF98B8B}"/>
    <hyperlink ref="G68" r:id="rId70" xr:uid="{8DD98BC3-0977-4EAF-9B32-EFD636B25CDA}"/>
    <hyperlink ref="G69" r:id="rId71" xr:uid="{8D4974A8-5E84-4858-ABEA-01A6F1463B0C}"/>
    <hyperlink ref="G70" r:id="rId72" xr:uid="{C13CA686-2347-408E-82D2-921E4D08DF63}"/>
    <hyperlink ref="G71" r:id="rId73" xr:uid="{E05CA059-3A08-4098-B28A-69D9BFB369FB}"/>
    <hyperlink ref="G72" r:id="rId74" xr:uid="{9771DC67-46C7-4216-8AB6-DC9AA36801F7}"/>
    <hyperlink ref="G73" r:id="rId75" xr:uid="{B4432D41-FE6C-48F9-8C6F-30A0A699E87D}"/>
    <hyperlink ref="F67" r:id="rId76" xr:uid="{B7C451FD-FF67-4491-A98D-65442E089140}"/>
    <hyperlink ref="F68" r:id="rId77" xr:uid="{05C27FC7-A7D3-451E-800C-565AF64B56C8}"/>
    <hyperlink ref="F69" r:id="rId78" xr:uid="{B953EE96-0313-4DAD-BF62-A48FF770CA20}"/>
    <hyperlink ref="F70" r:id="rId79" xr:uid="{277C3FF3-61E0-44A7-B647-3CCF1A221B08}"/>
    <hyperlink ref="F71" r:id="rId80" xr:uid="{4593A5CC-57F5-4E14-B1D2-FA7819617B89}"/>
    <hyperlink ref="F72" r:id="rId81" xr:uid="{0FD3F773-F9F9-4A98-B6B7-511E21BAA335}"/>
    <hyperlink ref="F73" r:id="rId82" xr:uid="{964B4CC8-6CB9-48A2-A570-18C75C44C874}"/>
    <hyperlink ref="H67" r:id="rId83" xr:uid="{D7B9869A-D987-4C94-8C34-4F31265F42EF}"/>
    <hyperlink ref="H68" r:id="rId84" xr:uid="{EAF0300F-262D-467E-A844-E8B44BA55AEB}"/>
    <hyperlink ref="H69" r:id="rId85" xr:uid="{E44B5D68-7430-454C-B76F-5633637365DC}"/>
    <hyperlink ref="H70" r:id="rId86" xr:uid="{01EDB4E2-6856-4C65-B9AF-2547DE083973}"/>
    <hyperlink ref="H71" r:id="rId87" xr:uid="{DCB2541E-DDFF-4BF1-8791-D2B88A7A44B5}"/>
    <hyperlink ref="H72" r:id="rId88" xr:uid="{344F0C77-09EA-413D-81F3-21A228BD56C1}"/>
    <hyperlink ref="H73" r:id="rId89" xr:uid="{2E67FE88-55ED-40F7-B308-CBD3E37473A9}"/>
    <hyperlink ref="I74" r:id="rId90" xr:uid="{D9B6B7CF-B1EB-4D30-848A-F561FBCEF7A6}"/>
    <hyperlink ref="G74" r:id="rId91" xr:uid="{BA66286C-5F09-471F-963E-BF9AB0DC3331}"/>
    <hyperlink ref="F74" r:id="rId92" xr:uid="{5937C433-087E-4E8E-9CE0-9281F506FECC}"/>
    <hyperlink ref="H74" r:id="rId93" xr:uid="{026BC6B5-9833-409E-825C-3DC7DA0F78FE}"/>
    <hyperlink ref="I75" r:id="rId94" xr:uid="{9CEFDD75-4B72-46EF-A788-2D49737588DE}"/>
    <hyperlink ref="G75" r:id="rId95" xr:uid="{42A24005-E147-4900-8AEE-667066A9332E}"/>
    <hyperlink ref="F75" r:id="rId96" xr:uid="{B22C630F-0080-4325-AAAD-00A723E75214}"/>
    <hyperlink ref="H75" r:id="rId97" xr:uid="{CD2323DF-384E-490C-AC1E-69312C1B8E0B}"/>
    <hyperlink ref="I76" r:id="rId98" xr:uid="{73C95628-E2A1-42D7-88CD-A9AB52B1FEEF}"/>
    <hyperlink ref="G76" r:id="rId99" xr:uid="{29D968FB-BE08-4648-93DE-20644F8A055B}"/>
    <hyperlink ref="F76" r:id="rId100" xr:uid="{82504743-EBF8-4496-AF2F-7571F47A9C0E}"/>
    <hyperlink ref="H76" r:id="rId101" xr:uid="{AAF36947-3785-451B-8DD4-B5CCF2834194}"/>
    <hyperlink ref="I77" r:id="rId102" xr:uid="{81DF5B55-0FA2-4C49-AEB9-1792CB68F63C}"/>
    <hyperlink ref="G77" r:id="rId103" xr:uid="{C10C2108-4968-4DEE-A1EE-10309E0A11E8}"/>
    <hyperlink ref="F77" r:id="rId104" xr:uid="{15359C1E-4781-44CA-91B8-3D0E13859867}"/>
    <hyperlink ref="H77" r:id="rId105" xr:uid="{BE437725-DC31-43AB-844A-AAA283320D6F}"/>
    <hyperlink ref="I78" r:id="rId106" xr:uid="{4A0A2501-2435-4D6E-94F2-01323B74426F}"/>
    <hyperlink ref="G78" r:id="rId107" xr:uid="{EE18A13A-5531-4C22-82AC-41D014AAE367}"/>
    <hyperlink ref="F78" r:id="rId108" xr:uid="{949CDFD5-6016-485E-8558-CFFFA82510BD}"/>
    <hyperlink ref="H78" r:id="rId109" xr:uid="{DB6343F1-30DF-406B-8952-B0B465604519}"/>
    <hyperlink ref="I79" r:id="rId110" xr:uid="{DAA73AC5-AA2A-45EB-8061-3AF55B77B03B}"/>
    <hyperlink ref="G79" r:id="rId111" xr:uid="{9093213F-2C0F-4604-BF9F-D0BE14327E94}"/>
    <hyperlink ref="F79" r:id="rId112" xr:uid="{81DCCFA1-22AD-4F5B-A73B-8FBEB60A3D70}"/>
    <hyperlink ref="H79" r:id="rId113" xr:uid="{7FA5E0B0-A54B-4328-BDCC-090E0E7AC681}"/>
    <hyperlink ref="I80" r:id="rId114" xr:uid="{500C4942-C151-4334-8119-7FAC9599AE47}"/>
    <hyperlink ref="G80" r:id="rId115" xr:uid="{A2F4AE3B-0957-4E53-AD02-B068679EDC9E}"/>
    <hyperlink ref="F80" r:id="rId116" xr:uid="{D17E95BB-D621-4A83-9FF1-877574A37FB4}"/>
    <hyperlink ref="H80" r:id="rId117" xr:uid="{6E8B3391-CF26-4CE1-9302-12948BD334A5}"/>
    <hyperlink ref="I81" r:id="rId118" xr:uid="{0BCF9758-D36D-49DF-9F45-71DCF67CE9FF}"/>
    <hyperlink ref="G81" r:id="rId119" xr:uid="{DF453573-0DE9-4E55-8ABD-001B24F1060D}"/>
    <hyperlink ref="F81" r:id="rId120" xr:uid="{08AAA6CE-75DB-4994-915F-57B0BD857559}"/>
    <hyperlink ref="H81" r:id="rId121" xr:uid="{5285ABCC-F61A-44FF-B183-FDA10052698C}"/>
    <hyperlink ref="I82" r:id="rId122" xr:uid="{FEEF16E3-D5BE-4C6E-97C3-E53A99E0715A}"/>
    <hyperlink ref="G82" r:id="rId123" xr:uid="{3FEA6503-56D1-458D-8E31-9BDC25DC3F91}"/>
    <hyperlink ref="F82" r:id="rId124" xr:uid="{BD9E20C9-AA1E-4F7E-8C1C-B13EBC99276F}"/>
    <hyperlink ref="H82" r:id="rId125" xr:uid="{3D0D9DD0-2CCF-4F8E-96F5-EA0B4BA1B10E}"/>
    <hyperlink ref="I83" r:id="rId126" xr:uid="{D6892E9D-C066-40F2-B147-FAE7B4EB0CA6}"/>
    <hyperlink ref="G83" r:id="rId127" xr:uid="{604850C0-36A1-4E0E-A13A-56425558CA4B}"/>
    <hyperlink ref="F83" r:id="rId128" xr:uid="{3671D65E-9F5B-4C0D-A458-CA0A3BE5B60C}"/>
    <hyperlink ref="H83" r:id="rId129" xr:uid="{A5F431CD-83F9-4D15-8379-98B464E7F40F}"/>
  </hyperlinks>
  <pageMargins left="0.7" right="0.7" top="0.75" bottom="0.75" header="0.3" footer="0.3"/>
  <pageSetup paperSize="9" orientation="portrait" r:id="rId130"/>
  <ignoredErrors>
    <ignoredError sqref="E9:G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E039E-735D-4EEA-9A33-60E6E8AF066B}">
  <dimension ref="A1:W44"/>
  <sheetViews>
    <sheetView zoomScale="70" zoomScaleNormal="70" workbookViewId="0">
      <pane ySplit="2" topLeftCell="A29" activePane="bottomLeft" state="frozen"/>
      <selection pane="bottomLeft" activeCell="N40" sqref="N40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3" width="22.33203125" style="40" customWidth="1"/>
    <col min="4" max="4" width="17.6640625" style="40" customWidth="1"/>
    <col min="5" max="8" width="15.33203125" style="40" bestFit="1" customWidth="1"/>
    <col min="9" max="10" width="8.88671875" style="40"/>
    <col min="11" max="11" width="15.33203125" style="40" bestFit="1" customWidth="1"/>
    <col min="12" max="14" width="8.88671875" style="40"/>
    <col min="15" max="15" width="70.88671875" style="40" customWidth="1"/>
    <col min="16" max="16" width="36.6640625" style="40" customWidth="1"/>
    <col min="17" max="17" width="15.109375" style="40" customWidth="1"/>
    <col min="18" max="18" width="12.6640625" style="40" bestFit="1" customWidth="1"/>
    <col min="19" max="19" width="14.109375" style="40" bestFit="1" customWidth="1"/>
    <col min="20" max="22" width="15.33203125" style="40" bestFit="1" customWidth="1"/>
    <col min="23" max="23" width="14.109375" style="40" bestFit="1" customWidth="1"/>
    <col min="24" max="16384" width="8.88671875" style="40"/>
  </cols>
  <sheetData>
    <row r="1" spans="1:23" ht="15" customHeight="1" x14ac:dyDescent="0.25">
      <c r="A1" s="121" t="s">
        <v>0</v>
      </c>
      <c r="B1" s="121" t="s">
        <v>1</v>
      </c>
      <c r="C1" s="121" t="s">
        <v>2</v>
      </c>
      <c r="D1" s="121" t="s">
        <v>74</v>
      </c>
      <c r="E1" s="119">
        <v>2022</v>
      </c>
      <c r="F1" s="119"/>
      <c r="G1" s="119"/>
      <c r="H1" s="119">
        <v>2023</v>
      </c>
      <c r="I1" s="119"/>
      <c r="J1" s="119"/>
      <c r="K1" s="119">
        <v>2024</v>
      </c>
      <c r="L1" s="119"/>
      <c r="M1" s="119"/>
    </row>
    <row r="2" spans="1:23" ht="14.4" customHeight="1" x14ac:dyDescent="0.25">
      <c r="A2" s="121"/>
      <c r="B2" s="121"/>
      <c r="C2" s="121"/>
      <c r="D2" s="121"/>
      <c r="E2" s="63" t="s">
        <v>140</v>
      </c>
      <c r="F2" s="63" t="s">
        <v>141</v>
      </c>
      <c r="G2" s="63" t="s">
        <v>142</v>
      </c>
      <c r="H2" s="63" t="s">
        <v>140</v>
      </c>
      <c r="I2" s="63" t="s">
        <v>141</v>
      </c>
      <c r="J2" s="63" t="s">
        <v>142</v>
      </c>
      <c r="K2" s="63" t="s">
        <v>140</v>
      </c>
      <c r="L2" s="63" t="s">
        <v>141</v>
      </c>
      <c r="M2" s="63" t="s">
        <v>142</v>
      </c>
    </row>
    <row r="3" spans="1:23" ht="15.6" x14ac:dyDescent="0.25">
      <c r="A3" s="72">
        <v>1</v>
      </c>
      <c r="B3" s="178" t="s">
        <v>3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O3" s="119" t="s">
        <v>146</v>
      </c>
      <c r="P3" s="119"/>
      <c r="Q3" s="119"/>
      <c r="R3" s="119"/>
      <c r="S3" s="119"/>
      <c r="T3" s="119"/>
      <c r="U3" s="119"/>
      <c r="V3" s="119"/>
      <c r="W3" s="119"/>
    </row>
    <row r="4" spans="1:23" ht="15.6" x14ac:dyDescent="0.25">
      <c r="A4" s="73" t="s">
        <v>4</v>
      </c>
      <c r="B4" s="179" t="s">
        <v>5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O4" s="97" t="s">
        <v>147</v>
      </c>
      <c r="P4" s="97" t="s">
        <v>2</v>
      </c>
      <c r="Q4" s="97" t="s">
        <v>74</v>
      </c>
      <c r="R4" s="97" t="s">
        <v>91</v>
      </c>
      <c r="S4" s="97" t="s">
        <v>92</v>
      </c>
      <c r="T4" s="97" t="s">
        <v>93</v>
      </c>
      <c r="U4" s="97" t="s">
        <v>94</v>
      </c>
      <c r="V4" s="97" t="s">
        <v>95</v>
      </c>
      <c r="W4" s="97" t="s">
        <v>96</v>
      </c>
    </row>
    <row r="5" spans="1:23" ht="15.6" x14ac:dyDescent="0.25">
      <c r="A5" s="73" t="s">
        <v>6</v>
      </c>
      <c r="B5" s="1" t="str">
        <f>'Шаг 1'!B4</f>
        <v>Мощность электростанций</v>
      </c>
      <c r="C5" s="1" t="str">
        <f>'Шаг 1'!C4</f>
        <v>млн кВт</v>
      </c>
      <c r="D5" s="1" t="str">
        <f>'Шаг 1'!D4</f>
        <v>убывающий</v>
      </c>
      <c r="E5" s="35">
        <f>'Шаг 2'!E4</f>
        <v>10.8</v>
      </c>
      <c r="F5" s="31" t="str">
        <f>IF(G5=0,"Н",IF(AND(G5&gt;0,G5&lt;0.33),"ПК1",IF(AND(G5&gt;=0.33,G5&lt;0.67),"ПК2",IF(AND(G5&gt;=0.67,G5&lt;1),"ПК3",IF(AND(G5&gt;=1,G5&lt;1.33),"К1",IF(AND(G5&gt;=1.33,G5&lt;1.67),"К2","К3"))))))</f>
        <v>Н</v>
      </c>
      <c r="G5" s="35">
        <f>IF($D5="убывающий",IF(E5&gt;=$R5,0,IF(($R5-E5)/($R5-$U5)&gt;2.5, 2.5,($R5-E5)/($R5-$U5))),IF(E5&lt;=$R5,0,IF(($R5-E5)/($R5-$U5)&gt;2.5, 2.5,($R5-E5)/($R5-$U5))))</f>
        <v>0</v>
      </c>
      <c r="H5" s="35">
        <f>'Шаг 2'!F4</f>
        <v>10.6</v>
      </c>
      <c r="I5" s="31" t="str">
        <f>IF(J5=0,"Н",IF(AND(J5&gt;0,J5&lt;0.33),"ПК1",IF(AND(J5&gt;=0.33,J5&lt;0.67),"ПК2",IF(AND(J5&gt;=0.67,J5&lt;1),"ПК3",IF(AND(J5&gt;=1,J5&lt;1.33),"К1",IF(AND(J5&gt;=1.33,J5&lt;1.67),"К2","К3"))))))</f>
        <v>Н</v>
      </c>
      <c r="J5" s="35">
        <f>IF($D5="убывающий",IF(H5&gt;=$R5,0,IF(($R5-H5)/($R5-$U5)&gt;2.5, 2.5,($R5-H5)/($R5-$U5))),IF(H5&lt;=$R5,0,IF(($R5-H5)/($R5-$U5)&gt;2.5, 2.5,($R5-H5)/($R5-$U5))))</f>
        <v>0</v>
      </c>
      <c r="K5" s="35">
        <f>'Шаг 2'!G4</f>
        <v>10.7</v>
      </c>
      <c r="L5" s="31" t="str">
        <f>IF(M5=0,"Н",IF(AND(M5&gt;0,M5&lt;0.33),"ПК1",IF(AND(M5&gt;=0.33,M5&lt;0.67),"ПК2",IF(AND(M5&gt;=0.67,M5&lt;1),"ПК3",IF(AND(M5&gt;=1,M5&lt;1.33),"К1",IF(AND(M5&gt;=1.33,M5&lt;1.67),"К2","К3"))))))</f>
        <v>Н</v>
      </c>
      <c r="M5" s="35">
        <f>IF($D5="убывающий",IF(K5&gt;=$R5,0,IF(($R5-K5)/($R5-$U5)&gt;2.5, 2.5,($R5-K5)/($R5-$U5))),IF(K5&lt;=$R5,0,IF(($R5-K5)/($R5-$U5)&gt;2.5, 2.5,($R5-K5)/($R5-$U5))))</f>
        <v>0</v>
      </c>
      <c r="O5" s="99" t="str">
        <f>'Шаг 2'!B4</f>
        <v>Мощность электростанций</v>
      </c>
      <c r="P5" s="99" t="str">
        <f>'Шаг 2'!C4</f>
        <v>млн кВт</v>
      </c>
      <c r="Q5" s="99" t="str">
        <f>'Шаг 2'!D4</f>
        <v>убывающий</v>
      </c>
      <c r="R5" s="100">
        <f>'Шаг 2'!H4</f>
        <v>10.5</v>
      </c>
      <c r="S5" s="100">
        <f>'Шаг 2'!I4</f>
        <v>9.8000000000000007</v>
      </c>
      <c r="T5" s="100">
        <f>'Шаг 2'!J4</f>
        <v>9.1</v>
      </c>
      <c r="U5" s="100">
        <f>'Шаг 2'!K4</f>
        <v>8.4</v>
      </c>
      <c r="V5" s="100">
        <f>'Шаг 2'!L4</f>
        <v>6</v>
      </c>
      <c r="W5" s="100">
        <f>'Шаг 2'!M4</f>
        <v>4.67</v>
      </c>
    </row>
    <row r="6" spans="1:23" ht="15.6" x14ac:dyDescent="0.25">
      <c r="A6" s="73" t="s">
        <v>9</v>
      </c>
      <c r="B6" s="1" t="str">
        <f>'Шаг 1'!B5</f>
        <v>Производство электроэнергии</v>
      </c>
      <c r="C6" s="1" t="str">
        <f>'Шаг 1'!C5</f>
        <v>млрд кВт·ч</v>
      </c>
      <c r="D6" s="1" t="str">
        <f>'Шаг 1'!D5</f>
        <v>убывающий</v>
      </c>
      <c r="E6" s="35">
        <f>'Шаг 2'!E5</f>
        <v>54.5</v>
      </c>
      <c r="F6" s="31" t="str">
        <f t="shared" ref="F6:F7" si="0">IF(G6=0,"Н",IF(AND(G6&gt;0,G6&lt;0.33),"ПК1",IF(AND(G6&gt;=0.33,G6&lt;0.67),"ПК2",IF(AND(G6&gt;=0.67,G6&lt;1),"ПК3",IF(AND(G6&gt;=1,G6&lt;1.33),"К1",IF(AND(G6&gt;=1.33,G6&lt;1.67),"К2","К3"))))))</f>
        <v>ПК1</v>
      </c>
      <c r="G6" s="35">
        <f t="shared" ref="G6:G7" si="1">IF($D6="убывающий",IF(E6&gt;=$R6,0,IF(($R6-E6)/($R6-$U6)&gt;2.5, 2.5,($R6-E6)/($R6-$U6))),IF(E6&lt;=$R6,0,IF(($R6-E6)/($R6-$U6)&gt;2.5, 2.5,($R6-E6)/($R6-$U6))))</f>
        <v>4.5454545454545456E-2</v>
      </c>
      <c r="H6" s="35">
        <f>'Шаг 2'!F5</f>
        <v>54.9</v>
      </c>
      <c r="I6" s="31" t="str">
        <f t="shared" ref="I6:I7" si="2">IF(J6=0,"Н",IF(AND(J6&gt;0,J6&lt;0.33),"ПК1",IF(AND(J6&gt;=0.33,J6&lt;0.67),"ПК2",IF(AND(J6&gt;=0.67,J6&lt;1),"ПК3",IF(AND(J6&gt;=1,J6&lt;1.33),"К1",IF(AND(J6&gt;=1.33,J6&lt;1.67),"К2","К3"))))))</f>
        <v>ПК1</v>
      </c>
      <c r="J6" s="35">
        <f t="shared" ref="J6:J7" si="3">IF($D6="убывающий",IF(H6&gt;=$R6,0,IF(($R6-H6)/($R6-$U6)&gt;2.5, 2.5,($R6-H6)/($R6-$U6))),IF(H6&lt;=$R6,0,IF(($R6-H6)/($R6-$U6)&gt;2.5, 2.5,($R6-H6)/($R6-$U6))))</f>
        <v>9.0909090909092206E-3</v>
      </c>
      <c r="K6" s="35">
        <f>'Шаг 2'!G5</f>
        <v>57</v>
      </c>
      <c r="L6" s="31" t="str">
        <f t="shared" ref="L6:L7" si="4">IF(M6=0,"Н",IF(AND(M6&gt;0,M6&lt;0.33),"ПК1",IF(AND(M6&gt;=0.33,M6&lt;0.67),"ПК2",IF(AND(M6&gt;=0.67,M6&lt;1),"ПК3",IF(AND(M6&gt;=1,M6&lt;1.33),"К1",IF(AND(M6&gt;=1.33,M6&lt;1.67),"К2","К3"))))))</f>
        <v>Н</v>
      </c>
      <c r="M6" s="35">
        <f t="shared" ref="M6:M7" si="5">IF($D6="убывающий",IF(K6&gt;=$R6,0,IF(($R6-K6)/($R6-$U6)&gt;2.5, 2.5,($R6-K6)/($R6-$U6))),IF(K6&lt;=$R6,0,IF(($R6-K6)/($R6-$U6)&gt;2.5, 2.5,($R6-K6)/($R6-$U6))))</f>
        <v>0</v>
      </c>
      <c r="O6" s="99" t="str">
        <f>'Шаг 2'!B5</f>
        <v>Производство электроэнергии</v>
      </c>
      <c r="P6" s="99" t="str">
        <f>'Шаг 2'!C5</f>
        <v>млрд кВт·ч</v>
      </c>
      <c r="Q6" s="99" t="str">
        <f>'Шаг 2'!D5</f>
        <v>убывающий</v>
      </c>
      <c r="R6" s="100">
        <f>'Шаг 2'!H5</f>
        <v>55</v>
      </c>
      <c r="S6" s="100">
        <f>'Шаг 2'!I5</f>
        <v>51.33</v>
      </c>
      <c r="T6" s="100">
        <f>'Шаг 2'!J5</f>
        <v>47.67</v>
      </c>
      <c r="U6" s="100">
        <f>'Шаг 2'!K5</f>
        <v>44</v>
      </c>
      <c r="V6" s="100">
        <f>'Шаг 2'!L5</f>
        <v>31.43</v>
      </c>
      <c r="W6" s="100">
        <f>'Шаг 2'!M5</f>
        <v>24.44</v>
      </c>
    </row>
    <row r="7" spans="1:23" ht="62.4" x14ac:dyDescent="0.25">
      <c r="A7" s="73" t="s">
        <v>12</v>
      </c>
      <c r="B7" s="1" t="str">
        <f>'Шаг 1'!B6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C7" s="1" t="str">
        <f>'Шаг 1'!C6</f>
        <v>в % к предыдущему году</v>
      </c>
      <c r="D7" s="1" t="str">
        <f>'Шаг 1'!D6</f>
        <v>убывающий</v>
      </c>
      <c r="E7" s="35">
        <f>'Шаг 2'!E6</f>
        <v>1.0120265688464076</v>
      </c>
      <c r="F7" s="31" t="str">
        <f t="shared" si="0"/>
        <v>Н</v>
      </c>
      <c r="G7" s="35">
        <f t="shared" si="1"/>
        <v>0</v>
      </c>
      <c r="H7" s="35">
        <f>'Шаг 2'!F6</f>
        <v>1.1440765273628086</v>
      </c>
      <c r="I7" s="31" t="str">
        <f t="shared" si="2"/>
        <v>Н</v>
      </c>
      <c r="J7" s="35">
        <f t="shared" si="3"/>
        <v>0</v>
      </c>
      <c r="K7" s="35">
        <f>'Шаг 2'!G6</f>
        <v>1.0961284951432537</v>
      </c>
      <c r="L7" s="31" t="str">
        <f t="shared" si="4"/>
        <v>Н</v>
      </c>
      <c r="M7" s="35">
        <f t="shared" si="5"/>
        <v>0</v>
      </c>
      <c r="O7" s="99" t="str">
        <f>'Шаг 2'!B6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P7" s="99" t="str">
        <f>'Шаг 2'!C6</f>
        <v>в % к предыдущему году</v>
      </c>
      <c r="Q7" s="99" t="str">
        <f>'Шаг 2'!D6</f>
        <v>убывающий</v>
      </c>
      <c r="R7" s="100">
        <f>'Шаг 2'!H6</f>
        <v>1</v>
      </c>
      <c r="S7" s="100">
        <f>'Шаг 2'!I6</f>
        <v>0.98329999999999995</v>
      </c>
      <c r="T7" s="100">
        <f>'Шаг 2'!J6</f>
        <v>0.9667</v>
      </c>
      <c r="U7" s="100">
        <f>'Шаг 2'!K6</f>
        <v>0.95</v>
      </c>
      <c r="V7" s="100">
        <f>'Шаг 2'!L6</f>
        <v>0.67859999999999998</v>
      </c>
      <c r="W7" s="100">
        <f>'Шаг 2'!M6</f>
        <v>0.52780000000000005</v>
      </c>
    </row>
    <row r="8" spans="1:23" ht="15.6" x14ac:dyDescent="0.25">
      <c r="A8" s="73" t="s">
        <v>14</v>
      </c>
      <c r="B8" s="180" t="s">
        <v>15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</row>
    <row r="9" spans="1:23" ht="31.2" x14ac:dyDescent="0.25">
      <c r="A9" s="73" t="s">
        <v>16</v>
      </c>
      <c r="B9" s="2" t="str">
        <f>'Шаг 1'!B8</f>
        <v>Доля субъекта в общероссийском импорте транспортных услуг</v>
      </c>
      <c r="C9" s="2" t="str">
        <f>'Шаг 1'!C8</f>
        <v>%</v>
      </c>
      <c r="D9" s="2" t="str">
        <f>'Шаг 1'!D8</f>
        <v>возрастающий</v>
      </c>
      <c r="E9" s="36">
        <f>'Шаг 2'!E8</f>
        <v>0.35699302387674758</v>
      </c>
      <c r="F9" s="31" t="str">
        <f>IF(G9=0,"Н",IF(AND(G9&gt;0,G9&lt;0.33),"ПК1",IF(AND(G9&gt;=0.33,G9&lt;0.67),"ПК2",IF(AND(G9&gt;=0.67,G9&lt;1),"ПК3",IF(AND(G9&gt;=1,G9&lt;1.33),"К1",IF(AND(G9&gt;=1.33,G9&lt;1.67),"К2","К3"))))))</f>
        <v>ПК1</v>
      </c>
      <c r="G9" s="35">
        <f>IF($D9="убывающий",IF(E9&gt;=$R9,0,IF(($R9-E9)/($R9-$U9)&gt;2.5, 2.5,($R9-E9)/($R9-$U9))),IF(E9&lt;=$R9,0,IF(($R9-E9)/($R9-$U9)&gt;2.5, 2.5,($R9-E9)/($R9-$U9))))</f>
        <v>4.6620159178317369E-2</v>
      </c>
      <c r="H9" s="36">
        <f>'Шаг 2'!F8</f>
        <v>0.38040352634084679</v>
      </c>
      <c r="I9" s="31" t="str">
        <f>IF(J9=0,"Н",IF(AND(J9&gt;0,J9&lt;0.33),"ПК1",IF(AND(J9&gt;=0.33,J9&lt;0.67),"ПК2",IF(AND(J9&gt;=0.67,J9&lt;1),"ПК3",IF(AND(J9&gt;=1,J9&lt;1.33),"К1",IF(AND(J9&gt;=1.33,J9&lt;1.67),"К2","К3"))))))</f>
        <v>ПК1</v>
      </c>
      <c r="J9" s="35">
        <f>IF($D9="убывающий",IF(H9&gt;=$R9,0,IF(($R9-H9)/($R9-$U9)&gt;2.5, 2.5,($R9-H9)/($R9-$U9))),IF(H9&lt;=$R9,0,IF(($R9-H9)/($R9-$U9)&gt;2.5, 2.5,($R9-H9)/($R9-$U9))))</f>
        <v>0.20269017560564537</v>
      </c>
      <c r="K9" s="36">
        <f>'Шаг 2'!G8</f>
        <v>0.38542972970973899</v>
      </c>
      <c r="L9" s="31" t="str">
        <f>IF(M9=0,"Н",IF(AND(M9&gt;0,M9&lt;0.33),"ПК1",IF(AND(M9&gt;=0.33,M9&lt;0.67),"ПК2",IF(AND(M9&gt;=0.67,M9&lt;1),"ПК3",IF(AND(M9&gt;=1,M9&lt;1.33),"К1",IF(AND(M9&gt;=1.33,M9&lt;1.67),"К2","К3"))))))</f>
        <v>ПК1</v>
      </c>
      <c r="M9" s="35">
        <f>IF($D9="убывающий",IF(K9&gt;=$R9,0,IF(($R9-K9)/($R9-$U9)&gt;2.5, 2.5,($R9-K9)/($R9-$U9))),IF(K9&lt;=$R9,0,IF(($R9-K9)/($R9-$U9)&gt;2.5, 2.5,($R9-K9)/($R9-$U9))))</f>
        <v>0.2361981980649267</v>
      </c>
      <c r="O9" s="65" t="str">
        <f>'Шаг 2'!B8</f>
        <v>Доля субъекта в общероссийском импорте транспортных услуг</v>
      </c>
      <c r="P9" s="65" t="str">
        <f>'Шаг 2'!C8</f>
        <v>%</v>
      </c>
      <c r="Q9" s="65" t="str">
        <f>'Шаг 2'!D8</f>
        <v>возрастающий</v>
      </c>
      <c r="R9" s="101">
        <f>'Шаг 2'!H8</f>
        <v>0.35</v>
      </c>
      <c r="S9" s="101">
        <f>'Шаг 2'!I8</f>
        <v>0.4</v>
      </c>
      <c r="T9" s="101">
        <f>'Шаг 2'!J8</f>
        <v>0.45</v>
      </c>
      <c r="U9" s="101">
        <f>'Шаг 2'!K8</f>
        <v>0.5</v>
      </c>
      <c r="V9" s="101">
        <f>'Шаг 2'!L8</f>
        <v>0.7</v>
      </c>
      <c r="W9" s="101">
        <f>'Шаг 2'!M8</f>
        <v>0.9</v>
      </c>
    </row>
    <row r="10" spans="1:23" ht="15.6" x14ac:dyDescent="0.25">
      <c r="A10" s="74" t="s">
        <v>17</v>
      </c>
      <c r="B10" s="2" t="str">
        <f>'Шаг 1'!B9</f>
        <v>Сальдо торгового баланса</v>
      </c>
      <c r="C10" s="2" t="str">
        <f>'Шаг 1'!C9</f>
        <v>млрд. руб</v>
      </c>
      <c r="D10" s="2" t="str">
        <f>'Шаг 1'!D9</f>
        <v>убывающий</v>
      </c>
      <c r="E10" s="35">
        <f>'Шаг 2'!E9</f>
        <v>21569.674774130002</v>
      </c>
      <c r="F10" s="31" t="str">
        <f t="shared" ref="F10:F11" si="6">IF(G10=0,"Н",IF(AND(G10&gt;0,G10&lt;0.33),"ПК1",IF(AND(G10&gt;=0.33,G10&lt;0.67),"ПК2",IF(AND(G10&gt;=0.67,G10&lt;1),"ПК3",IF(AND(G10&gt;=1,G10&lt;1.33),"К1",IF(AND(G10&gt;=1.33,G10&lt;1.67),"К2","К3"))))))</f>
        <v>Н</v>
      </c>
      <c r="G10" s="35">
        <f t="shared" ref="G10:G11" si="7">IF($D10="убывающий",IF(E10&gt;=$R10,0,IF(($R10-E10)/($R10-$U10)&gt;2.5, 2.5,($R10-E10)/($R10-$U10))),IF(E10&lt;=$R10,0,IF(($R10-E10)/($R10-$U10)&gt;2.5, 2.5,($R10-E10)/($R10-$U10))))</f>
        <v>0</v>
      </c>
      <c r="H10" s="35">
        <f>'Шаг 2'!F9</f>
        <v>10439.997149343997</v>
      </c>
      <c r="I10" s="31" t="str">
        <f t="shared" ref="I10:I11" si="8">IF(J10=0,"Н",IF(AND(J10&gt;0,J10&lt;0.33),"ПК1",IF(AND(J10&gt;=0.33,J10&lt;0.67),"ПК2",IF(AND(J10&gt;=0.67,J10&lt;1),"ПК3",IF(AND(J10&gt;=1,J10&lt;1.33),"К1",IF(AND(J10&gt;=1.33,J10&lt;1.67),"К2","К3"))))))</f>
        <v>Н</v>
      </c>
      <c r="J10" s="35">
        <f t="shared" ref="J10:J11" si="9">IF($D10="убывающий",IF(H10&gt;=$R10,0,IF(($R10-H10)/($R10-$U10)&gt;2.5, 2.5,($R10-H10)/($R10-$U10))),IF(H10&lt;=$R10,0,IF(($R10-H10)/($R10-$U10)&gt;2.5, 2.5,($R10-H10)/($R10-$U10))))</f>
        <v>0</v>
      </c>
      <c r="K10" s="35">
        <f>'Шаг 2'!G9</f>
        <v>12238.646390231001</v>
      </c>
      <c r="L10" s="31" t="str">
        <f t="shared" ref="L10:L11" si="10">IF(M10=0,"Н",IF(AND(M10&gt;0,M10&lt;0.33),"ПК1",IF(AND(M10&gt;=0.33,M10&lt;0.67),"ПК2",IF(AND(M10&gt;=0.67,M10&lt;1),"ПК3",IF(AND(M10&gt;=1,M10&lt;1.33),"К1",IF(AND(M10&gt;=1.33,M10&lt;1.67),"К2","К3"))))))</f>
        <v>Н</v>
      </c>
      <c r="M10" s="35">
        <f t="shared" ref="M10:M11" si="11">IF($D10="убывающий",IF(K10&gt;=$R10,0,IF(($R10-K10)/($R10-$U10)&gt;2.5, 2.5,($R10-K10)/($R10-$U10))),IF(K10&lt;=$R10,0,IF(($R10-K10)/($R10-$U10)&gt;2.5, 2.5,($R10-K10)/($R10-$U10))))</f>
        <v>0</v>
      </c>
      <c r="O10" s="65" t="str">
        <f>'Шаг 2'!B9</f>
        <v>Сальдо торгового баланса</v>
      </c>
      <c r="P10" s="65" t="str">
        <f>'Шаг 2'!C9</f>
        <v>млрд. руб</v>
      </c>
      <c r="Q10" s="65" t="str">
        <f>'Шаг 2'!D9</f>
        <v>убывающий</v>
      </c>
      <c r="R10" s="102">
        <f>'Шаг 2'!H9</f>
        <v>10000</v>
      </c>
      <c r="S10" s="102">
        <f>'Шаг 2'!I9</f>
        <v>6666.6669999999995</v>
      </c>
      <c r="T10" s="102">
        <f>'Шаг 2'!J9</f>
        <v>3333.3330000000001</v>
      </c>
      <c r="U10" s="102">
        <f>'Шаг 2'!K9</f>
        <v>0</v>
      </c>
      <c r="V10" s="102">
        <f>'Шаг 2'!L9</f>
        <v>0</v>
      </c>
      <c r="W10" s="102">
        <f>'Шаг 2'!M9</f>
        <v>0</v>
      </c>
    </row>
    <row r="11" spans="1:23" ht="15.6" x14ac:dyDescent="0.25">
      <c r="A11" s="74" t="s">
        <v>18</v>
      </c>
      <c r="B11" s="2" t="str">
        <f>'Шаг 1'!B10</f>
        <v>Коэффициент покрытия импорта экспортом</v>
      </c>
      <c r="C11" s="2" t="str">
        <f>'Шаг 1'!C10</f>
        <v>%</v>
      </c>
      <c r="D11" s="2" t="str">
        <f>'Шаг 1'!D10</f>
        <v>убывающий</v>
      </c>
      <c r="E11" s="36">
        <f>'Шаг 2'!E10</f>
        <v>2.1412490938840958</v>
      </c>
      <c r="F11" s="31" t="str">
        <f t="shared" si="6"/>
        <v>Н</v>
      </c>
      <c r="G11" s="35">
        <f t="shared" si="7"/>
        <v>0</v>
      </c>
      <c r="H11" s="36">
        <f>'Шаг 2'!F10</f>
        <v>1.4014097762687396</v>
      </c>
      <c r="I11" s="31" t="str">
        <f t="shared" si="8"/>
        <v>Н</v>
      </c>
      <c r="J11" s="35">
        <f t="shared" si="9"/>
        <v>0</v>
      </c>
      <c r="K11" s="36">
        <f>'Шаг 2'!G10</f>
        <v>1.4380260582631408</v>
      </c>
      <c r="L11" s="31" t="str">
        <f t="shared" si="10"/>
        <v>Н</v>
      </c>
      <c r="M11" s="35">
        <f t="shared" si="11"/>
        <v>0</v>
      </c>
      <c r="O11" s="65" t="str">
        <f>'Шаг 2'!B10</f>
        <v>Коэффициент покрытия импорта экспортом</v>
      </c>
      <c r="P11" s="65" t="str">
        <f>'Шаг 2'!C10</f>
        <v>%</v>
      </c>
      <c r="Q11" s="65" t="str">
        <f>'Шаг 2'!D10</f>
        <v>убывающий</v>
      </c>
      <c r="R11" s="101">
        <f>'Шаг 2'!H10</f>
        <v>1</v>
      </c>
      <c r="S11" s="101">
        <f>'Шаг 2'!I10</f>
        <v>0.9</v>
      </c>
      <c r="T11" s="101">
        <f>'Шаг 2'!J10</f>
        <v>0.8</v>
      </c>
      <c r="U11" s="101">
        <f>'Шаг 2'!K10</f>
        <v>0.7</v>
      </c>
      <c r="V11" s="101">
        <f>'Шаг 2'!L10</f>
        <v>0.5</v>
      </c>
      <c r="W11" s="101">
        <f>'Шаг 2'!M10</f>
        <v>0.38890000000000002</v>
      </c>
    </row>
    <row r="12" spans="1:23" ht="15.6" x14ac:dyDescent="0.25">
      <c r="A12" s="74" t="s">
        <v>19</v>
      </c>
      <c r="B12" s="181" t="s">
        <v>20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</row>
    <row r="13" spans="1:23" ht="31.2" x14ac:dyDescent="0.25">
      <c r="A13" s="74" t="s">
        <v>21</v>
      </c>
      <c r="B13" s="1" t="str">
        <f>'Шаг 1'!B12</f>
        <v>Индекс физического объема инвестиций в основной капитал</v>
      </c>
      <c r="C13" s="1" t="str">
        <f>'Шаг 1'!C12</f>
        <v>в % к предыдущему году</v>
      </c>
      <c r="D13" s="1" t="str">
        <f>'Шаг 1'!D12</f>
        <v>убывающий</v>
      </c>
      <c r="E13" s="36">
        <f>'Шаг 2'!E12</f>
        <v>0.8729096989966556</v>
      </c>
      <c r="F13" s="31" t="str">
        <f>IF(G13=0,"Н",IF(AND(G13&gt;0,G13&lt;0.33),"ПК1",IF(AND(G13&gt;=0.33,G13&lt;0.67),"ПК2",IF(AND(G13&gt;=0.67,G13&lt;1),"ПК3",IF(AND(G13&gt;=1,G13&lt;1.33),"К1",IF(AND(G13&gt;=1.33,G13&lt;1.67),"К2","К3"))))))</f>
        <v>К1</v>
      </c>
      <c r="G13" s="35">
        <f>IF($D13="убывающий",IF(E13&gt;=$R13,0,IF(($R13-E13)/($R13-$U13)&gt;2.5, 2.5,($R13-E13)/($R13-$U13))),IF(E13&lt;=$R13,0,IF(($R13-E13)/($R13-$U13)&gt;2.5, 2.5,($R13-E13)/($R13-$U13))))</f>
        <v>1.1806020066889629</v>
      </c>
      <c r="H13" s="36">
        <f>'Шаг 2'!F12</f>
        <v>1.0517241379310345</v>
      </c>
      <c r="I13" s="31" t="str">
        <f>IF(J13=0,"Н",IF(AND(J13&gt;0,J13&lt;0.33),"ПК1",IF(AND(J13&gt;=0.33,J13&lt;0.67),"ПК2",IF(AND(J13&gt;=0.67,J13&lt;1),"ПК3",IF(AND(J13&gt;=1,J13&lt;1.33),"К1",IF(AND(J13&gt;=1.33,J13&lt;1.67),"К2","К3"))))))</f>
        <v>Н</v>
      </c>
      <c r="J13" s="35">
        <f>IF($D13="убывающий",IF(H13&gt;=$R13,0,IF(($R13-H13)/($R13-$U13)&gt;2.5, 2.5,($R13-H13)/($R13-$U13))),IF(H13&lt;=$R13,0,IF(($R13-H13)/($R13-$U13)&gt;2.5, 2.5,($R13-H13)/($R13-$U13))))</f>
        <v>0</v>
      </c>
      <c r="K13" s="36">
        <f>'Шаг 2'!G12</f>
        <v>0.9508196721311476</v>
      </c>
      <c r="L13" s="31" t="str">
        <f>IF(M13=0,"Н",IF(AND(M13&gt;0,M13&lt;0.33),"ПК1",IF(AND(M13&gt;=0.33,M13&lt;0.67),"ПК2",IF(AND(M13&gt;=0.67,M13&lt;1),"ПК3",IF(AND(M13&gt;=1,M13&lt;1.33),"К1",IF(AND(M13&gt;=1.33,M13&lt;1.67),"К2","К3"))))))</f>
        <v>ПК2</v>
      </c>
      <c r="M13" s="35">
        <f>IF($D13="убывающий",IF(K13&gt;=$R13,0,IF(($R13-K13)/($R13-$U13)&gt;2.5, 2.5,($R13-K13)/($R13-$U13))),IF(K13&lt;=$R13,0,IF(($R13-K13)/($R13-$U13)&gt;2.5, 2.5,($R13-K13)/($R13-$U13))))</f>
        <v>0.66120218579234957</v>
      </c>
      <c r="O13" s="103" t="str">
        <f>'Шаг 2'!B12</f>
        <v>Индекс физического объема инвестиций в основной капитал</v>
      </c>
      <c r="P13" s="103" t="str">
        <f>'Шаг 2'!C12</f>
        <v>в % к предыдущему году</v>
      </c>
      <c r="Q13" s="103" t="str">
        <f>'Шаг 2'!D12</f>
        <v>убывающий</v>
      </c>
      <c r="R13" s="104">
        <f>'Шаг 2'!H12</f>
        <v>1.05</v>
      </c>
      <c r="S13" s="104">
        <f>'Шаг 2'!I12</f>
        <v>1</v>
      </c>
      <c r="T13" s="104">
        <f>'Шаг 2'!J12</f>
        <v>0.95</v>
      </c>
      <c r="U13" s="104">
        <f>'Шаг 2'!K12</f>
        <v>0.9</v>
      </c>
      <c r="V13" s="104">
        <f>'Шаг 2'!L12</f>
        <v>0.85</v>
      </c>
      <c r="W13" s="104">
        <f>'Шаг 2'!M12</f>
        <v>0.8</v>
      </c>
    </row>
    <row r="14" spans="1:23" ht="58.8" customHeight="1" x14ac:dyDescent="0.25">
      <c r="A14" s="74" t="s">
        <v>23</v>
      </c>
      <c r="B14" s="1" t="str">
        <f>'Шаг 1'!B13</f>
        <v>Объем инновационных товаров, работ, услуг</v>
      </c>
      <c r="C14" s="1" t="str">
        <f>'Шаг 1'!C13</f>
        <v>в % от общего объема отгруженных товаров, выполненных работ, услуг</v>
      </c>
      <c r="D14" s="1" t="str">
        <f>'Шаг 1'!D13</f>
        <v>убывающий</v>
      </c>
      <c r="E14" s="35">
        <f>'Шаг 2'!E13</f>
        <v>4.4000000000000004</v>
      </c>
      <c r="F14" s="31" t="str">
        <f t="shared" ref="F14:F15" si="12">IF(G14=0,"Н",IF(AND(G14&gt;0,G14&lt;0.33),"ПК1",IF(AND(G14&gt;=0.33,G14&lt;0.67),"ПК2",IF(AND(G14&gt;=0.67,G14&lt;1),"ПК3",IF(AND(G14&gt;=1,G14&lt;1.33),"К1",IF(AND(G14&gt;=1.33,G14&lt;1.67),"К2","К3"))))))</f>
        <v>Н</v>
      </c>
      <c r="G14" s="35">
        <f t="shared" ref="G14:G15" si="13">IF($D14="убывающий",IF(E14&gt;=$R14,0,IF(($R14-E14)/($R14-$U14)&gt;2.5, 2.5,($R14-E14)/($R14-$U14))),IF(E14&lt;=$R14,0,IF(($R14-E14)/($R14-$U14)&gt;2.5, 2.5,($R14-E14)/($R14-$U14))))</f>
        <v>0</v>
      </c>
      <c r="H14" s="35">
        <f>'Шаг 2'!F13</f>
        <v>4.9000000000000004</v>
      </c>
      <c r="I14" s="31" t="str">
        <f t="shared" ref="I14:I15" si="14">IF(J14=0,"Н",IF(AND(J14&gt;0,J14&lt;0.33),"ПК1",IF(AND(J14&gt;=0.33,J14&lt;0.67),"ПК2",IF(AND(J14&gt;=0.67,J14&lt;1),"ПК3",IF(AND(J14&gt;=1,J14&lt;1.33),"К1",IF(AND(J14&gt;=1.33,J14&lt;1.67),"К2","К3"))))))</f>
        <v>Н</v>
      </c>
      <c r="J14" s="35">
        <f t="shared" ref="J14:J15" si="15">IF($D14="убывающий",IF(H14&gt;=$R14,0,IF(($R14-H14)/($R14-$U14)&gt;2.5, 2.5,($R14-H14)/($R14-$U14))),IF(H14&lt;=$R14,0,IF(($R14-H14)/($R14-$U14)&gt;2.5, 2.5,($R14-H14)/($R14-$U14))))</f>
        <v>0</v>
      </c>
      <c r="K14" s="35">
        <f>'Шаг 2'!G13</f>
        <v>4.8</v>
      </c>
      <c r="L14" s="31" t="str">
        <f t="shared" ref="L14:L15" si="16">IF(M14=0,"Н",IF(AND(M14&gt;0,M14&lt;0.33),"ПК1",IF(AND(M14&gt;=0.33,M14&lt;0.67),"ПК2",IF(AND(M14&gt;=0.67,M14&lt;1),"ПК3",IF(AND(M14&gt;=1,M14&lt;1.33),"К1",IF(AND(M14&gt;=1.33,M14&lt;1.67),"К2","К3"))))))</f>
        <v>Н</v>
      </c>
      <c r="M14" s="35">
        <f t="shared" ref="M14:M15" si="17">IF($D14="убывающий",IF(K14&gt;=$R14,0,IF(($R14-K14)/($R14-$U14)&gt;2.5, 2.5,($R14-K14)/($R14-$U14))),IF(K14&lt;=$R14,0,IF(($R14-K14)/($R14-$U14)&gt;2.5, 2.5,($R14-K14)/($R14-$U14))))</f>
        <v>0</v>
      </c>
      <c r="O14" s="103" t="str">
        <f>'Шаг 2'!B13</f>
        <v>Объем инновационных товаров, работ, услуг</v>
      </c>
      <c r="P14" s="103" t="str">
        <f>'Шаг 2'!C13</f>
        <v>в % от общего объема отгруженных товаров, выполненных работ, услуг</v>
      </c>
      <c r="Q14" s="103" t="str">
        <f>'Шаг 2'!D13</f>
        <v>убывающий</v>
      </c>
      <c r="R14" s="104">
        <f>'Шаг 2'!H13</f>
        <v>0.15</v>
      </c>
      <c r="S14" s="104">
        <f>'Шаг 2'!I13</f>
        <v>0.12670000000000001</v>
      </c>
      <c r="T14" s="104">
        <f>'Шаг 2'!J13</f>
        <v>0.1033</v>
      </c>
      <c r="U14" s="104">
        <f>'Шаг 2'!K13</f>
        <v>0.08</v>
      </c>
      <c r="V14" s="104">
        <f>'Шаг 2'!L13</f>
        <v>5.7099999999999998E-2</v>
      </c>
      <c r="W14" s="104">
        <f>'Шаг 2'!M13</f>
        <v>4.4400000000000002E-2</v>
      </c>
    </row>
    <row r="15" spans="1:23" ht="78" x14ac:dyDescent="0.25">
      <c r="A15" s="74" t="s">
        <v>26</v>
      </c>
      <c r="B15" s="1" t="str">
        <f>'Шаг 1'!B14</f>
        <v>Затраты на инновационную деятельность организаций</v>
      </c>
      <c r="C15" s="1" t="str">
        <f>'Шаг 1'!C14</f>
        <v>в % от общего объема отгруженных товаров, выполненных работ, услуг</v>
      </c>
      <c r="D15" s="1" t="str">
        <f>'Шаг 1'!D14</f>
        <v>убывающий</v>
      </c>
      <c r="E15" s="36">
        <f>'Шаг 2'!E14</f>
        <v>3.2</v>
      </c>
      <c r="F15" s="31" t="str">
        <f t="shared" si="12"/>
        <v>Н</v>
      </c>
      <c r="G15" s="35">
        <f t="shared" si="13"/>
        <v>0</v>
      </c>
      <c r="H15" s="36">
        <f>'Шаг 2'!F14</f>
        <v>4.5999999999999996</v>
      </c>
      <c r="I15" s="31" t="str">
        <f t="shared" si="14"/>
        <v>Н</v>
      </c>
      <c r="J15" s="35">
        <f t="shared" si="15"/>
        <v>0</v>
      </c>
      <c r="K15" s="36">
        <f>'Шаг 2'!G14</f>
        <v>4.8</v>
      </c>
      <c r="L15" s="31" t="str">
        <f t="shared" si="16"/>
        <v>Н</v>
      </c>
      <c r="M15" s="35">
        <f t="shared" si="17"/>
        <v>0</v>
      </c>
      <c r="O15" s="103" t="str">
        <f>'Шаг 2'!B14</f>
        <v>Затраты на инновационную деятельность организаций</v>
      </c>
      <c r="P15" s="103" t="str">
        <f>'Шаг 2'!C14</f>
        <v>в % от общего объема отгруженных товаров, выполненных работ, услуг</v>
      </c>
      <c r="Q15" s="103" t="str">
        <f>'Шаг 2'!D14</f>
        <v>убывающий</v>
      </c>
      <c r="R15" s="104">
        <f>'Шаг 2'!H14</f>
        <v>3.2000000000000001E-2</v>
      </c>
      <c r="S15" s="104">
        <f>'Шаг 2'!I14</f>
        <v>2.9700000000000001E-2</v>
      </c>
      <c r="T15" s="104">
        <f>'Шаг 2'!J14</f>
        <v>2.7300000000000001E-2</v>
      </c>
      <c r="U15" s="104">
        <f>'Шаг 2'!K14</f>
        <v>2.5000000000000001E-2</v>
      </c>
      <c r="V15" s="104">
        <f>'Шаг 2'!L14</f>
        <v>1.7899999999999999E-2</v>
      </c>
      <c r="W15" s="104">
        <f>'Шаг 2'!M14</f>
        <v>1.3899999999999999E-2</v>
      </c>
    </row>
    <row r="16" spans="1:23" ht="15.6" x14ac:dyDescent="0.25">
      <c r="A16" s="74" t="s">
        <v>28</v>
      </c>
      <c r="B16" s="185" t="s">
        <v>29</v>
      </c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</row>
    <row r="17" spans="1:23" ht="15.6" x14ac:dyDescent="0.25">
      <c r="A17" s="73" t="s">
        <v>30</v>
      </c>
      <c r="B17" s="1" t="str">
        <f>'Шаг 1'!B16</f>
        <v>Общий коэффициент смертности</v>
      </c>
      <c r="C17" s="1" t="str">
        <f>'Шаг 1'!C16</f>
        <v>чел./1000 чел</v>
      </c>
      <c r="D17" s="1" t="str">
        <f>'Шаг 1'!D16</f>
        <v>возрастающий</v>
      </c>
      <c r="E17" s="35">
        <f>'Шаг 2'!E16</f>
        <v>9.6999999999999993</v>
      </c>
      <c r="F17" s="31" t="str">
        <f>IF(G17=0,"Н",IF(AND(G17&gt;0,G17&lt;0.33),"ПК1",IF(AND(G17&gt;=0.33,G17&lt;0.67),"ПК2",IF(AND(G17&gt;=0.67,G17&lt;1),"ПК3",IF(AND(G17&gt;=1,G17&lt;1.33),"К1",IF(AND(G17&gt;=1.33,G17&lt;1.67),"К2","К3"))))))</f>
        <v>Н</v>
      </c>
      <c r="G17" s="35">
        <f>IF($D17="убывающий",IF(E17&gt;=$R17,0,IF(($R17-E17)/($R17-$U17)&gt;2.5, 2.5,($R17-E17)/($R17-$U17))),IF(E17&lt;=$R17,0,IF(($R17-E17)/($R17-$U17)&gt;2.5, 2.5,($R17-E17)/($R17-$U17))))</f>
        <v>0</v>
      </c>
      <c r="H17" s="35">
        <f>'Шаг 2'!F16</f>
        <v>8.8000000000000007</v>
      </c>
      <c r="I17" s="31" t="str">
        <f>IF(J17=0,"Н",IF(AND(J17&gt;0,J17&lt;0.33),"ПК1",IF(AND(J17&gt;=0.33,J17&lt;0.67),"ПК2",IF(AND(J17&gt;=0.67,J17&lt;1),"ПК3",IF(AND(J17&gt;=1,J17&lt;1.33),"К1",IF(AND(J17&gt;=1.33,J17&lt;1.67),"К2","К3"))))))</f>
        <v>Н</v>
      </c>
      <c r="J17" s="35">
        <f>IF($D17="убывающий",IF(H17&gt;=$R17,0,IF(($R17-H17)/($R17-$U17)&gt;2.5, 2.5,($R17-H17)/($R17-$U17))),IF(H17&lt;=$R17,0,IF(($R17-H17)/($R17-$U17)&gt;2.5, 2.5,($R17-H17)/($R17-$U17))))</f>
        <v>0</v>
      </c>
      <c r="K17" s="35">
        <f>'Шаг 2'!G16</f>
        <v>8.9</v>
      </c>
      <c r="L17" s="31" t="str">
        <f>IF(M17=0,"Н",IF(AND(M17&gt;0,M17&lt;0.33),"ПК1",IF(AND(M17&gt;=0.33,M17&lt;0.67),"ПК2",IF(AND(M17&gt;=0.67,M17&lt;1),"ПК3",IF(AND(M17&gt;=1,M17&lt;1.33),"К1",IF(AND(M17&gt;=1.33,M17&lt;1.67),"К2","К3"))))))</f>
        <v>Н</v>
      </c>
      <c r="M17" s="35">
        <f>IF($D17="убывающий",IF(K17&gt;=$R17,0,IF(($R17-K17)/($R17-$U17)&gt;2.5, 2.5,($R17-K17)/($R17-$U17))),IF(K17&lt;=$R17,0,IF(($R17-K17)/($R17-$U17)&gt;2.5, 2.5,($R17-K17)/($R17-$U17))))</f>
        <v>0</v>
      </c>
      <c r="O17" s="105" t="str">
        <f>'Шаг 2'!B16</f>
        <v>Общий коэффициент смертности</v>
      </c>
      <c r="P17" s="105" t="str">
        <f>'Шаг 2'!C16</f>
        <v>чел./1000 чел</v>
      </c>
      <c r="Q17" s="105" t="str">
        <f>'Шаг 2'!D16</f>
        <v>возрастающий</v>
      </c>
      <c r="R17" s="106">
        <f>'Шаг 2'!H16</f>
        <v>12</v>
      </c>
      <c r="S17" s="106">
        <f>'Шаг 2'!I16</f>
        <v>13</v>
      </c>
      <c r="T17" s="106">
        <f>'Шаг 2'!J16</f>
        <v>14</v>
      </c>
      <c r="U17" s="106">
        <f>'Шаг 2'!K16</f>
        <v>15</v>
      </c>
      <c r="V17" s="106">
        <f>'Шаг 2'!L16</f>
        <v>21</v>
      </c>
      <c r="W17" s="106">
        <f>'Шаг 2'!M16</f>
        <v>27</v>
      </c>
    </row>
    <row r="18" spans="1:23" ht="15.6" x14ac:dyDescent="0.25">
      <c r="A18" s="73" t="s">
        <v>31</v>
      </c>
      <c r="B18" s="1" t="str">
        <f>'Шаг 1'!B17</f>
        <v>Общий коэффициент рождаемости</v>
      </c>
      <c r="C18" s="1" t="str">
        <f>'Шаг 1'!C17</f>
        <v>чел./1000 чел</v>
      </c>
      <c r="D18" s="1" t="str">
        <f>'Шаг 1'!D17</f>
        <v>убывающий</v>
      </c>
      <c r="E18" s="35">
        <f>'Шаг 2'!E17</f>
        <v>10.3</v>
      </c>
      <c r="F18" s="31" t="str">
        <f t="shared" ref="F18:F19" si="18">IF(G18=0,"Н",IF(AND(G18&gt;0,G18&lt;0.33),"ПК1",IF(AND(G18&gt;=0.33,G18&lt;0.67),"ПК2",IF(AND(G18&gt;=0.67,G18&lt;1),"ПК3",IF(AND(G18&gt;=1,G18&lt;1.33),"К1",IF(AND(G18&gt;=1.33,G18&lt;1.67),"К2","К3"))))))</f>
        <v>ПК3</v>
      </c>
      <c r="G18" s="35">
        <f t="shared" ref="G18:G19" si="19">IF($D18="убывающий",IF(E18&gt;=$R18,0,IF(($R18-E18)/($R18-$U18)&gt;2.5, 2.5,($R18-E18)/($R18-$U18))),IF(E18&lt;=$R18,0,IF(($R18-E18)/($R18-$U18)&gt;2.5, 2.5,($R18-E18)/($R18-$U18))))</f>
        <v>0.73999999999999988</v>
      </c>
      <c r="H18" s="35">
        <f>'Шаг 2'!F17</f>
        <v>9.4</v>
      </c>
      <c r="I18" s="31" t="str">
        <f t="shared" ref="I18:I19" si="20">IF(J18=0,"Н",IF(AND(J18&gt;0,J18&lt;0.33),"ПК1",IF(AND(J18&gt;=0.33,J18&lt;0.67),"ПК2",IF(AND(J18&gt;=0.67,J18&lt;1),"ПК3",IF(AND(J18&gt;=1,J18&lt;1.33),"К1",IF(AND(J18&gt;=1.33,J18&lt;1.67),"К2","К3"))))))</f>
        <v>ПК3</v>
      </c>
      <c r="J18" s="35">
        <f t="shared" ref="J18:J19" si="21">IF($D18="убывающий",IF(H18&gt;=$R18,0,IF(($R18-H18)/($R18-$U18)&gt;2.5, 2.5,($R18-H18)/($R18-$U18))),IF(H18&lt;=$R18,0,IF(($R18-H18)/($R18-$U18)&gt;2.5, 2.5,($R18-H18)/($R18-$U18))))</f>
        <v>0.91999999999999993</v>
      </c>
      <c r="K18" s="35">
        <f>'Шаг 2'!G17</f>
        <v>9.1999999999999993</v>
      </c>
      <c r="L18" s="31" t="str">
        <f t="shared" ref="L18:L19" si="22">IF(M18=0,"Н",IF(AND(M18&gt;0,M18&lt;0.33),"ПК1",IF(AND(M18&gt;=0.33,M18&lt;0.67),"ПК2",IF(AND(M18&gt;=0.67,M18&lt;1),"ПК3",IF(AND(M18&gt;=1,M18&lt;1.33),"К1",IF(AND(M18&gt;=1.33,M18&lt;1.67),"К2","К3"))))))</f>
        <v>ПК3</v>
      </c>
      <c r="M18" s="35">
        <f t="shared" ref="M18:M19" si="23">IF($D18="убывающий",IF(K18&gt;=$R18,0,IF(($R18-K18)/($R18-$U18)&gt;2.5, 2.5,($R18-K18)/($R18-$U18))),IF(K18&lt;=$R18,0,IF(($R18-K18)/($R18-$U18)&gt;2.5, 2.5,($R18-K18)/($R18-$U18))))</f>
        <v>0.96000000000000019</v>
      </c>
      <c r="O18" s="105" t="str">
        <f>'Шаг 2'!B17</f>
        <v>Общий коэффициент рождаемости</v>
      </c>
      <c r="P18" s="105" t="str">
        <f>'Шаг 2'!C17</f>
        <v>чел./1000 чел</v>
      </c>
      <c r="Q18" s="105" t="str">
        <f>'Шаг 2'!D17</f>
        <v>убывающий</v>
      </c>
      <c r="R18" s="106">
        <f>'Шаг 2'!H17</f>
        <v>14</v>
      </c>
      <c r="S18" s="106">
        <f>'Шаг 2'!I17</f>
        <v>12.33</v>
      </c>
      <c r="T18" s="106">
        <f>'Шаг 2'!J17</f>
        <v>10.67</v>
      </c>
      <c r="U18" s="106">
        <f>'Шаг 2'!K17</f>
        <v>9</v>
      </c>
      <c r="V18" s="106">
        <f>'Шаг 2'!L17</f>
        <v>6.43</v>
      </c>
      <c r="W18" s="106">
        <f>'Шаг 2'!M17</f>
        <v>5</v>
      </c>
    </row>
    <row r="19" spans="1:23" ht="15.6" x14ac:dyDescent="0.25">
      <c r="A19" s="73" t="s">
        <v>32</v>
      </c>
      <c r="B19" s="1" t="str">
        <f>'Шаг 1'!B18</f>
        <v>Миграционный прирост (убыль) к населению</v>
      </c>
      <c r="C19" s="1" t="str">
        <f>'Шаг 1'!C18</f>
        <v>%</v>
      </c>
      <c r="D19" s="1" t="str">
        <f>'Шаг 1'!D18</f>
        <v>убывающий</v>
      </c>
      <c r="E19" s="36">
        <f>'Шаг 2'!E18</f>
        <v>2.4334335556539122E-2</v>
      </c>
      <c r="F19" s="31" t="str">
        <f t="shared" si="18"/>
        <v>ПК2</v>
      </c>
      <c r="G19" s="35">
        <f t="shared" si="19"/>
        <v>0.38080920620869679</v>
      </c>
      <c r="H19" s="36">
        <f>'Шаг 2'!F18</f>
        <v>2.4304628207273114E-2</v>
      </c>
      <c r="I19" s="31" t="str">
        <f t="shared" si="20"/>
        <v>ПК2</v>
      </c>
      <c r="J19" s="35">
        <f t="shared" si="21"/>
        <v>0.38505311324669805</v>
      </c>
      <c r="K19" s="36">
        <f>'Шаг 2'!G18</f>
        <v>2.6822129980488614E-2</v>
      </c>
      <c r="L19" s="31" t="str">
        <f t="shared" si="22"/>
        <v>ПК1</v>
      </c>
      <c r="M19" s="35">
        <f t="shared" si="23"/>
        <v>2.5410002787340812E-2</v>
      </c>
      <c r="O19" s="105" t="str">
        <f>'Шаг 2'!B18</f>
        <v>Миграционный прирост (убыль) к населению</v>
      </c>
      <c r="P19" s="105" t="str">
        <f>'Шаг 2'!C18</f>
        <v>%</v>
      </c>
      <c r="Q19" s="105" t="str">
        <f>'Шаг 2'!D18</f>
        <v>убывающий</v>
      </c>
      <c r="R19" s="107">
        <f>'Шаг 2'!H18</f>
        <v>2.7E-2</v>
      </c>
      <c r="S19" s="107">
        <f>'Шаг 2'!I18</f>
        <v>2.5000000000000001E-2</v>
      </c>
      <c r="T19" s="107">
        <f>'Шаг 2'!J18</f>
        <v>2.3E-2</v>
      </c>
      <c r="U19" s="107">
        <f>'Шаг 2'!K18</f>
        <v>0.02</v>
      </c>
      <c r="V19" s="107">
        <f>'Шаг 2'!L18</f>
        <v>1.4999999999999999E-2</v>
      </c>
      <c r="W19" s="107">
        <f>'Шаг 2'!M18</f>
        <v>0.01</v>
      </c>
    </row>
    <row r="20" spans="1:23" ht="15.6" x14ac:dyDescent="0.25">
      <c r="A20" s="73" t="s">
        <v>33</v>
      </c>
      <c r="B20" s="180" t="s">
        <v>34</v>
      </c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</row>
    <row r="21" spans="1:23" ht="15.6" x14ac:dyDescent="0.25">
      <c r="A21" s="74" t="s">
        <v>35</v>
      </c>
      <c r="B21" s="1" t="str">
        <f>'Шаг 1'!B20</f>
        <v>Индекс потребительский цен</v>
      </c>
      <c r="C21" s="1" t="str">
        <f>'Шаг 1'!C20</f>
        <v>%</v>
      </c>
      <c r="D21" s="1" t="str">
        <f>'Шаг 1'!D20</f>
        <v>возрастающий</v>
      </c>
      <c r="E21" s="36">
        <f>'Шаг 2'!E20</f>
        <v>1.117</v>
      </c>
      <c r="F21" s="31" t="str">
        <f>IF(G21=0,"Н",IF(AND(G21&gt;0,G21&lt;0.33),"ПК1",IF(AND(G21&gt;=0.33,G21&lt;0.67),"ПК2",IF(AND(G21&gt;=0.67,G21&lt;1),"ПК3",IF(AND(G21&gt;=1,G21&lt;1.33),"К1",IF(AND(G21&gt;=1.33,G21&lt;1.67),"К2","К3"))))))</f>
        <v>ПК1</v>
      </c>
      <c r="G21" s="35">
        <f>IF($D21="убывающий",IF(E21&gt;=$R21,0,IF(($R21-E21)/($R21-$U21)&gt;2.5, 2.5,($R21-E21)/($R21-$U21))),IF(E21&lt;=$R21,0,IF(($R21-E21)/($R21-$U21)&gt;2.5, 2.5,($R21-E21)/($R21-$U21))))</f>
        <v>0.29999999999999977</v>
      </c>
      <c r="H21" s="36">
        <f>'Шаг 2'!F20</f>
        <v>1.0759999999999998</v>
      </c>
      <c r="I21" s="31" t="str">
        <f>IF(J21=0,"Н",IF(AND(J21&gt;0,J21&lt;0.33),"ПК1",IF(AND(J21&gt;=0.33,J21&lt;0.67),"ПК2",IF(AND(J21&gt;=0.67,J21&lt;1),"ПК3",IF(AND(J21&gt;=1,J21&lt;1.33),"К1",IF(AND(J21&gt;=1.33,J21&lt;1.67),"К2","К3"))))))</f>
        <v>ПК1</v>
      </c>
      <c r="J21" s="35">
        <f>IF($D21="убывающий",IF(H21&gt;=$R21,0,IF(($R21-H21)/($R21-$U21)&gt;2.5, 2.5,($R21-H21)/($R21-$U21))),IF(H21&lt;=$R21,0,IF(($R21-H21)/($R21-$U21)&gt;2.5, 2.5,($R21-H21)/($R21-$U21))))</f>
        <v>8.4210526315788403E-2</v>
      </c>
      <c r="K21" s="36">
        <f>'Шаг 2'!G20</f>
        <v>1.101</v>
      </c>
      <c r="L21" s="31" t="str">
        <f>IF(M21=0,"Н",IF(AND(M21&gt;0,M21&lt;0.33),"ПК1",IF(AND(M21&gt;=0.33,M21&lt;0.67),"ПК2",IF(AND(M21&gt;=0.67,M21&lt;1),"ПК3",IF(AND(M21&gt;=1,M21&lt;1.33),"К1",IF(AND(M21&gt;=1.33,M21&lt;1.67),"К2","К3"))))))</f>
        <v>ПК1</v>
      </c>
      <c r="M21" s="35">
        <f>IF($D21="убывающий",IF(K21&gt;=$R21,0,IF(($R21-K21)/($R21-$U21)&gt;2.5, 2.5,($R21-K21)/($R21-$U21))),IF(K21&lt;=$R21,0,IF(($R21-K21)/($R21-$U21)&gt;2.5, 2.5,($R21-K21)/($R21-$U21))))</f>
        <v>0.2157894736842102</v>
      </c>
      <c r="O21" s="108" t="str">
        <f>'Шаг 2'!B20</f>
        <v>Индекс потребительский цен</v>
      </c>
      <c r="P21" s="108" t="str">
        <f>'Шаг 2'!C20</f>
        <v>%</v>
      </c>
      <c r="Q21" s="108" t="str">
        <f>'Шаг 2'!D20</f>
        <v>возрастающий</v>
      </c>
      <c r="R21" s="101">
        <f>'Шаг 2'!H20</f>
        <v>1.06</v>
      </c>
      <c r="S21" s="101">
        <f>'Шаг 2'!I20</f>
        <v>1.1233</v>
      </c>
      <c r="T21" s="101">
        <f>'Шаг 2'!J20</f>
        <v>1.1867000000000001</v>
      </c>
      <c r="U21" s="101">
        <f>'Шаг 2'!K20</f>
        <v>1.25</v>
      </c>
      <c r="V21" s="101">
        <f>'Шаг 2'!L20</f>
        <v>1.75</v>
      </c>
      <c r="W21" s="101">
        <f>'Шаг 2'!M20</f>
        <v>2.25</v>
      </c>
    </row>
    <row r="22" spans="1:23" ht="31.2" x14ac:dyDescent="0.25">
      <c r="A22" s="74" t="s">
        <v>37</v>
      </c>
      <c r="B22" s="1" t="str">
        <f>'Шаг 1'!B21</f>
        <v>Дефицит (профицит) консолидированного бюджета области</v>
      </c>
      <c r="C22" s="1" t="str">
        <f>'Шаг 1'!C21</f>
        <v>млрд. руб.</v>
      </c>
      <c r="D22" s="1" t="str">
        <f>'Шаг 1'!D21</f>
        <v>убывающий</v>
      </c>
      <c r="E22" s="35">
        <f>'Шаг 2'!E21</f>
        <v>3671.4333999999999</v>
      </c>
      <c r="F22" s="31" t="str">
        <f t="shared" ref="F22:F23" si="24">IF(G22=0,"Н",IF(AND(G22&gt;0,G22&lt;0.33),"ПК1",IF(AND(G22&gt;=0.33,G22&lt;0.67),"ПК2",IF(AND(G22&gt;=0.67,G22&lt;1),"ПК3",IF(AND(G22&gt;=1,G22&lt;1.33),"К1",IF(AND(G22&gt;=1.33,G22&lt;1.67),"К2","К3"))))))</f>
        <v>Н</v>
      </c>
      <c r="G22" s="35">
        <f t="shared" ref="G22:G23" si="25">IF($D22="убывающий",IF(E22&gt;=$R22,0,IF(($R22-E22)/($R22-$U22)&gt;2.5, 2.5,($R22-E22)/($R22-$U22))),IF(E22&lt;=$R22,0,IF(($R22-E22)/($R22-$U22)&gt;2.5, 2.5,($R22-E22)/($R22-$U22))))</f>
        <v>0</v>
      </c>
      <c r="H22" s="35">
        <f>'Шаг 2'!F21</f>
        <v>4228.3065999999999</v>
      </c>
      <c r="I22" s="31" t="str">
        <f t="shared" ref="I22:I23" si="26">IF(J22=0,"Н",IF(AND(J22&gt;0,J22&lt;0.33),"ПК1",IF(AND(J22&gt;=0.33,J22&lt;0.67),"ПК2",IF(AND(J22&gt;=0.67,J22&lt;1),"ПК3",IF(AND(J22&gt;=1,J22&lt;1.33),"К1",IF(AND(J22&gt;=1.33,J22&lt;1.67),"К2","К3"))))))</f>
        <v>Н</v>
      </c>
      <c r="J22" s="35">
        <f t="shared" ref="J22:J23" si="27">IF($D22="убывающий",IF(H22&gt;=$R22,0,IF(($R22-H22)/($R22-$U22)&gt;2.5, 2.5,($R22-H22)/($R22-$U22))),IF(H22&lt;=$R22,0,IF(($R22-H22)/($R22-$U22)&gt;2.5, 2.5,($R22-H22)/($R22-$U22))))</f>
        <v>0</v>
      </c>
      <c r="K22" s="35">
        <f>'Шаг 2'!G21</f>
        <v>5191.7532999999994</v>
      </c>
      <c r="L22" s="31" t="str">
        <f t="shared" ref="L22:L23" si="28">IF(M22=0,"Н",IF(AND(M22&gt;0,M22&lt;0.33),"ПК1",IF(AND(M22&gt;=0.33,M22&lt;0.67),"ПК2",IF(AND(M22&gt;=0.67,M22&lt;1),"ПК3",IF(AND(M22&gt;=1,M22&lt;1.33),"К1",IF(AND(M22&gt;=1.33,M22&lt;1.67),"К2","К3"))))))</f>
        <v>Н</v>
      </c>
      <c r="M22" s="35">
        <f t="shared" ref="M22:M23" si="29">IF($D22="убывающий",IF(K22&gt;=$R22,0,IF(($R22-K22)/($R22-$U22)&gt;2.5, 2.5,($R22-K22)/($R22-$U22))),IF(K22&lt;=$R22,0,IF(($R22-K22)/($R22-$U22)&gt;2.5, 2.5,($R22-K22)/($R22-$U22))))</f>
        <v>0</v>
      </c>
      <c r="O22" s="108" t="str">
        <f>'Шаг 2'!B21</f>
        <v>Дефицит (профицит) консолидированного бюджета области</v>
      </c>
      <c r="P22" s="108" t="str">
        <f>'Шаг 2'!C21</f>
        <v>млрд. руб.</v>
      </c>
      <c r="Q22" s="108" t="str">
        <f>'Шаг 2'!D21</f>
        <v>убывающий</v>
      </c>
      <c r="R22" s="102">
        <f>'Шаг 2'!H21</f>
        <v>0</v>
      </c>
      <c r="S22" s="102">
        <f>'Шаг 2'!I21</f>
        <v>-50</v>
      </c>
      <c r="T22" s="102">
        <f>'Шаг 2'!J21</f>
        <v>-100</v>
      </c>
      <c r="U22" s="102">
        <f>'Шаг 2'!K21</f>
        <v>-150</v>
      </c>
      <c r="V22" s="102">
        <f>'Шаг 2'!L21</f>
        <v>-200</v>
      </c>
      <c r="W22" s="102">
        <f>'Шаг 2'!M21</f>
        <v>-250</v>
      </c>
    </row>
    <row r="23" spans="1:23" ht="31.2" x14ac:dyDescent="0.25">
      <c r="A23" s="74" t="s">
        <v>38</v>
      </c>
      <c r="B23" s="1" t="str">
        <f>'Шаг 1'!B22</f>
        <v>Индекс физического объёма розничной торговли</v>
      </c>
      <c r="C23" s="1" t="str">
        <f>'Шаг 1'!C22</f>
        <v>%</v>
      </c>
      <c r="D23" s="1" t="str">
        <f>'Шаг 1'!D22</f>
        <v>убывающий</v>
      </c>
      <c r="E23" s="36">
        <f>'Шаг 2'!E22</f>
        <v>0.871</v>
      </c>
      <c r="F23" s="31" t="str">
        <f t="shared" si="24"/>
        <v>К3</v>
      </c>
      <c r="G23" s="35">
        <f t="shared" si="25"/>
        <v>2.5</v>
      </c>
      <c r="H23" s="36">
        <f>'Шаг 2'!F22</f>
        <v>1.075</v>
      </c>
      <c r="I23" s="31" t="str">
        <f t="shared" si="26"/>
        <v>Н</v>
      </c>
      <c r="J23" s="35">
        <f t="shared" si="27"/>
        <v>0</v>
      </c>
      <c r="K23" s="36">
        <f>'Шаг 2'!G22</f>
        <v>1.05</v>
      </c>
      <c r="L23" s="31" t="str">
        <f t="shared" si="28"/>
        <v>Н</v>
      </c>
      <c r="M23" s="35">
        <f t="shared" si="29"/>
        <v>0</v>
      </c>
      <c r="O23" s="108" t="str">
        <f>'Шаг 2'!B22</f>
        <v>Индекс физического объёма розничной торговли</v>
      </c>
      <c r="P23" s="108" t="str">
        <f>'Шаг 2'!C22</f>
        <v>%</v>
      </c>
      <c r="Q23" s="108" t="str">
        <f>'Шаг 2'!D22</f>
        <v>убывающий</v>
      </c>
      <c r="R23" s="101">
        <f>'Шаг 2'!H22</f>
        <v>1</v>
      </c>
      <c r="S23" s="101">
        <f>'Шаг 2'!I22</f>
        <v>0.98329999999999995</v>
      </c>
      <c r="T23" s="101">
        <f>'Шаг 2'!J22</f>
        <v>0.9667</v>
      </c>
      <c r="U23" s="101">
        <f>'Шаг 2'!K22</f>
        <v>0.95</v>
      </c>
      <c r="V23" s="101">
        <f>'Шаг 2'!L22</f>
        <v>0.67859999999999998</v>
      </c>
      <c r="W23" s="101">
        <f>'Шаг 2'!M22</f>
        <v>0.52780000000000005</v>
      </c>
    </row>
    <row r="24" spans="1:23" ht="15.6" customHeight="1" x14ac:dyDescent="0.25">
      <c r="A24" s="75">
        <v>2</v>
      </c>
      <c r="B24" s="182" t="s">
        <v>40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</row>
    <row r="25" spans="1:23" ht="15.6" x14ac:dyDescent="0.25">
      <c r="A25" s="73" t="s">
        <v>41</v>
      </c>
      <c r="B25" s="183" t="s">
        <v>42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</row>
    <row r="26" spans="1:23" ht="46.8" x14ac:dyDescent="0.25">
      <c r="A26" s="74" t="s">
        <v>43</v>
      </c>
      <c r="B26" s="2" t="str">
        <f>'Шаг 1'!B25</f>
        <v>Доля численности персонала, занятого научными исследованиями и разработками в численности занятых</v>
      </c>
      <c r="C26" s="2" t="str">
        <f>'Шаг 1'!C25</f>
        <v>%</v>
      </c>
      <c r="D26" s="2" t="str">
        <f>'Шаг 1'!D25</f>
        <v>убывающий</v>
      </c>
      <c r="E26" s="36">
        <f>'Шаг 2'!E25</f>
        <v>2.8518614801537893E-2</v>
      </c>
      <c r="F26" s="31" t="str">
        <f>IF(G26=0,"Н",IF(AND(G26&gt;0,G26&lt;0.33),"ПК1",IF(AND(G26&gt;=0.33,G26&lt;0.67),"ПК2",IF(AND(G26&gt;=0.67,G26&lt;1),"ПК3",IF(AND(G26&gt;=1,G26&lt;1.33),"К1",IF(AND(G26&gt;=1.33,G26&lt;1.67),"К2","К3"))))))</f>
        <v>Н</v>
      </c>
      <c r="G26" s="35">
        <f>IF($D26="убывающий",IF(E26&gt;=$R26,0,IF(($R26-E26)/($R26-$U26)&gt;2.5, 2.5,($R26-E26)/($R26-$U26))),IF(E26&lt;=$R26,0,IF(($R26-E26)/($R26-$U26)&gt;2.5, 2.5,($R26-E26)/($R26-$U26))))</f>
        <v>0</v>
      </c>
      <c r="H26" s="36">
        <f>'Шаг 2'!F25</f>
        <v>2.8746176117120069E-2</v>
      </c>
      <c r="I26" s="31" t="str">
        <f>IF(J26=0,"Н",IF(AND(J26&gt;0,J26&lt;0.33),"ПК1",IF(AND(J26&gt;=0.33,J26&lt;0.67),"ПК2",IF(AND(J26&gt;=0.67,J26&lt;1),"ПК3",IF(AND(J26&gt;=1,J26&lt;1.33),"К1",IF(AND(J26&gt;=1.33,J26&lt;1.67),"К2","К3"))))))</f>
        <v>Н</v>
      </c>
      <c r="J26" s="35">
        <f>IF($D26="убывающий",IF(H26&gt;=$R26,0,IF(($R26-H26)/($R26-$U26)&gt;2.5, 2.5,($R26-H26)/($R26-$U26))),IF(H26&lt;=$R26,0,IF(($R26-H26)/($R26-$U26)&gt;2.5, 2.5,($R26-H26)/($R26-$U26))))</f>
        <v>0</v>
      </c>
      <c r="K26" s="36">
        <f>'Шаг 2'!G25</f>
        <v>2.9838343889150097E-2</v>
      </c>
      <c r="L26" s="31" t="str">
        <f>IF(M26=0,"Н",IF(AND(M26&gt;0,M26&lt;0.33),"ПК1",IF(AND(M26&gt;=0.33,M26&lt;0.67),"ПК2",IF(AND(M26&gt;=0.67,M26&lt;1),"ПК3",IF(AND(M26&gt;=1,M26&lt;1.33),"К1",IF(AND(M26&gt;=1.33,M26&lt;1.67),"К2","К3"))))))</f>
        <v>Н</v>
      </c>
      <c r="M26" s="35">
        <f>IF($D26="убывающий",IF(K26&gt;=$R26,0,IF(($R26-K26)/($R26-$U26)&gt;2.5, 2.5,($R26-K26)/($R26-$U26))),IF(K26&lt;=$R26,0,IF(($R26-K26)/($R26-$U26)&gt;2.5, 2.5,($R26-K26)/($R26-$U26))))</f>
        <v>0</v>
      </c>
      <c r="O26" s="68" t="str">
        <f>'Шаг 2'!B25</f>
        <v>Доля численности персонала, занятого научными исследованиями и разработками в численности занятых</v>
      </c>
      <c r="P26" s="68" t="str">
        <f>'Шаг 2'!C25</f>
        <v>%</v>
      </c>
      <c r="Q26" s="68" t="str">
        <f>'Шаг 2'!D25</f>
        <v>убывающий</v>
      </c>
      <c r="R26" s="109">
        <f>'Шаг 2'!H25</f>
        <v>1.4999999999999999E-2</v>
      </c>
      <c r="S26" s="109">
        <f>'Шаг 2'!I25</f>
        <v>1.3299999999999999E-2</v>
      </c>
      <c r="T26" s="109">
        <f>'Шаг 2'!J25</f>
        <v>1.17E-2</v>
      </c>
      <c r="U26" s="109">
        <f>'Шаг 2'!K25</f>
        <v>0.01</v>
      </c>
      <c r="V26" s="109">
        <f>'Шаг 2'!L25</f>
        <v>7.1000000000000004E-3</v>
      </c>
      <c r="W26" s="109">
        <f>'Шаг 2'!M25</f>
        <v>5.5999999999999999E-3</v>
      </c>
    </row>
    <row r="27" spans="1:23" ht="46.8" x14ac:dyDescent="0.25">
      <c r="A27" s="74" t="s">
        <v>45</v>
      </c>
      <c r="B27" s="2" t="str">
        <f>'Шаг 1'!B26</f>
        <v>Удельный вес организаций, осуществлявших технологические инновации в общем числе обследованных организаций</v>
      </c>
      <c r="C27" s="2" t="str">
        <f>'Шаг 1'!C26</f>
        <v>%</v>
      </c>
      <c r="D27" s="2" t="str">
        <f>'Шаг 1'!D26</f>
        <v>убывающий</v>
      </c>
      <c r="E27" s="36">
        <f>'Шаг 2'!E26</f>
        <v>1.4140974373126321E-3</v>
      </c>
      <c r="F27" s="31" t="str">
        <f t="shared" ref="F27:F28" si="30">IF(G27=0,"Н",IF(AND(G27&gt;0,G27&lt;0.33),"ПК1",IF(AND(G27&gt;=0.33,G27&lt;0.67),"ПК2",IF(AND(G27&gt;=0.67,G27&lt;1),"ПК3",IF(AND(G27&gt;=1,G27&lt;1.33),"К1",IF(AND(G27&gt;=1.33,G27&lt;1.67),"К2","К3"))))))</f>
        <v>К3</v>
      </c>
      <c r="G27" s="35">
        <f t="shared" ref="G27:G28" si="31">IF($D27="убывающий",IF(E27&gt;=$R27,0,IF(($R27-E27)/($R27-$U27)&gt;2.5, 2.5,($R27-E27)/($R27-$U27))),IF(E27&lt;=$R27,0,IF(($R27-E27)/($R27-$U27)&gt;2.5, 2.5,($R27-E27)/($R27-$U27))))</f>
        <v>1.9717180512537473</v>
      </c>
      <c r="H27" s="36">
        <f>'Шаг 2'!F26</f>
        <v>1.3957893687376415E-3</v>
      </c>
      <c r="I27" s="31" t="str">
        <f t="shared" ref="I27:I28" si="32">IF(J27=0,"Н",IF(AND(J27&gt;0,J27&lt;0.33),"ПК1",IF(AND(J27&gt;=0.33,J27&lt;0.67),"ПК2",IF(AND(J27&gt;=0.67,J27&lt;1),"ПК3",IF(AND(J27&gt;=1,J27&lt;1.33),"К1",IF(AND(J27&gt;=1.33,J27&lt;1.67),"К2","К3"))))))</f>
        <v>К3</v>
      </c>
      <c r="J27" s="35">
        <f t="shared" ref="J27:J28" si="33">IF($D27="убывающий",IF(H27&gt;=$R27,0,IF(($R27-H27)/($R27-$U27)&gt;2.5, 2.5,($R27-H27)/($R27-$U27))),IF(H27&lt;=$R27,0,IF(($R27-H27)/($R27-$U27)&gt;2.5, 2.5,($R27-H27)/($R27-$U27))))</f>
        <v>1.9720842126252471</v>
      </c>
      <c r="K27" s="36">
        <f>'Шаг 2'!G26</f>
        <v>1.4006806034386708E-3</v>
      </c>
      <c r="L27" s="31" t="str">
        <f t="shared" ref="L27:L28" si="34">IF(M27=0,"Н",IF(AND(M27&gt;0,M27&lt;0.33),"ПК1",IF(AND(M27&gt;=0.33,M27&lt;0.67),"ПК2",IF(AND(M27&gt;=0.67,M27&lt;1),"ПК3",IF(AND(M27&gt;=1,M27&lt;1.33),"К1",IF(AND(M27&gt;=1.33,M27&lt;1.67),"К2","К3"))))))</f>
        <v>К3</v>
      </c>
      <c r="M27" s="35">
        <f t="shared" ref="M27:M28" si="35">IF($D27="убывающий",IF(K27&gt;=$R27,0,IF(($R27-K27)/($R27-$U27)&gt;2.5, 2.5,($R27-K27)/($R27-$U27))),IF(K27&lt;=$R27,0,IF(($R27-K27)/($R27-$U27)&gt;2.5, 2.5,($R27-K27)/($R27-$U27))))</f>
        <v>1.9719863879312265</v>
      </c>
      <c r="O27" s="68" t="str">
        <f>'Шаг 2'!B26</f>
        <v>Удельный вес организаций, осуществлявших технологические инновации в общем числе обследованных организаций</v>
      </c>
      <c r="P27" s="68" t="str">
        <f>'Шаг 2'!C26</f>
        <v>%</v>
      </c>
      <c r="Q27" s="68" t="str">
        <f>'Шаг 2'!D26</f>
        <v>убывающий</v>
      </c>
      <c r="R27" s="109">
        <f>'Шаг 2'!H26</f>
        <v>0.1</v>
      </c>
      <c r="S27" s="109">
        <f>'Шаг 2'!I26</f>
        <v>8.3299999999999999E-2</v>
      </c>
      <c r="T27" s="109">
        <f>'Шаг 2'!J26</f>
        <v>6.6699999999999995E-2</v>
      </c>
      <c r="U27" s="109">
        <f>'Шаг 2'!K26</f>
        <v>0.05</v>
      </c>
      <c r="V27" s="109">
        <f>'Шаг 2'!L26</f>
        <v>3.5700000000000003E-2</v>
      </c>
      <c r="W27" s="109">
        <f>'Шаг 2'!M26</f>
        <v>2.7799999999999998E-2</v>
      </c>
    </row>
    <row r="28" spans="1:23" ht="31.2" x14ac:dyDescent="0.25">
      <c r="A28" s="74" t="s">
        <v>47</v>
      </c>
      <c r="B28" s="2" t="str">
        <f>'Шаг 1'!B27</f>
        <v>Доля внутренних затрат на научные исследования и разработки к ВРП</v>
      </c>
      <c r="C28" s="2" t="str">
        <f>'Шаг 1'!C27</f>
        <v>%</v>
      </c>
      <c r="D28" s="2" t="str">
        <f>'Шаг 1'!D27</f>
        <v>убывающий</v>
      </c>
      <c r="E28" s="36">
        <f>'Шаг 2'!E27</f>
        <v>1.860728572759382E-2</v>
      </c>
      <c r="F28" s="31" t="str">
        <f t="shared" si="30"/>
        <v>ПК1</v>
      </c>
      <c r="G28" s="35">
        <f t="shared" si="31"/>
        <v>0.13927142724061806</v>
      </c>
      <c r="H28" s="36">
        <f>'Шаг 2'!F27</f>
        <v>1.8223698037727915E-2</v>
      </c>
      <c r="I28" s="31" t="str">
        <f t="shared" si="32"/>
        <v>ПК1</v>
      </c>
      <c r="J28" s="35">
        <f t="shared" si="33"/>
        <v>0.17763019622720858</v>
      </c>
      <c r="K28" s="36">
        <f>'Шаг 2'!G27</f>
        <v>1.778996551724138E-2</v>
      </c>
      <c r="L28" s="31" t="str">
        <f t="shared" si="34"/>
        <v>ПК1</v>
      </c>
      <c r="M28" s="35">
        <f t="shared" si="35"/>
        <v>0.22100344827586207</v>
      </c>
      <c r="O28" s="68" t="str">
        <f>'Шаг 2'!B27</f>
        <v>Доля внутренних затрат на научные исследования и разработки к ВРП</v>
      </c>
      <c r="P28" s="68" t="str">
        <f>'Шаг 2'!C27</f>
        <v>%</v>
      </c>
      <c r="Q28" s="68" t="str">
        <f>'Шаг 2'!D27</f>
        <v>убывающий</v>
      </c>
      <c r="R28" s="109">
        <f>'Шаг 2'!H27</f>
        <v>0.02</v>
      </c>
      <c r="S28" s="109">
        <f>'Шаг 2'!I27</f>
        <v>1.67E-2</v>
      </c>
      <c r="T28" s="109">
        <f>'Шаг 2'!J27</f>
        <v>1.3299999999999999E-2</v>
      </c>
      <c r="U28" s="109">
        <f>'Шаг 2'!K27</f>
        <v>0.01</v>
      </c>
      <c r="V28" s="109">
        <f>'Шаг 2'!L27</f>
        <v>7.1000000000000004E-3</v>
      </c>
      <c r="W28" s="109">
        <f>'Шаг 2'!M27</f>
        <v>5.5999999999999999E-3</v>
      </c>
    </row>
    <row r="29" spans="1:23" ht="15.6" x14ac:dyDescent="0.25">
      <c r="A29" s="74" t="s">
        <v>49</v>
      </c>
      <c r="B29" s="184" t="s">
        <v>50</v>
      </c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</row>
    <row r="30" spans="1:23" ht="31.2" x14ac:dyDescent="0.25">
      <c r="A30" s="74" t="s">
        <v>51</v>
      </c>
      <c r="B30" s="1" t="str">
        <f>'Шаг 1'!B29</f>
        <v>Индексы промышленного производства</v>
      </c>
      <c r="C30" s="1" t="str">
        <f>'Шаг 1'!C29</f>
        <v>в % к предыдущему году</v>
      </c>
      <c r="D30" s="1" t="str">
        <f>'Шаг 1'!D29</f>
        <v>убывающий</v>
      </c>
      <c r="E30" s="36">
        <f>'Шаг 2'!E29</f>
        <v>1.155</v>
      </c>
      <c r="F30" s="31" t="str">
        <f>IF(G30=0,"Н",IF(AND(G30&gt;0,G30&lt;0.33),"ПК1",IF(AND(G30&gt;=0.33,G30&lt;0.67),"ПК2",IF(AND(G30&gt;=0.67,G30&lt;1),"ПК3",IF(AND(G30&gt;=1,G30&lt;1.33),"К1",IF(AND(G30&gt;=1.33,G30&lt;1.67),"К2","К3"))))))</f>
        <v>Н</v>
      </c>
      <c r="G30" s="35">
        <f>IF($D30="убывающий",IF(E30&gt;=$R30,0,IF(($R30-E30)/($R30-$U30)&gt;2.5, 2.5,($R30-E30)/($R30-$U30))),IF(E30&lt;=$R30,0,IF(($R30-E30)/($R30-$U30)&gt;2.5, 2.5,($R30-E30)/($R30-$U30))))</f>
        <v>0</v>
      </c>
      <c r="H30" s="36">
        <f>'Шаг 2'!F29</f>
        <v>1.19</v>
      </c>
      <c r="I30" s="31" t="str">
        <f>IF(J30=0,"Н",IF(AND(J30&gt;0,J30&lt;0.33),"ПК1",IF(AND(J30&gt;=0.33,J30&lt;0.67),"ПК2",IF(AND(J30&gt;=0.67,J30&lt;1),"ПК3",IF(AND(J30&gt;=1,J30&lt;1.33),"К1",IF(AND(J30&gt;=1.33,J30&lt;1.67),"К2","К3"))))))</f>
        <v>Н</v>
      </c>
      <c r="J30" s="35">
        <f>IF($D30="убывающий",IF(H30&gt;=$R30,0,IF(($R30-H30)/($R30-$U30)&gt;2.5, 2.5,($R30-H30)/($R30-$U30))),IF(H30&lt;=$R30,0,IF(($R30-H30)/($R30-$U30)&gt;2.5, 2.5,($R30-H30)/($R30-$U30))))</f>
        <v>0</v>
      </c>
      <c r="K30" s="36">
        <f>'Шаг 2'!G29</f>
        <v>1.1930000000000001</v>
      </c>
      <c r="L30" s="31" t="str">
        <f>IF(M30=0,"Н",IF(AND(M30&gt;0,M30&lt;0.33),"ПК1",IF(AND(M30&gt;=0.33,M30&lt;0.67),"ПК2",IF(AND(M30&gt;=0.67,M30&lt;1),"ПК3",IF(AND(M30&gt;=1,M30&lt;1.33),"К1",IF(AND(M30&gt;=1.33,M30&lt;1.67),"К2","К3"))))))</f>
        <v>Н</v>
      </c>
      <c r="M30" s="35">
        <f>IF($D30="убывающий",IF(K30&gt;=$R30,0,IF(($R30-K30)/($R30-$U30)&gt;2.5, 2.5,($R30-K30)/($R30-$U30))),IF(K30&lt;=$R30,0,IF(($R30-K30)/($R30-$U30)&gt;2.5, 2.5,($R30-K30)/($R30-$U30))))</f>
        <v>0</v>
      </c>
      <c r="O30" s="110" t="str">
        <f>'Шаг 2'!B29</f>
        <v>Индексы промышленного производства</v>
      </c>
      <c r="P30" s="110" t="str">
        <f>'Шаг 2'!C29</f>
        <v>в % к предыдущему году</v>
      </c>
      <c r="Q30" s="110" t="str">
        <f>'Шаг 2'!D29</f>
        <v>убывающий</v>
      </c>
      <c r="R30" s="111">
        <f>'Шаг 2'!H29</f>
        <v>1</v>
      </c>
      <c r="S30" s="111">
        <f>'Шаг 2'!I29</f>
        <v>0.98329999999999995</v>
      </c>
      <c r="T30" s="111">
        <f>'Шаг 2'!J29</f>
        <v>0.9667</v>
      </c>
      <c r="U30" s="111">
        <f>'Шаг 2'!K29</f>
        <v>0.95</v>
      </c>
      <c r="V30" s="111">
        <f>'Шаг 2'!L29</f>
        <v>0.67859999999999998</v>
      </c>
      <c r="W30" s="111">
        <f>'Шаг 2'!M29</f>
        <v>0.52780000000000005</v>
      </c>
    </row>
    <row r="31" spans="1:23" ht="31.2" x14ac:dyDescent="0.25">
      <c r="A31" s="74" t="s">
        <v>53</v>
      </c>
      <c r="B31" s="1" t="str">
        <f>'Шаг 1'!B30</f>
        <v>Индексы производства продукции сельского хозяйства</v>
      </c>
      <c r="C31" s="1" t="str">
        <f>'Шаг 1'!C30</f>
        <v>в % к предыдущему году</v>
      </c>
      <c r="D31" s="1" t="str">
        <f>'Шаг 1'!D30</f>
        <v>убывающий</v>
      </c>
      <c r="E31" s="36">
        <f>'Шаг 2'!E30</f>
        <v>0.92799999999999994</v>
      </c>
      <c r="F31" s="31" t="str">
        <f t="shared" ref="F31:F32" si="36">IF(G31=0,"Н",IF(AND(G31&gt;0,G31&lt;0.33),"ПК1",IF(AND(G31&gt;=0.33,G31&lt;0.67),"ПК2",IF(AND(G31&gt;=0.67,G31&lt;1),"ПК3",IF(AND(G31&gt;=1,G31&lt;1.33),"К1",IF(AND(G31&gt;=1.33,G31&lt;1.67),"К2","К3"))))))</f>
        <v>К2</v>
      </c>
      <c r="G31" s="35">
        <f t="shared" ref="G31:G32" si="37">IF($D31="убывающий",IF(E31&gt;=$R31,0,IF(($R31-E31)/($R31-$U31)&gt;2.5, 2.5,($R31-E31)/($R31-$U31))),IF(E31&lt;=$R31,0,IF(($R31-E31)/($R31-$U31)&gt;2.5, 2.5,($R31-E31)/($R31-$U31))))</f>
        <v>1.44</v>
      </c>
      <c r="H31" s="36">
        <f>'Шаг 2'!F30</f>
        <v>0.70799999999999996</v>
      </c>
      <c r="I31" s="31" t="str">
        <f t="shared" ref="I31:I32" si="38">IF(J31=0,"Н",IF(AND(J31&gt;0,J31&lt;0.33),"ПК1",IF(AND(J31&gt;=0.33,J31&lt;0.67),"ПК2",IF(AND(J31&gt;=0.67,J31&lt;1),"ПК3",IF(AND(J31&gt;=1,J31&lt;1.33),"К1",IF(AND(J31&gt;=1.33,J31&lt;1.67),"К2","К3"))))))</f>
        <v>К3</v>
      </c>
      <c r="J31" s="35">
        <f t="shared" ref="J31:J32" si="39">IF($D31="убывающий",IF(H31&gt;=$R31,0,IF(($R31-H31)/($R31-$U31)&gt;2.5, 2.5,($R31-H31)/($R31-$U31))),IF(H31&lt;=$R31,0,IF(($R31-H31)/($R31-$U31)&gt;2.5, 2.5,($R31-H31)/($R31-$U31))))</f>
        <v>2.5</v>
      </c>
      <c r="K31" s="36">
        <f>'Шаг 2'!G30</f>
        <v>0.72599999999999998</v>
      </c>
      <c r="L31" s="31" t="str">
        <f t="shared" ref="L31:L32" si="40">IF(M31=0,"Н",IF(AND(M31&gt;0,M31&lt;0.33),"ПК1",IF(AND(M31&gt;=0.33,M31&lt;0.67),"ПК2",IF(AND(M31&gt;=0.67,M31&lt;1),"ПК3",IF(AND(M31&gt;=1,M31&lt;1.33),"К1",IF(AND(M31&gt;=1.33,M31&lt;1.67),"К2","К3"))))))</f>
        <v>К3</v>
      </c>
      <c r="M31" s="35">
        <f t="shared" ref="M31:M32" si="41">IF($D31="убывающий",IF(K31&gt;=$R31,0,IF(($R31-K31)/($R31-$U31)&gt;2.5, 2.5,($R31-K31)/($R31-$U31))),IF(K31&lt;=$R31,0,IF(($R31-K31)/($R31-$U31)&gt;2.5, 2.5,($R31-K31)/($R31-$U31))))</f>
        <v>2.5</v>
      </c>
      <c r="O31" s="110" t="str">
        <f>'Шаг 2'!B30</f>
        <v>Индексы производства продукции сельского хозяйства</v>
      </c>
      <c r="P31" s="110" t="str">
        <f>'Шаг 2'!C30</f>
        <v>в % к предыдущему году</v>
      </c>
      <c r="Q31" s="110" t="str">
        <f>'Шаг 2'!D30</f>
        <v>убывающий</v>
      </c>
      <c r="R31" s="111">
        <f>'Шаг 2'!H30</f>
        <v>1</v>
      </c>
      <c r="S31" s="111">
        <f>'Шаг 2'!I30</f>
        <v>0.98329999999999995</v>
      </c>
      <c r="T31" s="111">
        <f>'Шаг 2'!J30</f>
        <v>0.9667</v>
      </c>
      <c r="U31" s="111">
        <f>'Шаг 2'!K30</f>
        <v>0.95</v>
      </c>
      <c r="V31" s="111">
        <f>'Шаг 2'!L30</f>
        <v>0.67859999999999998</v>
      </c>
      <c r="W31" s="111">
        <f>'Шаг 2'!M30</f>
        <v>0.52780000000000005</v>
      </c>
    </row>
    <row r="32" spans="1:23" ht="31.2" x14ac:dyDescent="0.25">
      <c r="A32" s="74" t="s">
        <v>55</v>
      </c>
      <c r="B32" s="1" t="str">
        <f>'Шаг 1'!B31</f>
        <v>Доля валового сбора сырья субъекта к сбору в РФ</v>
      </c>
      <c r="C32" s="1" t="str">
        <f>'Шаг 1'!C31</f>
        <v>%</v>
      </c>
      <c r="D32" s="1" t="str">
        <f>'Шаг 1'!D31</f>
        <v>убывающий</v>
      </c>
      <c r="E32" s="36">
        <f>'Шаг 2'!E31</f>
        <v>1.9035532994923859E-3</v>
      </c>
      <c r="F32" s="31" t="str">
        <f t="shared" si="36"/>
        <v>К2</v>
      </c>
      <c r="G32" s="35">
        <f t="shared" si="37"/>
        <v>1.6192893401015227</v>
      </c>
      <c r="H32" s="36">
        <f>'Шаг 2'!F31</f>
        <v>0</v>
      </c>
      <c r="I32" s="31" t="str">
        <f t="shared" si="38"/>
        <v>К3</v>
      </c>
      <c r="J32" s="35">
        <f t="shared" si="39"/>
        <v>2</v>
      </c>
      <c r="K32" s="36">
        <f>'Шаг 2'!G31</f>
        <v>3.177124702144559E-3</v>
      </c>
      <c r="L32" s="31" t="str">
        <f t="shared" si="40"/>
        <v>К2</v>
      </c>
      <c r="M32" s="35">
        <f t="shared" si="41"/>
        <v>1.3645750595710882</v>
      </c>
      <c r="O32" s="110" t="str">
        <f>'Шаг 2'!B31</f>
        <v>Доля валового сбора сырья субъекта к сбору в РФ</v>
      </c>
      <c r="P32" s="110" t="str">
        <f>'Шаг 2'!C31</f>
        <v>%</v>
      </c>
      <c r="Q32" s="110" t="str">
        <f>'Шаг 2'!D31</f>
        <v>убывающий</v>
      </c>
      <c r="R32" s="111">
        <f>'Шаг 2'!H31</f>
        <v>0.01</v>
      </c>
      <c r="S32" s="111">
        <f>'Шаг 2'!I31</f>
        <v>8.3000000000000001E-3</v>
      </c>
      <c r="T32" s="111">
        <f>'Шаг 2'!J31</f>
        <v>6.7000000000000002E-3</v>
      </c>
      <c r="U32" s="111">
        <f>'Шаг 2'!K31</f>
        <v>5.0000000000000001E-3</v>
      </c>
      <c r="V32" s="111">
        <f>'Шаг 2'!L31</f>
        <v>3.5999999999999999E-3</v>
      </c>
      <c r="W32" s="111">
        <f>'Шаг 2'!M31</f>
        <v>2.8E-3</v>
      </c>
    </row>
    <row r="33" spans="1:23" ht="15.6" x14ac:dyDescent="0.25">
      <c r="A33" s="74" t="s">
        <v>56</v>
      </c>
      <c r="B33" s="177" t="s">
        <v>57</v>
      </c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</row>
    <row r="34" spans="1:23" ht="31.2" x14ac:dyDescent="0.25">
      <c r="A34" s="74" t="s">
        <v>58</v>
      </c>
      <c r="B34" s="1" t="str">
        <f>'Шаг 1'!B33</f>
        <v>Индексы потребительских цен на продовольственные товары</v>
      </c>
      <c r="C34" s="1" t="str">
        <f>'Шаг 1'!C33</f>
        <v>в %</v>
      </c>
      <c r="D34" s="1" t="str">
        <f>'Шаг 1'!D33</f>
        <v>возрастающий</v>
      </c>
      <c r="E34" s="36">
        <f>'Шаг 2'!E33</f>
        <v>1.0940000000000001</v>
      </c>
      <c r="F34" s="31" t="str">
        <f>IF(G34=0,"Н",IF(AND(G34&gt;0,G34&lt;0.33),"ПК1",IF(AND(G34&gt;=0.33,G34&lt;0.67),"ПК2",IF(AND(G34&gt;=0.67,G34&lt;1),"ПК3",IF(AND(G34&gt;=1,G34&lt;1.33),"К1",IF(AND(G34&gt;=1.33,G34&lt;1.67),"К2","К3"))))))</f>
        <v>ПК1</v>
      </c>
      <c r="G34" s="35">
        <f>IF($D34="убывающий",IF(E34&gt;=$R34,0,IF(($R34-E34)/($R34-$U34)&gt;2.5, 2.5,($R34-E34)/($R34-$U34))),IF(E34&lt;=$R34,0,IF(($R34-E34)/($R34-$U34)&gt;2.5, 2.5,($R34-E34)/($R34-$U34))))</f>
        <v>0.17894736842105283</v>
      </c>
      <c r="H34" s="36">
        <f>'Шаг 2'!F33</f>
        <v>1.0649999999999999</v>
      </c>
      <c r="I34" s="31" t="str">
        <f>IF(J34=0,"Н",IF(AND(J34&gt;0,J34&lt;0.33),"ПК1",IF(AND(J34&gt;=0.33,J34&lt;0.67),"ПК2",IF(AND(J34&gt;=0.67,J34&lt;1),"ПК3",IF(AND(J34&gt;=1,J34&lt;1.33),"К1",IF(AND(J34&gt;=1.33,J34&lt;1.67),"К2","К3"))))))</f>
        <v>ПК1</v>
      </c>
      <c r="J34" s="35">
        <f>IF($D34="убывающий",IF(H34&gt;=$R34,0,IF(($R34-H34)/($R34-$U34)&gt;2.5, 2.5,($R34-H34)/($R34-$U34))),IF(H34&lt;=$R34,0,IF(($R34-H34)/($R34-$U34)&gt;2.5, 2.5,($R34-H34)/($R34-$U34))))</f>
        <v>2.6315789473683657E-2</v>
      </c>
      <c r="K34" s="36">
        <f>'Шаг 2'!G33</f>
        <v>1.1120000000000001</v>
      </c>
      <c r="L34" s="31" t="str">
        <f>IF(M34=0,"Н",IF(AND(M34&gt;0,M34&lt;0.33),"ПК1",IF(AND(M34&gt;=0.33,M34&lt;0.67),"ПК2",IF(AND(M34&gt;=0.67,M34&lt;1),"ПК3",IF(AND(M34&gt;=1,M34&lt;1.33),"К1",IF(AND(M34&gt;=1.33,M34&lt;1.67),"К2","К3"))))))</f>
        <v>ПК1</v>
      </c>
      <c r="M34" s="35">
        <f>IF($D34="убывающий",IF(K34&gt;=$R34,0,IF(($R34-K34)/($R34-$U34)&gt;2.5, 2.5,($R34-K34)/($R34-$U34))),IF(K34&lt;=$R34,0,IF(($R34-K34)/($R34-$U34)&gt;2.5, 2.5,($R34-K34)/($R34-$U34))))</f>
        <v>0.27368421052631609</v>
      </c>
      <c r="O34" s="112" t="str">
        <f>'Шаг 2'!B33</f>
        <v>Индексы потребительских цен на продовольственные товары</v>
      </c>
      <c r="P34" s="112" t="str">
        <f>'Шаг 2'!C33</f>
        <v>в %</v>
      </c>
      <c r="Q34" s="112" t="str">
        <f>'Шаг 2'!D33</f>
        <v>возрастающий</v>
      </c>
      <c r="R34" s="113">
        <f>'Шаг 2'!H33</f>
        <v>1.06</v>
      </c>
      <c r="S34" s="113">
        <f>'Шаг 2'!I33</f>
        <v>1.1233</v>
      </c>
      <c r="T34" s="113">
        <f>'Шаг 2'!J33</f>
        <v>1.1867000000000001</v>
      </c>
      <c r="U34" s="113">
        <f>'Шаг 2'!K33</f>
        <v>1.25</v>
      </c>
      <c r="V34" s="113">
        <f>'Шаг 2'!L33</f>
        <v>1.75</v>
      </c>
      <c r="W34" s="113">
        <f>'Шаг 2'!M33</f>
        <v>2.25</v>
      </c>
    </row>
    <row r="35" spans="1:23" ht="31.2" x14ac:dyDescent="0.25">
      <c r="A35" s="74" t="s">
        <v>60</v>
      </c>
      <c r="B35" s="1" t="str">
        <f>'Шаг 1'!B34</f>
        <v>Индекс цен приобретения промышленных товаров и услуг</v>
      </c>
      <c r="C35" s="1" t="str">
        <f>'Шаг 1'!C34</f>
        <v>в % к предыдущему году</v>
      </c>
      <c r="D35" s="1" t="str">
        <f>'Шаг 1'!D34</f>
        <v>возрастающий</v>
      </c>
      <c r="E35" s="36">
        <f>'Шаг 2'!E34</f>
        <v>1.0900000000000001</v>
      </c>
      <c r="F35" s="31" t="str">
        <f t="shared" ref="F35:F36" si="42">IF(G35=0,"Н",IF(AND(G35&gt;0,G35&lt;0.33),"ПК1",IF(AND(G35&gt;=0.33,G35&lt;0.67),"ПК2",IF(AND(G35&gt;=0.67,G35&lt;1),"ПК3",IF(AND(G35&gt;=1,G35&lt;1.33),"К1",IF(AND(G35&gt;=1.33,G35&lt;1.67),"К2","К3"))))))</f>
        <v>ПК1</v>
      </c>
      <c r="G35" s="35">
        <f t="shared" ref="G35:G36" si="43">IF($D35="убывающий",IF(E35&gt;=$R35,0,IF(($R35-E35)/($R35-$U35)&gt;2.5, 2.5,($R35-E35)/($R35-$U35))),IF(E35&lt;=$R35,0,IF(($R35-E35)/($R35-$U35)&gt;2.5, 2.5,($R35-E35)/($R35-$U35))))</f>
        <v>0.15789473684210545</v>
      </c>
      <c r="H35" s="36">
        <f>'Шаг 2'!F34</f>
        <v>1.0629999999999999</v>
      </c>
      <c r="I35" s="31" t="str">
        <f t="shared" ref="I35:I36" si="44">IF(J35=0,"Н",IF(AND(J35&gt;0,J35&lt;0.33),"ПК1",IF(AND(J35&gt;=0.33,J35&lt;0.67),"ПК2",IF(AND(J35&gt;=0.67,J35&lt;1),"ПК3",IF(AND(J35&gt;=1,J35&lt;1.33),"К1",IF(AND(J35&gt;=1.33,J35&lt;1.67),"К2","К3"))))))</f>
        <v>ПК1</v>
      </c>
      <c r="J35" s="35">
        <f t="shared" ref="J35:J36" si="45">IF($D35="убывающий",IF(H35&gt;=$R35,0,IF(($R35-H35)/($R35-$U35)&gt;2.5, 2.5,($R35-H35)/($R35-$U35))),IF(H35&lt;=$R35,0,IF(($R35-H35)/($R35-$U35)&gt;2.5, 2.5,($R35-H35)/($R35-$U35))))</f>
        <v>1.5789473684209961E-2</v>
      </c>
      <c r="K35" s="36">
        <f>'Шаг 2'!G34</f>
        <v>1.095</v>
      </c>
      <c r="L35" s="31" t="str">
        <f t="shared" ref="L35:L36" si="46">IF(M35=0,"Н",IF(AND(M35&gt;0,M35&lt;0.33),"ПК1",IF(AND(M35&gt;=0.33,M35&lt;0.67),"ПК2",IF(AND(M35&gt;=0.67,M35&lt;1),"ПК3",IF(AND(M35&gt;=1,M35&lt;1.33),"К1",IF(AND(M35&gt;=1.33,M35&lt;1.67),"К2","К3"))))))</f>
        <v>ПК1</v>
      </c>
      <c r="M35" s="35">
        <f t="shared" ref="M35:M36" si="47">IF($D35="убывающий",IF(K35&gt;=$R35,0,IF(($R35-K35)/($R35-$U35)&gt;2.5, 2.5,($R35-K35)/($R35-$U35))),IF(K35&lt;=$R35,0,IF(($R35-K35)/($R35-$U35)&gt;2.5, 2.5,($R35-K35)/($R35-$U35))))</f>
        <v>0.1842105263157891</v>
      </c>
      <c r="O35" s="112" t="str">
        <f>'Шаг 2'!B34</f>
        <v>Индекс цен приобретения промышленных товаров и услуг</v>
      </c>
      <c r="P35" s="112" t="str">
        <f>'Шаг 2'!C34</f>
        <v>в % к предыдущему году</v>
      </c>
      <c r="Q35" s="112" t="str">
        <f>'Шаг 2'!D34</f>
        <v>возрастающий</v>
      </c>
      <c r="R35" s="113">
        <f>'Шаг 2'!H34</f>
        <v>1.06</v>
      </c>
      <c r="S35" s="113">
        <f>'Шаг 2'!I34</f>
        <v>1.1233</v>
      </c>
      <c r="T35" s="113">
        <f>'Шаг 2'!J34</f>
        <v>1.1867000000000001</v>
      </c>
      <c r="U35" s="113">
        <f>'Шаг 2'!K34</f>
        <v>1.25</v>
      </c>
      <c r="V35" s="113">
        <f>'Шаг 2'!L34</f>
        <v>1.75</v>
      </c>
      <c r="W35" s="113">
        <f>'Шаг 2'!M34</f>
        <v>2.25</v>
      </c>
    </row>
    <row r="36" spans="1:23" ht="31.2" x14ac:dyDescent="0.25">
      <c r="A36" s="74" t="s">
        <v>61</v>
      </c>
      <c r="B36" s="1" t="str">
        <f>'Шаг 1'!B35</f>
        <v>Индекс цен производителей сельскохозяйственной продукции</v>
      </c>
      <c r="C36" s="1" t="str">
        <f>'Шаг 1'!C35</f>
        <v>в % к предыдущему году</v>
      </c>
      <c r="D36" s="1" t="str">
        <f>'Шаг 1'!D35</f>
        <v>возрастающий</v>
      </c>
      <c r="E36" s="36">
        <f>'Шаг 2'!E35</f>
        <v>1.579</v>
      </c>
      <c r="F36" s="31" t="str">
        <f t="shared" si="42"/>
        <v>К3</v>
      </c>
      <c r="G36" s="35">
        <f t="shared" si="43"/>
        <v>2.5</v>
      </c>
      <c r="H36" s="36">
        <f>'Шаг 2'!F35</f>
        <v>1.25</v>
      </c>
      <c r="I36" s="31" t="str">
        <f t="shared" si="44"/>
        <v>К1</v>
      </c>
      <c r="J36" s="35">
        <f t="shared" si="45"/>
        <v>1</v>
      </c>
      <c r="K36" s="36">
        <f>'Шаг 2'!G35</f>
        <v>1.0720000000000001</v>
      </c>
      <c r="L36" s="31" t="str">
        <f t="shared" si="46"/>
        <v>ПК1</v>
      </c>
      <c r="M36" s="35">
        <f t="shared" si="47"/>
        <v>6.3157894736842177E-2</v>
      </c>
      <c r="O36" s="112" t="str">
        <f>'Шаг 2'!B35</f>
        <v>Индекс цен производителей сельскохозяйственной продукции</v>
      </c>
      <c r="P36" s="112" t="str">
        <f>'Шаг 2'!C35</f>
        <v>в % к предыдущему году</v>
      </c>
      <c r="Q36" s="112" t="str">
        <f>'Шаг 2'!D35</f>
        <v>возрастающий</v>
      </c>
      <c r="R36" s="113">
        <f>'Шаг 2'!H35</f>
        <v>1.06</v>
      </c>
      <c r="S36" s="113">
        <f>'Шаг 2'!I35</f>
        <v>1.1233</v>
      </c>
      <c r="T36" s="113">
        <f>'Шаг 2'!J35</f>
        <v>1.1867000000000001</v>
      </c>
      <c r="U36" s="113">
        <f>'Шаг 2'!K35</f>
        <v>1.25</v>
      </c>
      <c r="V36" s="113">
        <f>'Шаг 2'!L35</f>
        <v>1.75</v>
      </c>
      <c r="W36" s="113">
        <f>'Шаг 2'!M35</f>
        <v>2.25</v>
      </c>
    </row>
    <row r="37" spans="1:23" ht="15.6" x14ac:dyDescent="0.25">
      <c r="A37" s="74" t="s">
        <v>62</v>
      </c>
      <c r="B37" s="176" t="s">
        <v>63</v>
      </c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</row>
    <row r="38" spans="1:23" ht="31.2" x14ac:dyDescent="0.25">
      <c r="A38" s="74" t="s">
        <v>64</v>
      </c>
      <c r="B38" s="1" t="str">
        <f>'Шаг 1'!B37</f>
        <v>Реальные денежные доходы населения</v>
      </c>
      <c r="C38" s="1" t="str">
        <f>'Шаг 1'!C37</f>
        <v>% к предыдущему году</v>
      </c>
      <c r="D38" s="1" t="str">
        <f>'Шаг 1'!D37</f>
        <v>убывающий</v>
      </c>
      <c r="E38" s="36">
        <f>'Шаг 2'!E37</f>
        <v>1.0509999999999999</v>
      </c>
      <c r="F38" s="31" t="str">
        <f>IF(G38=0,"Н",IF(AND(G38&gt;0,G38&lt;0.33),"ПК1",IF(AND(G38&gt;=0.33,G38&lt;0.67),"ПК2",IF(AND(G38&gt;=0.67,G38&lt;1),"ПК3",IF(AND(G38&gt;=1,G38&lt;1.33),"К1",IF(AND(G38&gt;=1.33,G38&lt;1.67),"К2","К3"))))))</f>
        <v>Н</v>
      </c>
      <c r="G38" s="35">
        <f>IF($D38="убывающий",IF(E38&gt;=$R38,0,IF(($R38-E38)/($R38-$U38)&gt;2.5, 2.5,($R38-E38)/($R38-$U38))),IF(E38&lt;=$R38,0,IF(($R38-E38)/($R38-$U38)&gt;2.5, 2.5,($R38-E38)/($R38-$U38))))</f>
        <v>0</v>
      </c>
      <c r="H38" s="36">
        <f>'Шаг 2'!F37</f>
        <v>1.0880000000000001</v>
      </c>
      <c r="I38" s="31" t="str">
        <f>IF(J38=0,"Н",IF(AND(J38&gt;0,J38&lt;0.33),"ПК1",IF(AND(J38&gt;=0.33,J38&lt;0.67),"ПК2",IF(AND(J38&gt;=0.67,J38&lt;1),"ПК3",IF(AND(J38&gt;=1,J38&lt;1.33),"К1",IF(AND(J38&gt;=1.33,J38&lt;1.67),"К2","К3"))))))</f>
        <v>Н</v>
      </c>
      <c r="J38" s="35">
        <f>IF($D38="убывающий",IF(H38&gt;=$R38,0,IF(($R38-H38)/($R38-$U38)&gt;2.5, 2.5,($R38-H38)/($R38-$U38))),IF(H38&lt;=$R38,0,IF(($R38-H38)/($R38-$U38)&gt;2.5, 2.5,($R38-H38)/($R38-$U38))))</f>
        <v>0</v>
      </c>
      <c r="K38" s="36">
        <f>'Шаг 2'!G37</f>
        <v>1.129</v>
      </c>
      <c r="L38" s="31" t="str">
        <f>IF(M38=0,"Н",IF(AND(M38&gt;0,M38&lt;0.33),"ПК1",IF(AND(M38&gt;=0.33,M38&lt;0.67),"ПК2",IF(AND(M38&gt;=0.67,M38&lt;1),"ПК3",IF(AND(M38&gt;=1,M38&lt;1.33),"К1",IF(AND(M38&gt;=1.33,M38&lt;1.67),"К2","К3"))))))</f>
        <v>Н</v>
      </c>
      <c r="M38" s="35">
        <f>IF($D38="убывающий",IF(K38&gt;=$R38,0,IF(($R38-K38)/($R38-$U38)&gt;2.5, 2.5,($R38-K38)/($R38-$U38))),IF(K38&lt;=$R38,0,IF(($R38-K38)/($R38-$U38)&gt;2.5, 2.5,($R38-K38)/($R38-$U38))))</f>
        <v>0</v>
      </c>
      <c r="O38" s="114" t="str">
        <f>'Шаг 2'!B37</f>
        <v>Реальные денежные доходы населения</v>
      </c>
      <c r="P38" s="114" t="str">
        <f>'Шаг 2'!C37</f>
        <v>% к предыдущему году</v>
      </c>
      <c r="Q38" s="114" t="str">
        <f>'Шаг 2'!D37</f>
        <v>убывающий</v>
      </c>
      <c r="R38" s="109">
        <f>'Шаг 2'!H37</f>
        <v>1</v>
      </c>
      <c r="S38" s="109">
        <f>'Шаг 2'!I37</f>
        <v>0.98329999999999995</v>
      </c>
      <c r="T38" s="109">
        <f>'Шаг 2'!J37</f>
        <v>0.9667</v>
      </c>
      <c r="U38" s="109">
        <f>'Шаг 2'!K37</f>
        <v>0.95</v>
      </c>
      <c r="V38" s="109">
        <f>'Шаг 2'!L37</f>
        <v>0.67859999999999998</v>
      </c>
      <c r="W38" s="109">
        <f>'Шаг 2'!M37</f>
        <v>0.52780000000000005</v>
      </c>
    </row>
    <row r="39" spans="1:23" ht="46.8" x14ac:dyDescent="0.25">
      <c r="A39" s="74" t="s">
        <v>65</v>
      </c>
      <c r="B39" s="1" t="str">
        <f>'Шаг 1'!B38</f>
        <v>Численность населения с денежными доходами ниже границы бедности/величины прожиточного минимума</v>
      </c>
      <c r="C39" s="1" t="str">
        <f>'Шаг 1'!C38</f>
        <v>в % от общей численности населения  субъекта</v>
      </c>
      <c r="D39" s="1" t="str">
        <f>'Шаг 1'!D38</f>
        <v>возрастающий</v>
      </c>
      <c r="E39" s="36">
        <f>'Шаг 2'!E38</f>
        <v>4.8000000000000001E-2</v>
      </c>
      <c r="F39" s="31" t="str">
        <f t="shared" ref="F39:F40" si="48">IF(G39=0,"Н",IF(AND(G39&gt;0,G39&lt;0.33),"ПК1",IF(AND(G39&gt;=0.33,G39&lt;0.67),"ПК2",IF(AND(G39&gt;=0.67,G39&lt;1),"ПК3",IF(AND(G39&gt;=1,G39&lt;1.33),"К1",IF(AND(G39&gt;=1.33,G39&lt;1.67),"К2","К3"))))))</f>
        <v>Н</v>
      </c>
      <c r="G39" s="35">
        <f t="shared" ref="G39:G40" si="49">IF($D39="убывающий",IF(E39&gt;=$R39,0,IF(($R39-E39)/($R39-$U39)&gt;2.5, 2.5,($R39-E39)/($R39-$U39))),IF(E39&lt;=$R39,0,IF(($R39-E39)/($R39-$U39)&gt;2.5, 2.5,($R39-E39)/($R39-$U39))))</f>
        <v>0</v>
      </c>
      <c r="H39" s="36">
        <f>'Шаг 2'!F38</f>
        <v>4.4000000000000004E-2</v>
      </c>
      <c r="I39" s="31" t="str">
        <f t="shared" ref="I39:I40" si="50">IF(J39=0,"Н",IF(AND(J39&gt;0,J39&lt;0.33),"ПК1",IF(AND(J39&gt;=0.33,J39&lt;0.67),"ПК2",IF(AND(J39&gt;=0.67,J39&lt;1),"ПК3",IF(AND(J39&gt;=1,J39&lt;1.33),"К1",IF(AND(J39&gt;=1.33,J39&lt;1.67),"К2","К3"))))))</f>
        <v>Н</v>
      </c>
      <c r="J39" s="35">
        <f t="shared" ref="J39:J40" si="51">IF($D39="убывающий",IF(H39&gt;=$R39,0,IF(($R39-H39)/($R39-$U39)&gt;2.5, 2.5,($R39-H39)/($R39-$U39))),IF(H39&lt;=$R39,0,IF(($R39-H39)/($R39-$U39)&gt;2.5, 2.5,($R39-H39)/($R39-$U39))))</f>
        <v>0</v>
      </c>
      <c r="K39" s="36">
        <f>'Шаг 2'!G38</f>
        <v>0.04</v>
      </c>
      <c r="L39" s="31" t="str">
        <f t="shared" ref="L39:L40" si="52">IF(M39=0,"Н",IF(AND(M39&gt;0,M39&lt;0.33),"ПК1",IF(AND(M39&gt;=0.33,M39&lt;0.67),"ПК2",IF(AND(M39&gt;=0.67,M39&lt;1),"ПК3",IF(AND(M39&gt;=1,M39&lt;1.33),"К1",IF(AND(M39&gt;=1.33,M39&lt;1.67),"К2","К3"))))))</f>
        <v>Н</v>
      </c>
      <c r="M39" s="35">
        <f t="shared" ref="M39:M40" si="53">IF($D39="убывающий",IF(K39&gt;=$R39,0,IF(($R39-K39)/($R39-$U39)&gt;2.5, 2.5,($R39-K39)/($R39-$U39))),IF(K39&lt;=$R39,0,IF(($R39-K39)/($R39-$U39)&gt;2.5, 2.5,($R39-K39)/($R39-$U39))))</f>
        <v>0</v>
      </c>
      <c r="O39" s="114" t="str">
        <f>'Шаг 2'!B38</f>
        <v>Численность населения с денежными доходами ниже границы бедности/величины прожиточного минимума</v>
      </c>
      <c r="P39" s="114" t="str">
        <f>'Шаг 2'!C38</f>
        <v>в % от общей численности населения  субъекта</v>
      </c>
      <c r="Q39" s="114" t="str">
        <f>'Шаг 2'!D38</f>
        <v>возрастающий</v>
      </c>
      <c r="R39" s="109">
        <f>'Шаг 2'!H38</f>
        <v>7.0000000000000007E-2</v>
      </c>
      <c r="S39" s="109">
        <f>'Шаг 2'!I38</f>
        <v>0.08</v>
      </c>
      <c r="T39" s="109">
        <f>'Шаг 2'!J38</f>
        <v>0.09</v>
      </c>
      <c r="U39" s="109">
        <f>'Шаг 2'!K38</f>
        <v>0.1</v>
      </c>
      <c r="V39" s="109">
        <f>'Шаг 2'!L38</f>
        <v>0.14000000000000001</v>
      </c>
      <c r="W39" s="109">
        <f>'Шаг 2'!M38</f>
        <v>0.18</v>
      </c>
    </row>
    <row r="40" spans="1:23" ht="31.2" x14ac:dyDescent="0.25">
      <c r="A40" s="74" t="s">
        <v>67</v>
      </c>
      <c r="B40" s="1" t="str">
        <f>'Шаг 1'!B39</f>
        <v>Численность населения на одну больничную койку</v>
      </c>
      <c r="C40" s="1" t="str">
        <f>'Шаг 1'!C39</f>
        <v>человек</v>
      </c>
      <c r="D40" s="1" t="str">
        <f>'Шаг 1'!D39</f>
        <v>убывающий</v>
      </c>
      <c r="E40" s="35">
        <f>'Шаг 2'!E39</f>
        <v>175</v>
      </c>
      <c r="F40" s="31" t="str">
        <f t="shared" si="48"/>
        <v>Н</v>
      </c>
      <c r="G40" s="35">
        <f t="shared" si="49"/>
        <v>0</v>
      </c>
      <c r="H40" s="35">
        <f>'Шаг 2'!F39</f>
        <v>173.2</v>
      </c>
      <c r="I40" s="31" t="str">
        <f t="shared" si="50"/>
        <v>Н</v>
      </c>
      <c r="J40" s="35">
        <f t="shared" si="51"/>
        <v>0</v>
      </c>
      <c r="K40" s="35">
        <f>'Шаг 2'!G39</f>
        <v>175.6</v>
      </c>
      <c r="L40" s="31" t="str">
        <f t="shared" si="52"/>
        <v>Н</v>
      </c>
      <c r="M40" s="35">
        <f t="shared" si="53"/>
        <v>0</v>
      </c>
      <c r="O40" s="114" t="str">
        <f>'Шаг 2'!B39</f>
        <v>Численность населения на одну больничную койку</v>
      </c>
      <c r="P40" s="114" t="str">
        <f>'Шаг 2'!C39</f>
        <v>человек</v>
      </c>
      <c r="Q40" s="114" t="str">
        <f>'Шаг 2'!D39</f>
        <v>убывающий</v>
      </c>
      <c r="R40" s="115">
        <f>'Шаг 2'!H39</f>
        <v>130</v>
      </c>
      <c r="S40" s="115">
        <f>'Шаг 2'!I39</f>
        <v>147</v>
      </c>
      <c r="T40" s="115">
        <f>'Шаг 2'!J39</f>
        <v>163</v>
      </c>
      <c r="U40" s="115">
        <f>'Шаг 2'!K39</f>
        <v>180</v>
      </c>
      <c r="V40" s="115">
        <f>'Шаг 2'!L39</f>
        <v>252</v>
      </c>
      <c r="W40" s="115">
        <f>'Шаг 2'!M39</f>
        <v>324</v>
      </c>
    </row>
    <row r="41" spans="1:23" ht="15.6" x14ac:dyDescent="0.25">
      <c r="A41" s="74" t="s">
        <v>68</v>
      </c>
      <c r="B41" s="177" t="s">
        <v>69</v>
      </c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</row>
    <row r="42" spans="1:23" ht="31.2" x14ac:dyDescent="0.25">
      <c r="A42" s="74" t="s">
        <v>70</v>
      </c>
      <c r="B42" s="1" t="str">
        <f>'Шаг 1'!B41</f>
        <v>Индекс физического объема природоохранных расходов</v>
      </c>
      <c r="C42" s="1" t="str">
        <f>'Шаг 1'!C41</f>
        <v>% к пред. году</v>
      </c>
      <c r="D42" s="1" t="str">
        <f>'Шаг 1'!D41</f>
        <v>убывающий</v>
      </c>
      <c r="E42" s="36">
        <f>'Шаг 2'!E41</f>
        <v>0.90300000000000002</v>
      </c>
      <c r="F42" s="31" t="str">
        <f>IF(G42=0,"Н",IF(AND(G42&gt;0,G42&lt;0.33),"ПК1",IF(AND(G42&gt;=0.33,G42&lt;0.67),"ПК2",IF(AND(G42&gt;=0.67,G42&lt;1),"ПК3",IF(AND(G42&gt;=1,G42&lt;1.33),"К1",IF(AND(G42&gt;=1.33,G42&lt;1.67),"К2","К3"))))))</f>
        <v>К3</v>
      </c>
      <c r="G42" s="35">
        <f>IF($D42="убывающий",IF(E42&gt;=$R42,0,IF(($R42-E42)/($R42-$U42)&gt;2.5, 2.5,($R42-E42)/($R42-$U42))),IF(E42&lt;=$R42,0,IF(($R42-E42)/($R42-$U42)&gt;2.5, 2.5,($R42-E42)/($R42-$U42))))</f>
        <v>1.9399999999999977</v>
      </c>
      <c r="H42" s="36">
        <f>'Шаг 2'!F41</f>
        <v>0.99299999999999999</v>
      </c>
      <c r="I42" s="31" t="str">
        <f>IF(J42=0,"Н",IF(AND(J42&gt;0,J42&lt;0.33),"ПК1",IF(AND(J42&gt;=0.33,J42&lt;0.67),"ПК2",IF(AND(J42&gt;=0.67,J42&lt;1),"ПК3",IF(AND(J42&gt;=1,J42&lt;1.33),"К1",IF(AND(J42&gt;=1.33,J42&lt;1.67),"К2","К3"))))))</f>
        <v>ПК1</v>
      </c>
      <c r="J42" s="35">
        <f>IF($D42="убывающий",IF(H42&gt;=$R42,0,IF(($R42-H42)/($R42-$U42)&gt;2.5, 2.5,($R42-H42)/($R42-$U42))),IF(H42&lt;=$R42,0,IF(($R42-H42)/($R42-$U42)&gt;2.5, 2.5,($R42-H42)/($R42-$U42))))</f>
        <v>0.14000000000000001</v>
      </c>
      <c r="K42" s="36">
        <f>'Шаг 2'!G41</f>
        <v>0.92299999999999993</v>
      </c>
      <c r="L42" s="31" t="str">
        <f>IF(M42=0,"Н",IF(AND(M42&gt;0,M42&lt;0.33),"ПК1",IF(AND(M42&gt;=0.33,M42&lt;0.67),"ПК2",IF(AND(M42&gt;=0.67,M42&lt;1),"ПК3",IF(AND(M42&gt;=1,M42&lt;1.33),"К1",IF(AND(M42&gt;=1.33,M42&lt;1.67),"К2","К3"))))))</f>
        <v>К2</v>
      </c>
      <c r="M42" s="35">
        <f>IF($D42="убывающий",IF(K42&gt;=$R42,0,IF(($R42-K42)/($R42-$U42)&gt;2.5, 2.5,($R42-K42)/($R42-$U42))),IF(K42&lt;=$R42,0,IF(($R42-K42)/($R42-$U42)&gt;2.5, 2.5,($R42-K42)/($R42-$U42))))</f>
        <v>1.54</v>
      </c>
      <c r="O42" s="112" t="str">
        <f>'Шаг 2'!B41</f>
        <v>Индекс физического объема природоохранных расходов</v>
      </c>
      <c r="P42" s="112" t="str">
        <f>'Шаг 2'!C41</f>
        <v>% к пред. году</v>
      </c>
      <c r="Q42" s="112" t="str">
        <f>'Шаг 2'!D41</f>
        <v>убывающий</v>
      </c>
      <c r="R42" s="113">
        <f>'Шаг 2'!H41</f>
        <v>1</v>
      </c>
      <c r="S42" s="113">
        <f>'Шаг 2'!I41</f>
        <v>0.98329999999999995</v>
      </c>
      <c r="T42" s="113">
        <f>'Шаг 2'!J41</f>
        <v>0.9667</v>
      </c>
      <c r="U42" s="113">
        <f>'Шаг 2'!K41</f>
        <v>0.95</v>
      </c>
      <c r="V42" s="113">
        <f>'Шаг 2'!L41</f>
        <v>0.67859999999999998</v>
      </c>
      <c r="W42" s="113">
        <f>'Шаг 2'!M41</f>
        <v>0.52780000000000005</v>
      </c>
    </row>
    <row r="43" spans="1:23" ht="62.4" x14ac:dyDescent="0.25">
      <c r="A43" s="74" t="s">
        <v>72</v>
      </c>
      <c r="B43" s="1" t="str">
        <f>'Шаг 1'!B42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C43" s="1" t="str">
        <f>'Шаг 1'!C42</f>
        <v>%</v>
      </c>
      <c r="D43" s="1" t="str">
        <f>'Шаг 1'!D42</f>
        <v>убывающий</v>
      </c>
      <c r="E43" s="36">
        <f>'Шаг 2'!E42</f>
        <v>0.61</v>
      </c>
      <c r="F43" s="31" t="str">
        <f t="shared" ref="F43:F44" si="54">IF(G43=0,"Н",IF(AND(G43&gt;0,G43&lt;0.33),"ПК1",IF(AND(G43&gt;=0.33,G43&lt;0.67),"ПК2",IF(AND(G43&gt;=0.67,G43&lt;1),"ПК3",IF(AND(G43&gt;=1,G43&lt;1.33),"К1",IF(AND(G43&gt;=1.33,G43&lt;1.67),"К2","К3"))))))</f>
        <v>ПК2</v>
      </c>
      <c r="G43" s="35">
        <f t="shared" ref="G43:G44" si="55">IF($D43="убывающий",IF(E43&gt;=$R43,0,IF(($R43-E43)/($R43-$U43)&gt;2.5, 2.5,($R43-E43)/($R43-$U43))),IF(E43&lt;=$R43,0,IF(($R43-E43)/($R43-$U43)&gt;2.5, 2.5,($R43-E43)/($R43-$U43))))</f>
        <v>0.56000000000000005</v>
      </c>
      <c r="H43" s="36">
        <f>'Шаг 2'!F42</f>
        <v>0.45500000000000002</v>
      </c>
      <c r="I43" s="31" t="str">
        <f t="shared" ref="I43:I44" si="56">IF(J43=0,"Н",IF(AND(J43&gt;0,J43&lt;0.33),"ПК1",IF(AND(J43&gt;=0.33,J43&lt;0.67),"ПК2",IF(AND(J43&gt;=0.67,J43&lt;1),"ПК3",IF(AND(J43&gt;=1,J43&lt;1.33),"К1",IF(AND(J43&gt;=1.33,J43&lt;1.67),"К2","К3"))))))</f>
        <v>К1</v>
      </c>
      <c r="J43" s="35">
        <f t="shared" ref="J43:J44" si="57">IF($D43="убывающий",IF(H43&gt;=$R43,0,IF(($R43-H43)/($R43-$U43)&gt;2.5, 2.5,($R43-H43)/($R43-$U43))),IF(H43&lt;=$R43,0,IF(($R43-H43)/($R43-$U43)&gt;2.5, 2.5,($R43-H43)/($R43-$U43))))</f>
        <v>1.18</v>
      </c>
      <c r="K43" s="36">
        <f>'Шаг 2'!G42</f>
        <v>0.46200000000000002</v>
      </c>
      <c r="L43" s="31" t="str">
        <f t="shared" ref="L43:L44" si="58">IF(M43=0,"Н",IF(AND(M43&gt;0,M43&lt;0.33),"ПК1",IF(AND(M43&gt;=0.33,M43&lt;0.67),"ПК2",IF(AND(M43&gt;=0.67,M43&lt;1),"ПК3",IF(AND(M43&gt;=1,M43&lt;1.33),"К1",IF(AND(M43&gt;=1.33,M43&lt;1.67),"К2","К3"))))))</f>
        <v>К1</v>
      </c>
      <c r="M43" s="35">
        <f t="shared" ref="M43:M44" si="59">IF($D43="убывающий",IF(K43&gt;=$R43,0,IF(($R43-K43)/($R43-$U43)&gt;2.5, 2.5,($R43-K43)/($R43-$U43))),IF(K43&lt;=$R43,0,IF(($R43-K43)/($R43-$U43)&gt;2.5, 2.5,($R43-K43)/($R43-$U43))))</f>
        <v>1.1519999999999999</v>
      </c>
      <c r="O43" s="112" t="str">
        <f>'Шаг 2'!B42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P43" s="112" t="str">
        <f>'Шаг 2'!C42</f>
        <v>%</v>
      </c>
      <c r="Q43" s="112" t="str">
        <f>'Шаг 2'!D42</f>
        <v>убывающий</v>
      </c>
      <c r="R43" s="113">
        <f>'Шаг 2'!H42</f>
        <v>0.75</v>
      </c>
      <c r="S43" s="113">
        <f>'Шаг 2'!I42</f>
        <v>0.66669999999999996</v>
      </c>
      <c r="T43" s="113">
        <f>'Шаг 2'!J42</f>
        <v>0.58330000000000004</v>
      </c>
      <c r="U43" s="113">
        <f>'Шаг 2'!K42</f>
        <v>0.5</v>
      </c>
      <c r="V43" s="113">
        <f>'Шаг 2'!L42</f>
        <v>0.35709999999999997</v>
      </c>
      <c r="W43" s="113">
        <f>'Шаг 2'!M42</f>
        <v>0.27779999999999999</v>
      </c>
    </row>
    <row r="44" spans="1:23" ht="31.2" x14ac:dyDescent="0.25">
      <c r="A44" s="74" t="s">
        <v>73</v>
      </c>
      <c r="B44" s="1" t="str">
        <f>'Шаг 1'!B43</f>
        <v>Доля расходов на защиту окружающей среды в бюджете субьекта</v>
      </c>
      <c r="C44" s="1" t="str">
        <f>'Шаг 1'!C43</f>
        <v>%</v>
      </c>
      <c r="D44" s="1" t="str">
        <f>'Шаг 1'!D43</f>
        <v>убывающий</v>
      </c>
      <c r="E44" s="36">
        <f>'Шаг 2'!E43</f>
        <v>2.2178579065085932E-3</v>
      </c>
      <c r="F44" s="31" t="str">
        <f t="shared" si="54"/>
        <v>ПК3</v>
      </c>
      <c r="G44" s="35">
        <f t="shared" si="55"/>
        <v>0.92738069783046895</v>
      </c>
      <c r="H44" s="36">
        <f>'Шаг 2'!F43</f>
        <v>2.1824270440238902E-3</v>
      </c>
      <c r="I44" s="31" t="str">
        <f t="shared" si="56"/>
        <v>ПК3</v>
      </c>
      <c r="J44" s="35">
        <f t="shared" si="57"/>
        <v>0.93919098532536993</v>
      </c>
      <c r="K44" s="36">
        <f>'Шаг 2'!G43</f>
        <v>1.702530156228433E-3</v>
      </c>
      <c r="L44" s="31" t="str">
        <f t="shared" si="58"/>
        <v>К1</v>
      </c>
      <c r="M44" s="35">
        <f t="shared" si="59"/>
        <v>1.0991566145905225</v>
      </c>
      <c r="O44" s="112" t="str">
        <f>'Шаг 2'!B43</f>
        <v>Доля расходов на защиту окружающей среды в бюджете субьекта</v>
      </c>
      <c r="P44" s="112" t="str">
        <f>'Шаг 2'!C43</f>
        <v>%</v>
      </c>
      <c r="Q44" s="112" t="str">
        <f>'Шаг 2'!D43</f>
        <v>убывающий</v>
      </c>
      <c r="R44" s="113">
        <f>'Шаг 2'!H43</f>
        <v>5.0000000000000001E-3</v>
      </c>
      <c r="S44" s="113">
        <f>'Шаг 2'!I43</f>
        <v>4.0000000000000001E-3</v>
      </c>
      <c r="T44" s="113">
        <f>'Шаг 2'!J43</f>
        <v>3.0000000000000001E-3</v>
      </c>
      <c r="U44" s="113">
        <f>'Шаг 2'!K43</f>
        <v>2E-3</v>
      </c>
      <c r="V44" s="113">
        <f>'Шаг 2'!L43</f>
        <v>1.5E-3</v>
      </c>
      <c r="W44" s="113">
        <f>'Шаг 2'!M43</f>
        <v>1E-3</v>
      </c>
    </row>
  </sheetData>
  <mergeCells count="20">
    <mergeCell ref="O3:W3"/>
    <mergeCell ref="A1:A2"/>
    <mergeCell ref="B1:B2"/>
    <mergeCell ref="C1:C2"/>
    <mergeCell ref="D1:D2"/>
    <mergeCell ref="E1:G1"/>
    <mergeCell ref="B37:M37"/>
    <mergeCell ref="B41:M41"/>
    <mergeCell ref="H1:J1"/>
    <mergeCell ref="K1:M1"/>
    <mergeCell ref="B3:M3"/>
    <mergeCell ref="B4:M4"/>
    <mergeCell ref="B8:M8"/>
    <mergeCell ref="B12:M12"/>
    <mergeCell ref="B24:M24"/>
    <mergeCell ref="B25:M25"/>
    <mergeCell ref="B29:M29"/>
    <mergeCell ref="B33:M33"/>
    <mergeCell ref="B16:M16"/>
    <mergeCell ref="B20:M2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7371-F3FE-43ED-8803-60057BE6927D}">
  <dimension ref="A1:I14"/>
  <sheetViews>
    <sheetView zoomScaleNormal="100" workbookViewId="0">
      <pane ySplit="2" topLeftCell="A3" activePane="bottomLeft" state="frozen"/>
      <selection pane="bottomLeft" sqref="A1:I14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4" width="15.33203125" style="40" bestFit="1" customWidth="1"/>
    <col min="5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21" t="s">
        <v>0</v>
      </c>
      <c r="B1" s="121" t="s">
        <v>1</v>
      </c>
      <c r="C1" s="119">
        <v>2022</v>
      </c>
      <c r="D1" s="119"/>
      <c r="E1" s="119">
        <v>2023</v>
      </c>
      <c r="F1" s="119"/>
      <c r="G1" s="119">
        <v>2024</v>
      </c>
      <c r="H1" s="119"/>
      <c r="I1" s="120" t="s">
        <v>97</v>
      </c>
    </row>
    <row r="2" spans="1:9" ht="14.4" customHeight="1" x14ac:dyDescent="0.25">
      <c r="A2" s="121"/>
      <c r="B2" s="121"/>
      <c r="C2" s="63" t="s">
        <v>141</v>
      </c>
      <c r="D2" s="63" t="s">
        <v>142</v>
      </c>
      <c r="E2" s="63" t="s">
        <v>141</v>
      </c>
      <c r="F2" s="63" t="s">
        <v>142</v>
      </c>
      <c r="G2" s="63" t="s">
        <v>141</v>
      </c>
      <c r="H2" s="63" t="s">
        <v>142</v>
      </c>
      <c r="I2" s="120"/>
    </row>
    <row r="3" spans="1:9" ht="15.6" customHeight="1" x14ac:dyDescent="0.25">
      <c r="A3" s="72">
        <v>1</v>
      </c>
      <c r="B3" s="178" t="s">
        <v>3</v>
      </c>
      <c r="C3" s="178"/>
      <c r="D3" s="178"/>
      <c r="E3" s="178"/>
      <c r="F3" s="178"/>
      <c r="G3" s="178"/>
      <c r="H3" s="178"/>
      <c r="I3" s="178"/>
    </row>
    <row r="4" spans="1:9" ht="15.6" x14ac:dyDescent="0.25">
      <c r="A4" s="73" t="s">
        <v>4</v>
      </c>
      <c r="B4" s="64" t="s">
        <v>5</v>
      </c>
      <c r="C4" s="5" t="str">
        <f>IF(D4=0,"Н",IF(AND(D4&gt;0,D4&lt;0.33),"ПК1",IF(AND(D4&gt;=0.33,D4&lt;0.67),"ПК2",IF(AND(D4&gt;=0.67,D4&lt;1),"ПК3",IF(AND(D4&gt;=1,D4&lt;1.33),"К1",IF(AND(D4&gt;=1.33,D4&lt;1.67),"К2","К3"))))))</f>
        <v>ПК1</v>
      </c>
      <c r="D4" s="5">
        <f>SUM('Шаг 3'!G5*'Шаг 2'!$N$4,'Шаг 3'!G6*'Шаг 2'!$N$5,'Шаг 3'!G7*'Шаг 2'!$N$6)</f>
        <v>1.5000000000000001E-2</v>
      </c>
      <c r="E4" s="5" t="str">
        <f>IF(F4=0,"Н",IF(AND(F4&gt;0,F4&lt;0.33),"ПК1",IF(AND(F4&gt;=0.33,F4&lt;0.67),"ПК2",IF(AND(F4&gt;=0.67,F4&lt;1),"ПК3",IF(AND(F4&gt;=1,F4&lt;1.33),"К1",IF(AND(F4&gt;=1.33,F4&lt;1.67),"К2","К3"))))))</f>
        <v>ПК1</v>
      </c>
      <c r="F4" s="5">
        <f>SUM('Шаг 3'!J5*'Шаг 2'!$N$4,'Шаг 3'!J6*'Шаг 2'!$N$5,'Шаг 3'!J7*'Шаг 2'!$N$6)</f>
        <v>3.000000000000043E-3</v>
      </c>
      <c r="G4" s="5" t="str">
        <f>IF(H4=0,"Н",IF(AND(H4&gt;0,H4&lt;0.33),"ПК1",IF(AND(H4&gt;=0.33,H4&lt;0.67),"ПК2",IF(AND(H4&gt;=0.67,H4&lt;1),"ПК3",IF(AND(H4&gt;=1,H4&lt;1.33),"К1",IF(AND(H4&gt;=1.33,H4&lt;1.67),"К2","К3"))))))</f>
        <v>Н</v>
      </c>
      <c r="H4" s="5">
        <f>SUM('Шаг 3'!M5*'Шаг 2'!$N$4,'Шаг 3'!M6*'Шаг 2'!$N$5,'Шаг 3'!M7*'Шаг 2'!$N$6)</f>
        <v>0</v>
      </c>
      <c r="I4" s="80">
        <v>0.2</v>
      </c>
    </row>
    <row r="5" spans="1:9" ht="15.6" x14ac:dyDescent="0.25">
      <c r="A5" s="73" t="s">
        <v>14</v>
      </c>
      <c r="B5" s="65" t="s">
        <v>15</v>
      </c>
      <c r="C5" s="7" t="str">
        <f>IF(D5=0,"Н",IF(AND(D5&gt;0,D5&lt;0.33),"ПК1",IF(AND(D5&gt;=0.33,D5&lt;0.67),"ПК2",IF(AND(D5&gt;=0.67,D5&lt;1),"ПК3",IF(AND(D5&gt;=1,D5&lt;1.33),"К1",IF(AND(D5&gt;=1.33,D5&lt;1.67),"К2","К3"))))))</f>
        <v>ПК1</v>
      </c>
      <c r="D5" s="7">
        <f>SUM('Шаг 3'!G9*'Шаг 2'!$N$8,'Шаг 3'!G10*'Шаг 2'!$N$9,'Шаг 3'!G11*'Шаг 2'!$N$10)</f>
        <v>1.5384652528844732E-2</v>
      </c>
      <c r="E5" s="7" t="str">
        <f>IF(F5=0,"Н",IF(AND(F5&gt;0,F5&lt;0.33),"ПК1",IF(AND(F5&gt;=0.33,F5&lt;0.67),"ПК2",IF(AND(F5&gt;=0.67,F5&lt;1),"ПК3",IF(AND(F5&gt;=1,F5&lt;1.33),"К1",IF(AND(F5&gt;=1.33,F5&lt;1.67),"К2","К3"))))))</f>
        <v>ПК1</v>
      </c>
      <c r="F5" s="7">
        <f>SUM('Шаг 3'!J9*'Шаг 2'!$N$8,'Шаг 3'!J10*'Шаг 2'!$N$9,'Шаг 3'!J11*'Шаг 2'!$N$10)</f>
        <v>6.6887757949862972E-2</v>
      </c>
      <c r="G5" s="7" t="str">
        <f>IF(H5=0,"Н",IF(AND(H5&gt;0,H5&lt;0.33),"ПК1",IF(AND(H5&gt;=0.33,H5&lt;0.67),"ПК2",IF(AND(H5&gt;=0.67,H5&lt;1),"ПК3",IF(AND(H5&gt;=1,H5&lt;1.33),"К1",IF(AND(H5&gt;=1.33,H5&lt;1.67),"К2","К3"))))))</f>
        <v>ПК1</v>
      </c>
      <c r="H5" s="7">
        <f>SUM('Шаг 3'!M9*'Шаг 2'!$N$8,'Шаг 3'!M10*'Шаг 2'!$N$9,'Шаг 3'!M11*'Шаг 2'!$N$10)</f>
        <v>7.7945405361425815E-2</v>
      </c>
      <c r="I5" s="81">
        <v>0.2</v>
      </c>
    </row>
    <row r="6" spans="1:9" ht="15.6" x14ac:dyDescent="0.25">
      <c r="A6" s="74" t="s">
        <v>19</v>
      </c>
      <c r="B6" s="66" t="s">
        <v>20</v>
      </c>
      <c r="C6" s="8" t="str">
        <f>IF(D6=0,"Н",IF(AND(D6&gt;0,D6&lt;0.33),"ПК1",IF(AND(D6&gt;=0.33,D6&lt;0.67),"ПК2",IF(AND(D6&gt;=0.67,D6&lt;1),"ПК3",IF(AND(D6&gt;=1,D6&lt;1.33),"К1",IF(AND(D6&gt;=1.33,D6&lt;1.67),"К2","К3"))))))</f>
        <v>ПК2</v>
      </c>
      <c r="D6" s="8">
        <f>SUM('Шаг 3'!G13*'Шаг 2'!$N$12,'Шаг 3'!G14*'Шаг 2'!$N$13,'Шаг 3'!G15*'Шаг 2'!$N$14)</f>
        <v>0.38959866220735778</v>
      </c>
      <c r="E6" s="8" t="str">
        <f>IF(F6=0,"Н",IF(AND(F6&gt;0,F6&lt;0.33),"ПК1",IF(AND(F6&gt;=0.33,F6&lt;0.67),"ПК2",IF(AND(F6&gt;=0.67,F6&lt;1),"ПК3",IF(AND(F6&gt;=1,F6&lt;1.33),"К1",IF(AND(F6&gt;=1.33,F6&lt;1.67),"К2","К3"))))))</f>
        <v>Н</v>
      </c>
      <c r="F6" s="8">
        <f>SUM('Шаг 3'!J13*'Шаг 2'!$N$12,'Шаг 3'!J14*'Шаг 2'!$N$13,'Шаг 3'!J15*'Шаг 2'!$N$14)</f>
        <v>0</v>
      </c>
      <c r="G6" s="8" t="str">
        <f>IF(H6=0,"Н",IF(AND(H6&gt;0,H6&lt;0.33),"ПК1",IF(AND(H6&gt;=0.33,H6&lt;0.67),"ПК2",IF(AND(H6&gt;=0.67,H6&lt;1),"ПК3",IF(AND(H6&gt;=1,H6&lt;1.33),"К1",IF(AND(H6&gt;=1.33,H6&lt;1.67),"К2","К3"))))))</f>
        <v>ПК1</v>
      </c>
      <c r="H6" s="8">
        <f>SUM('Шаг 3'!M13*'Шаг 2'!$N$12,'Шаг 3'!M14*'Шаг 2'!$N$13,'Шаг 3'!M15*'Шаг 2'!$N$14)</f>
        <v>0.21819672131147536</v>
      </c>
      <c r="I6" s="82">
        <v>0.2</v>
      </c>
    </row>
    <row r="7" spans="1:9" ht="15.6" x14ac:dyDescent="0.25">
      <c r="A7" s="74" t="s">
        <v>28</v>
      </c>
      <c r="B7" s="67" t="s">
        <v>29</v>
      </c>
      <c r="C7" s="9" t="str">
        <f>IF(D7=0,"Н",IF(AND(D7&gt;0,D7&lt;0.33),"ПК1",IF(AND(D7&gt;=0.33,D7&lt;0.67),"ПК2",IF(AND(D7&gt;=0.67,D7&lt;1),"ПК3",IF(AND(D7&gt;=1,D7&lt;1.33),"К1",IF(AND(D7&gt;=1.33,D7&lt;1.67),"К2","К3"))))))</f>
        <v>ПК2</v>
      </c>
      <c r="D7" s="9">
        <f>SUM('Шаг 3'!G17*'Шаг 2'!$N$16,'Шаг 3'!G18*'Шаг 2'!$N$17,'Шаг 3'!G19*'Шаг 2'!$N$18)</f>
        <v>0.36986703804886989</v>
      </c>
      <c r="E7" s="9" t="str">
        <f>IF(F7=0,"Н",IF(AND(F7&gt;0,F7&lt;0.33),"ПК1",IF(AND(F7&gt;=0.33,F7&lt;0.67),"ПК2",IF(AND(F7&gt;=0.67,F7&lt;1),"ПК3",IF(AND(F7&gt;=1,F7&lt;1.33),"К1",IF(AND(F7&gt;=1.33,F7&lt;1.67),"К2","К3"))))))</f>
        <v>ПК2</v>
      </c>
      <c r="F7" s="9">
        <f>SUM('Шаг 3'!J17*'Шаг 2'!$N$16,'Шаг 3'!J18*'Шаг 2'!$N$17,'Шаг 3'!J19*'Шаг 2'!$N$18)</f>
        <v>0.43066752737141034</v>
      </c>
      <c r="G7" s="9" t="str">
        <f>IF(H7=0,"Н",IF(AND(H7&gt;0,H7&lt;0.33),"ПК1",IF(AND(H7&gt;=0.33,H7&lt;0.67),"ПК2",IF(AND(H7&gt;=0.67,H7&lt;1),"ПК3",IF(AND(H7&gt;=1,H7&lt;1.33),"К1",IF(AND(H7&gt;=1.33,H7&lt;1.67),"К2","К3"))))))</f>
        <v>ПК1</v>
      </c>
      <c r="H7" s="9">
        <f>SUM('Шаг 3'!M17*'Шаг 2'!$N$16,'Шаг 3'!M18*'Шаг 2'!$N$17,'Шаг 3'!M19*'Шаг 2'!$N$18)</f>
        <v>0.32518530091982256</v>
      </c>
      <c r="I7" s="83">
        <v>0.2</v>
      </c>
    </row>
    <row r="8" spans="1:9" ht="15.6" x14ac:dyDescent="0.25">
      <c r="A8" s="73" t="s">
        <v>33</v>
      </c>
      <c r="B8" s="65" t="s">
        <v>34</v>
      </c>
      <c r="C8" s="7" t="str">
        <f>IF(D8=0,"Н",IF(AND(D8&gt;0,D8&lt;0.33),"ПК1",IF(AND(D8&gt;=0.33,D8&lt;0.67),"ПК2",IF(AND(D8&gt;=0.67,D8&lt;1),"ПК3",IF(AND(D8&gt;=1,D8&lt;1.33),"К1",IF(AND(D8&gt;=1.33,D8&lt;1.67),"К2","К3"))))))</f>
        <v>ПК3</v>
      </c>
      <c r="D8" s="7">
        <f>SUM('Шаг 3'!G21*'Шаг 2'!$N$20,'Шаг 3'!G22*'Шаг 2'!$N$21,'Шаг 3'!G23*'Шаг 2'!$N$22)</f>
        <v>0.92399999999999993</v>
      </c>
      <c r="E8" s="7" t="str">
        <f>IF(F8=0,"Н",IF(AND(F8&gt;0,F8&lt;0.33),"ПК1",IF(AND(F8&gt;=0.33,F8&lt;0.67),"ПК2",IF(AND(F8&gt;=0.67,F8&lt;1),"ПК3",IF(AND(F8&gt;=1,F8&lt;1.33),"К1",IF(AND(F8&gt;=1.33,F8&lt;1.67),"К2","К3"))))))</f>
        <v>ПК1</v>
      </c>
      <c r="F8" s="7">
        <f>SUM('Шаг 3'!J21*'Шаг 2'!$N$20,'Шаг 3'!J22*'Шаг 2'!$N$21,'Шаг 3'!J23*'Шаг 2'!$N$22)</f>
        <v>2.7789473684210173E-2</v>
      </c>
      <c r="G8" s="7" t="str">
        <f>IF(H8=0,"Н",IF(AND(H8&gt;0,H8&lt;0.33),"ПК1",IF(AND(H8&gt;=0.33,H8&lt;0.67),"ПК2",IF(AND(H8&gt;=0.67,H8&lt;1),"ПК3",IF(AND(H8&gt;=1,H8&lt;1.33),"К1",IF(AND(H8&gt;=1.33,H8&lt;1.67),"К2","К3"))))))</f>
        <v>ПК1</v>
      </c>
      <c r="H8" s="7">
        <f>SUM('Шаг 3'!M21*'Шаг 2'!$N$20,'Шаг 3'!M22*'Шаг 2'!$N$21,'Шаг 3'!M23*'Шаг 2'!$N$22)</f>
        <v>7.1210526315789363E-2</v>
      </c>
      <c r="I8" s="81">
        <v>0.2</v>
      </c>
    </row>
    <row r="9" spans="1:9" ht="15.6" customHeight="1" x14ac:dyDescent="0.25">
      <c r="A9" s="75">
        <v>2</v>
      </c>
      <c r="B9" s="182" t="s">
        <v>40</v>
      </c>
      <c r="C9" s="182"/>
      <c r="D9" s="182"/>
      <c r="E9" s="182"/>
      <c r="F9" s="182"/>
      <c r="G9" s="182"/>
      <c r="H9" s="182"/>
      <c r="I9" s="182"/>
    </row>
    <row r="10" spans="1:9" ht="15.6" x14ac:dyDescent="0.3">
      <c r="A10" s="73" t="s">
        <v>41</v>
      </c>
      <c r="B10" s="68" t="s">
        <v>42</v>
      </c>
      <c r="C10" s="76" t="str">
        <f>IF(D10=0,"Н",IF(AND(D10&gt;0,D10&lt;0.33),"ПК1",IF(AND(D10&gt;=0.33,D10&lt;0.67),"ПК2",IF(AND(D10&gt;=0.67,D10&lt;1),"ПК3",IF(AND(D10&gt;=1,D10&lt;1.33),"К1",IF(AND(D10&gt;=1.33,D10&lt;1.67),"К2","К3"))))))</f>
        <v>ПК3</v>
      </c>
      <c r="D10" s="76">
        <f>SUM('Шаг 3'!G26*'Шаг 2'!$N$25,'Шаг 3'!G27*'Шаг 2'!$N$26,'Шаг 3'!G28*'Шаг 2'!$N$27)</f>
        <v>0.69662652790314061</v>
      </c>
      <c r="E10" s="76" t="str">
        <f>IF(F10=0,"Н",IF(AND(F10&gt;0,F10&lt;0.33),"ПК1",IF(AND(F10&gt;=0.33,F10&lt;0.67),"ПК2",IF(AND(F10&gt;=0.67,F10&lt;1),"ПК3",IF(AND(F10&gt;=1,F10&lt;1.33),"К1",IF(AND(F10&gt;=1.33,F10&lt;1.67),"К2","К3"))))))</f>
        <v>ПК3</v>
      </c>
      <c r="F10" s="76">
        <f>SUM('Шаг 3'!J26*'Шаг 2'!$N$25,'Шаг 3'!J27*'Шаг 2'!$N$26,'Шаг 3'!J28*'Шаг 2'!$N$27)</f>
        <v>0.70940575492131042</v>
      </c>
      <c r="G10" s="76" t="str">
        <f>IF(H10=0,"Н",IF(AND(H10&gt;0,H10&lt;0.33),"ПК1",IF(AND(H10&gt;=0.33,H10&lt;0.67),"ПК2",IF(AND(H10&gt;=0.67,H10&lt;1),"ПК3",IF(AND(H10&gt;=1,H10&lt;1.33),"К1",IF(AND(H10&gt;=1.33,H10&lt;1.67),"К2","К3"))))))</f>
        <v>ПК3</v>
      </c>
      <c r="H10" s="76">
        <f>SUM('Шаг 3'!M26*'Шаг 2'!$N$25,'Шаг 3'!M27*'Шаг 2'!$N$26,'Шаг 3'!M28*'Шаг 2'!$N$27)</f>
        <v>0.7236866459483392</v>
      </c>
      <c r="I10" s="84">
        <v>0.2</v>
      </c>
    </row>
    <row r="11" spans="1:9" ht="15.6" x14ac:dyDescent="0.3">
      <c r="A11" s="74" t="s">
        <v>49</v>
      </c>
      <c r="B11" s="69" t="s">
        <v>50</v>
      </c>
      <c r="C11" s="77" t="str">
        <f>IF(D11=0,"Н",IF(AND(D11&gt;0,D11&lt;0.33),"ПК1",IF(AND(D11&gt;=0.33,D11&lt;0.67),"ПК2",IF(AND(D11&gt;=0.67,D11&lt;1),"ПК3",IF(AND(D11&gt;=1,D11&lt;1.33),"К1",IF(AND(D11&gt;=1.33,D11&lt;1.67),"К2","К3"))))))</f>
        <v>К1</v>
      </c>
      <c r="D11" s="77">
        <f>SUM('Шаг 3'!G30*'Шаг 2'!$N$29,'Шаг 3'!G31*'Шаг 2'!$N$30,'Шаг 3'!G32*'Шаг 2'!$N$31)</f>
        <v>1.0095654822335025</v>
      </c>
      <c r="E11" s="77" t="str">
        <f>IF(F11=0,"Н",IF(AND(F11&gt;0,F11&lt;0.33),"ПК1",IF(AND(F11&gt;=0.33,F11&lt;0.67),"ПК2",IF(AND(F11&gt;=0.67,F11&lt;1),"ПК3",IF(AND(F11&gt;=1,F11&lt;1.33),"К1",IF(AND(F11&gt;=1.33,F11&lt;1.67),"К2","К3"))))))</f>
        <v>К2</v>
      </c>
      <c r="F11" s="77">
        <f>SUM('Шаг 3'!J30*'Шаг 2'!$N$29,'Шаг 3'!J31*'Шаг 2'!$N$30,'Шаг 3'!J32*'Шаг 2'!$N$31)</f>
        <v>1.4850000000000001</v>
      </c>
      <c r="G11" s="77" t="str">
        <f>IF(H11=0,"Н",IF(AND(H11&gt;0,H11&lt;0.33),"ПК1",IF(AND(H11&gt;=0.33,H11&lt;0.67),"ПК2",IF(AND(H11&gt;=0.67,H11&lt;1),"ПК3",IF(AND(H11&gt;=1,H11&lt;1.33),"К1",IF(AND(H11&gt;=1.33,H11&lt;1.67),"К2","К3"))))))</f>
        <v>К1</v>
      </c>
      <c r="H11" s="77">
        <f>SUM('Шаг 3'!M30*'Шаг 2'!$N$29,'Шаг 3'!M31*'Шаг 2'!$N$30,'Шаг 3'!M32*'Шаг 2'!$N$31)</f>
        <v>1.2753097696584592</v>
      </c>
      <c r="I11" s="85">
        <v>0.2</v>
      </c>
    </row>
    <row r="12" spans="1:9" ht="15.6" x14ac:dyDescent="0.3">
      <c r="A12" s="74" t="s">
        <v>56</v>
      </c>
      <c r="B12" s="70" t="s">
        <v>57</v>
      </c>
      <c r="C12" s="78" t="str">
        <f>IF(D12=0,"Н",IF(AND(D12&gt;0,D12&lt;0.33),"ПК1",IF(AND(D12&gt;=0.33,D12&lt;0.67),"ПК2",IF(AND(D12&gt;=0.67,D12&lt;1),"ПК3",IF(AND(D12&gt;=1,D12&lt;1.33),"К1",IF(AND(D12&gt;=1.33,D12&lt;1.67),"К2","К3"))))))</f>
        <v>ПК3</v>
      </c>
      <c r="D12" s="78">
        <f>SUM('Шаг 3'!G34*'Шаг 2'!$N$33,'Шаг 3'!G35*'Шаг 2'!$N$34,'Шаг 3'!G36*'Шаг 2'!$N$35)</f>
        <v>0.9361578947368423</v>
      </c>
      <c r="E12" s="78" t="str">
        <f>IF(F12=0,"Н",IF(AND(F12&gt;0,F12&lt;0.33),"ПК1",IF(AND(F12&gt;=0.33,F12&lt;0.67),"ПК2",IF(AND(F12&gt;=0.67,F12&lt;1),"ПК3",IF(AND(F12&gt;=1,F12&lt;1.33),"К1",IF(AND(F12&gt;=1.33,F12&lt;1.67),"К2","К3"))))))</f>
        <v>ПК2</v>
      </c>
      <c r="F12" s="78">
        <f>SUM('Шаг 3'!J34*'Шаг 2'!$N$33,'Шаг 3'!J35*'Шаг 2'!$N$34,'Шаг 3'!J36*'Шаг 2'!$N$35)</f>
        <v>0.34389473684210492</v>
      </c>
      <c r="G12" s="78" t="str">
        <f>IF(H12=0,"Н",IF(AND(H12&gt;0,H12&lt;0.33),"ПК1",IF(AND(H12&gt;=0.33,H12&lt;0.67),"ПК2",IF(AND(H12&gt;=0.67,H12&lt;1),"ПК3",IF(AND(H12&gt;=1,H12&lt;1.33),"К1",IF(AND(H12&gt;=1.33,H12&lt;1.67),"К2","К3"))))))</f>
        <v>ПК1</v>
      </c>
      <c r="H12" s="78">
        <f>SUM('Шаг 3'!M34*'Шаг 2'!$N$33,'Шаг 3'!M35*'Шаг 2'!$N$34,'Шаг 3'!M36*'Шаг 2'!$N$35)</f>
        <v>0.17194736842105263</v>
      </c>
      <c r="I12" s="86">
        <v>0.2</v>
      </c>
    </row>
    <row r="13" spans="1:9" ht="15.6" x14ac:dyDescent="0.3">
      <c r="A13" s="74" t="s">
        <v>62</v>
      </c>
      <c r="B13" s="71" t="s">
        <v>63</v>
      </c>
      <c r="C13" s="79" t="str">
        <f>IF(D13=0,"Н",IF(AND(D13&gt;0,D13&lt;0.33),"ПК1",IF(AND(D13&gt;=0.33,D13&lt;0.67),"ПК2",IF(AND(D13&gt;=0.67,D13&lt;1),"ПК3",IF(AND(D13&gt;=1,D13&lt;1.33),"К1",IF(AND(D13&gt;=1.33,D13&lt;1.67),"К2","К3"))))))</f>
        <v>Н</v>
      </c>
      <c r="D13" s="79">
        <f>SUM('Шаг 3'!G37*'Шаг 2'!$N$36,'Шаг 3'!G38*'Шаг 2'!$N$37,'Шаг 3'!G39*'Шаг 2'!$N$38)</f>
        <v>0</v>
      </c>
      <c r="E13" s="79" t="str">
        <f>IF(F13=0,"Н",IF(AND(F13&gt;0,F13&lt;0.33),"ПК1",IF(AND(F13&gt;=0.33,F13&lt;0.67),"ПК2",IF(AND(F13&gt;=0.67,F13&lt;1),"ПК3",IF(AND(F13&gt;=1,F13&lt;1.33),"К1",IF(AND(F13&gt;=1.33,F13&lt;1.67),"К2","К3"))))))</f>
        <v>Н</v>
      </c>
      <c r="F13" s="79">
        <f>SUM('Шаг 3'!J37*'Шаг 2'!$N$36,'Шаг 3'!J38*'Шаг 2'!$N$37,'Шаг 3'!J39*'Шаг 2'!$N$38)</f>
        <v>0</v>
      </c>
      <c r="G13" s="79" t="str">
        <f>IF(H13=0,"Н",IF(AND(H13&gt;0,H13&lt;0.33),"ПК1",IF(AND(H13&gt;=0.33,H13&lt;0.67),"ПК2",IF(AND(H13&gt;=0.67,H13&lt;1),"ПК3",IF(AND(H13&gt;=1,H13&lt;1.33),"К1",IF(AND(H13&gt;=1.33,H13&lt;1.67),"К2","К3"))))))</f>
        <v>Н</v>
      </c>
      <c r="H13" s="79">
        <f>SUM('Шаг 3'!M37*'Шаг 2'!$N$36,'Шаг 3'!M38*'Шаг 2'!$N$37,'Шаг 3'!M39*'Шаг 2'!$N$38)</f>
        <v>0</v>
      </c>
      <c r="I13" s="87">
        <v>0.2</v>
      </c>
    </row>
    <row r="14" spans="1:9" ht="15.6" x14ac:dyDescent="0.3">
      <c r="A14" s="74" t="s">
        <v>68</v>
      </c>
      <c r="B14" s="70" t="s">
        <v>69</v>
      </c>
      <c r="C14" s="78" t="str">
        <f>IF(D14=0,"Н",IF(AND(D14&gt;0,D14&lt;0.33),"ПК1",IF(AND(D14&gt;=0.33,D14&lt;0.67),"ПК2",IF(AND(D14&gt;=0.67,D14&lt;1),"ПК3",IF(AND(D14&gt;=1,D14&lt;1.33),"К1",IF(AND(D14&gt;=1.33,D14&lt;1.67),"К2","К3"))))))</f>
        <v>ПК3</v>
      </c>
      <c r="D14" s="78">
        <f>SUM('Шаг 3'!G41*'Шаг 2'!$N$40,'Шаг 3'!G42*'Шаг 2'!$N$41,'Шаг 3'!G43*'Шаг 2'!$N$42)</f>
        <v>0.82499999999999929</v>
      </c>
      <c r="E14" s="78" t="str">
        <f>IF(F14=0,"Н",IF(AND(F14&gt;0,F14&lt;0.33),"ПК1",IF(AND(F14&gt;=0.33,F14&lt;0.67),"ПК2",IF(AND(F14&gt;=0.67,F14&lt;1),"ПК3",IF(AND(F14&gt;=1,F14&lt;1.33),"К1",IF(AND(F14&gt;=1.33,F14&lt;1.67),"К2","К3"))))))</f>
        <v>ПК2</v>
      </c>
      <c r="F14" s="78">
        <f>SUM('Шаг 3'!J41*'Шаг 2'!$N$40,'Шаг 3'!J42*'Шаг 2'!$N$41,'Шаг 3'!J43*'Шаг 2'!$N$42)</f>
        <v>0.43560000000000004</v>
      </c>
      <c r="G14" s="78" t="str">
        <f>IF(H14=0,"Н",IF(AND(H14&gt;0,H14&lt;0.33),"ПК1",IF(AND(H14&gt;=0.33,H14&lt;0.67),"ПК2",IF(AND(H14&gt;=0.67,H14&lt;1),"ПК3",IF(AND(H14&gt;=1,H14&lt;1.33),"К1",IF(AND(H14&gt;=1.33,H14&lt;1.67),"К2","К3"))))))</f>
        <v>ПК3</v>
      </c>
      <c r="H14" s="78">
        <f>SUM('Шаг 3'!M41*'Шаг 2'!$N$40,'Шаг 3'!M42*'Шаг 2'!$N$41,'Шаг 3'!M43*'Шаг 2'!$N$42)</f>
        <v>0.88836000000000004</v>
      </c>
      <c r="I14" s="86">
        <v>0.2</v>
      </c>
    </row>
  </sheetData>
  <mergeCells count="8">
    <mergeCell ref="B9:I9"/>
    <mergeCell ref="A1:A2"/>
    <mergeCell ref="B1:B2"/>
    <mergeCell ref="C1:D1"/>
    <mergeCell ref="E1:F1"/>
    <mergeCell ref="G1:H1"/>
    <mergeCell ref="I1:I2"/>
    <mergeCell ref="B3:I3"/>
  </mergeCells>
  <pageMargins left="0.7" right="0.7" top="0.75" bottom="0.75" header="0.3" footer="0.3"/>
  <pageSetup paperSize="9" orientation="portrait" verticalDpi="0" r:id="rId1"/>
  <ignoredErrors>
    <ignoredError sqref="F4:F8 D4:D8 D10:D11 F10:F14 D12:D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6ABC-64D8-4A0C-A42C-4991EBC32CED}">
  <dimension ref="A1:I6"/>
  <sheetViews>
    <sheetView zoomScaleNormal="100" workbookViewId="0">
      <pane ySplit="2" topLeftCell="A3" activePane="bottomLeft" state="frozen"/>
      <selection pane="bottomLeft" activeCell="C3" sqref="C3"/>
    </sheetView>
  </sheetViews>
  <sheetFormatPr defaultRowHeight="13.8" x14ac:dyDescent="0.25"/>
  <cols>
    <col min="1" max="1" width="7.109375" style="40" bestFit="1" customWidth="1"/>
    <col min="2" max="2" width="31.88671875" style="40" customWidth="1"/>
    <col min="3" max="4" width="15.33203125" style="40" bestFit="1" customWidth="1"/>
    <col min="5" max="5" width="8.88671875" style="40"/>
    <col min="6" max="6" width="12.6640625" style="40" bestFit="1" customWidth="1"/>
    <col min="7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21" t="s">
        <v>0</v>
      </c>
      <c r="B1" s="121" t="s">
        <v>1</v>
      </c>
      <c r="C1" s="119">
        <v>2022</v>
      </c>
      <c r="D1" s="119"/>
      <c r="E1" s="119">
        <v>2023</v>
      </c>
      <c r="F1" s="119"/>
      <c r="G1" s="119">
        <v>2024</v>
      </c>
      <c r="H1" s="119"/>
    </row>
    <row r="2" spans="1:9" ht="14.4" customHeight="1" x14ac:dyDescent="0.25">
      <c r="A2" s="121"/>
      <c r="B2" s="121"/>
      <c r="C2" s="63" t="s">
        <v>141</v>
      </c>
      <c r="D2" s="63" t="s">
        <v>142</v>
      </c>
      <c r="E2" s="63" t="s">
        <v>141</v>
      </c>
      <c r="F2" s="63" t="s">
        <v>142</v>
      </c>
      <c r="G2" s="63" t="s">
        <v>141</v>
      </c>
      <c r="H2" s="63" t="s">
        <v>142</v>
      </c>
    </row>
    <row r="3" spans="1:9" ht="46.8" x14ac:dyDescent="0.25">
      <c r="A3" s="93">
        <v>1</v>
      </c>
      <c r="B3" s="93" t="s">
        <v>143</v>
      </c>
      <c r="C3" s="91" t="str">
        <f>IF(D3=0,"Н",IF(AND(D3&gt;0,D3&lt;0.33),"ПК1",IF(AND(D3&gt;=0.33,D3&lt;0.67),"ПК2",IF(AND(D3&gt;=0.67,D3&lt;1),"ПК3",IF(AND(D3&gt;=1,D3&lt;1.33),"К1",IF(AND(D3&gt;=1.33,D3&lt;1.67),"К2","К3"))))))</f>
        <v>ПК2</v>
      </c>
      <c r="D3" s="91">
        <f>SUM(D5*$I$5,D6*$I$6)</f>
        <v>0.5181200257658557</v>
      </c>
      <c r="E3" s="91" t="str">
        <f>IF(F3=0,"Н",IF(AND(F3&gt;0,F3&lt;0.33),"ПК1",IF(AND(F3&gt;=0.33,F3&lt;0.67),"ПК2",IF(AND(F3&gt;=0.67,F3&lt;1),"ПК3",IF(AND(F3&gt;=1,F3&lt;1.33),"К1",IF(AND(F3&gt;=1.33,F3&lt;1.67),"К2","К3"))))))</f>
        <v>ПК2</v>
      </c>
      <c r="F3" s="91">
        <f>SUM(F5*$I$5,F6*$I$6)</f>
        <v>0.35022452507688989</v>
      </c>
      <c r="G3" s="91" t="str">
        <f>IF(H3=0,"Н",IF(AND(H3&gt;0,H3&lt;0.33),"ПК1",IF(AND(H3&gt;=0.33,H3&lt;0.67),"ПК2",IF(AND(H3&gt;=0.67,H3&lt;1),"ПК3",IF(AND(H3&gt;=1,H3&lt;1.33),"К1",IF(AND(H3&gt;=1.33,H3&lt;1.67),"К2","К3"))))))</f>
        <v>ПК2</v>
      </c>
      <c r="H3" s="91">
        <f>SUM(H5*$I$5,H6*$I$6)</f>
        <v>0.37518417379363644</v>
      </c>
      <c r="I3" s="88"/>
    </row>
    <row r="4" spans="1:9" ht="14.4" customHeight="1" x14ac:dyDescent="0.25">
      <c r="A4" s="186" t="s">
        <v>144</v>
      </c>
      <c r="B4" s="187"/>
      <c r="C4" s="187"/>
      <c r="D4" s="187"/>
      <c r="E4" s="187"/>
      <c r="F4" s="187"/>
      <c r="G4" s="187"/>
      <c r="H4" s="188"/>
      <c r="I4" s="31" t="s">
        <v>97</v>
      </c>
    </row>
    <row r="5" spans="1:9" ht="31.2" x14ac:dyDescent="0.25">
      <c r="A5" s="95" t="s">
        <v>4</v>
      </c>
      <c r="B5" s="71" t="s">
        <v>3</v>
      </c>
      <c r="C5" s="48" t="str">
        <f>IF(D5=0,"Н",IF(AND(D5&gt;0,D5&lt;0.33),"ПК1",IF(AND(D5&gt;=0.33,D5&lt;0.67),"ПК2",IF(AND(D5&gt;=0.67,D5&lt;1),"ПК3",IF(AND(D5&gt;=1,D5&lt;1.33),"К1",IF(AND(D5&gt;=1.33,D5&lt;1.67),"К2","К3"))))))</f>
        <v>ПК2</v>
      </c>
      <c r="D5" s="48">
        <f>SUM('Шаг 4'!D$4*'Шаг 4'!$I$4,'Шаг 4'!D$5*'Шаг 4'!$I$5,'Шаг 4'!D$6*'Шаг 4'!$I$6,'Шаг 4'!D$7*'Шаг 4'!$I$7,'Шаг 4'!D$8*'Шаг 4'!$I$8)</f>
        <v>0.34277007055701447</v>
      </c>
      <c r="E5" s="48" t="str">
        <f>IF(F5=0,"Н",IF(AND(F5&gt;0,F5&lt;0.33),"ПК1",IF(AND(F5&gt;=0.33,F5&lt;0.67),"ПК2",IF(AND(F5&gt;=0.67,F5&lt;1),"ПК3",IF(AND(F5&gt;=1,F5&lt;1.33),"К1",IF(AND(F5&gt;=1.33,F5&lt;1.67),"К2","К3"))))))</f>
        <v>ПК1</v>
      </c>
      <c r="F5" s="48">
        <f>SUM('Шаг 4'!F$4*'Шаг 4'!$I$4,'Шаг 4'!F$5*'Шаг 4'!$I$5,'Шаг 4'!F$6*'Шаг 4'!$I$6,'Шаг 4'!F$7*'Шаг 4'!$I$7,'Шаг 4'!F$8*'Шаг 4'!$I$8)</f>
        <v>0.10566895180109671</v>
      </c>
      <c r="G5" s="48" t="str">
        <f>IF(H5=0,"Н",IF(AND(H5&gt;0,H5&lt;0.33),"ПК1",IF(AND(H5&gt;=0.33,H5&lt;0.67),"ПК2",IF(AND(H5&gt;=0.67,H5&lt;1),"ПК3",IF(AND(H5&gt;=1,H5&lt;1.33),"К1",IF(AND(H5&gt;=1.33,H5&lt;1.67),"К2","К3"))))))</f>
        <v>ПК1</v>
      </c>
      <c r="H5" s="48">
        <f>SUM('Шаг 4'!H$4*'Шаг 4'!$I$4,'Шаг 4'!H$5*'Шаг 4'!$I$5,'Шаг 4'!H$6*'Шаг 4'!$I$6,'Шаг 4'!H$7*'Шаг 4'!$I$7,'Шаг 4'!H$8*'Шаг 4'!$I$8)</f>
        <v>0.13850759078170261</v>
      </c>
      <c r="I5" s="89">
        <v>0.5</v>
      </c>
    </row>
    <row r="6" spans="1:9" ht="31.2" x14ac:dyDescent="0.25">
      <c r="A6" s="96" t="s">
        <v>14</v>
      </c>
      <c r="B6" s="94" t="s">
        <v>40</v>
      </c>
      <c r="C6" s="92" t="str">
        <f>IF(D6=0,"Н",IF(AND(D6&gt;0,D6&lt;0.33),"ПК1",IF(AND(D6&gt;=0.33,D6&lt;0.67),"ПК2",IF(AND(D6&gt;=0.67,D6&lt;1),"ПК3",IF(AND(D6&gt;=1,D6&lt;1.33),"К1",IF(AND(D6&gt;=1.33,D6&lt;1.67),"К2","К3"))))))</f>
        <v>ПК3</v>
      </c>
      <c r="D6" s="92">
        <f>SUM('Шаг 4'!D$10*'Шаг 4'!$I$10,'Шаг 4'!D$11*'Шаг 4'!$I$11,'Шаг 4'!D$12*'Шаг 4'!$I$12,'Шаг 4'!D$13*'Шаг 4'!$I$13,'Шаг 4'!D$14*'Шаг 4'!$I$14)</f>
        <v>0.69346998097469692</v>
      </c>
      <c r="E6" s="92" t="str">
        <f>IF(F6=0,"Н",IF(AND(F6&gt;0,F6&lt;0.33),"ПК1",IF(AND(F6&gt;=0.33,F6&lt;0.67),"ПК2",IF(AND(F6&gt;=0.67,F6&lt;1),"ПК3",IF(AND(F6&gt;=1,F6&lt;1.33),"К1",IF(AND(F6&gt;=1.33,F6&lt;1.67),"К2","К3"))))))</f>
        <v>ПК2</v>
      </c>
      <c r="F6" s="92">
        <f>SUM('Шаг 4'!F$10*'Шаг 4'!$I$10,'Шаг 4'!F$11*'Шаг 4'!$I$11,'Шаг 4'!F$12*'Шаг 4'!$I$12,'Шаг 4'!F$13*'Шаг 4'!$I$13,'Шаг 4'!F$14*'Шаг 4'!$I$14)</f>
        <v>0.59478009835268308</v>
      </c>
      <c r="G6" s="92" t="str">
        <f>IF(H6=0,"Н",IF(AND(H6&gt;0,H6&lt;0.33),"ПК1",IF(AND(H6&gt;=0.33,H6&lt;0.67),"ПК2",IF(AND(H6&gt;=0.67,H6&lt;1),"ПК3",IF(AND(H6&gt;=1,H6&lt;1.33),"К1",IF(AND(H6&gt;=1.33,H6&lt;1.67),"К2","К3"))))))</f>
        <v>ПК2</v>
      </c>
      <c r="H6" s="92">
        <f>SUM('Шаг 4'!H$10*'Шаг 4'!$I$10,'Шаг 4'!H$11*'Шаг 4'!$I$11,'Шаг 4'!H$12*'Шаг 4'!$I$12,'Шаг 4'!H$13*'Шаг 4'!$I$13,'Шаг 4'!H$14*'Шаг 4'!$I$14)</f>
        <v>0.61186075680557028</v>
      </c>
      <c r="I6" s="90">
        <v>0.5</v>
      </c>
    </row>
  </sheetData>
  <mergeCells count="6">
    <mergeCell ref="A4:H4"/>
    <mergeCell ref="A1:A2"/>
    <mergeCell ref="B1:B2"/>
    <mergeCell ref="C1:D1"/>
    <mergeCell ref="E1:F1"/>
    <mergeCell ref="G1:H1"/>
  </mergeCells>
  <pageMargins left="0.7" right="0.7" top="0.75" bottom="0.75" header="0.3" footer="0.3"/>
  <pageSetup paperSize="9" orientation="portrait" verticalDpi="0" r:id="rId1"/>
  <ignoredErrors>
    <ignoredError sqref="D3 D5:D6 F5:F6 F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3EE7-3093-4D06-9D4A-9B9E9075D9A7}">
  <dimension ref="A1:I17"/>
  <sheetViews>
    <sheetView tabSelected="1" topLeftCell="B1" zoomScaleNormal="100" workbookViewId="0">
      <pane ySplit="2" topLeftCell="A3" activePane="bottomLeft" state="frozen"/>
      <selection pane="bottomLeft" activeCell="Y15" sqref="Y15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3" width="15.33203125" style="40" bestFit="1" customWidth="1"/>
    <col min="4" max="4" width="12.6640625" style="40" bestFit="1" customWidth="1"/>
    <col min="5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21" t="s">
        <v>0</v>
      </c>
      <c r="B1" s="121" t="s">
        <v>1</v>
      </c>
      <c r="C1" s="119">
        <v>2022</v>
      </c>
      <c r="D1" s="119"/>
      <c r="E1" s="119">
        <v>2023</v>
      </c>
      <c r="F1" s="119"/>
      <c r="G1" s="119">
        <v>2024</v>
      </c>
      <c r="H1" s="119"/>
      <c r="I1" s="120" t="s">
        <v>97</v>
      </c>
    </row>
    <row r="2" spans="1:9" ht="14.4" customHeight="1" x14ac:dyDescent="0.25">
      <c r="A2" s="121"/>
      <c r="B2" s="121"/>
      <c r="C2" s="63" t="s">
        <v>141</v>
      </c>
      <c r="D2" s="63" t="s">
        <v>142</v>
      </c>
      <c r="E2" s="63" t="s">
        <v>141</v>
      </c>
      <c r="F2" s="63" t="s">
        <v>142</v>
      </c>
      <c r="G2" s="63" t="s">
        <v>141</v>
      </c>
      <c r="H2" s="63" t="s">
        <v>142</v>
      </c>
      <c r="I2" s="120"/>
    </row>
    <row r="3" spans="1:9" ht="15.6" x14ac:dyDescent="0.25">
      <c r="A3" s="73" t="s">
        <v>4</v>
      </c>
      <c r="B3" s="64" t="s">
        <v>5</v>
      </c>
      <c r="C3" s="5" t="str">
        <f>'Шаг 4'!C4</f>
        <v>ПК1</v>
      </c>
      <c r="D3" s="5">
        <f>'Шаг 4'!D4</f>
        <v>1.5000000000000001E-2</v>
      </c>
      <c r="E3" s="5" t="str">
        <f>'Шаг 4'!E4</f>
        <v>ПК1</v>
      </c>
      <c r="F3" s="5">
        <f>'Шаг 4'!F4</f>
        <v>3.000000000000043E-3</v>
      </c>
      <c r="G3" s="5" t="str">
        <f>'Шаг 4'!G4</f>
        <v>Н</v>
      </c>
      <c r="H3" s="5">
        <f>'Шаг 4'!H4</f>
        <v>0</v>
      </c>
      <c r="I3" s="80">
        <f>'Шаг 4'!I4</f>
        <v>0.2</v>
      </c>
    </row>
    <row r="4" spans="1:9" ht="15.6" x14ac:dyDescent="0.25">
      <c r="A4" s="73" t="s">
        <v>14</v>
      </c>
      <c r="B4" s="65" t="s">
        <v>15</v>
      </c>
      <c r="C4" s="7" t="str">
        <f>'Шаг 4'!C5</f>
        <v>ПК1</v>
      </c>
      <c r="D4" s="7">
        <f>'Шаг 4'!D5</f>
        <v>1.5384652528844732E-2</v>
      </c>
      <c r="E4" s="7" t="str">
        <f>'Шаг 4'!E5</f>
        <v>ПК1</v>
      </c>
      <c r="F4" s="7">
        <f>'Шаг 4'!F5</f>
        <v>6.6887757949862972E-2</v>
      </c>
      <c r="G4" s="7" t="str">
        <f>'Шаг 4'!G5</f>
        <v>ПК1</v>
      </c>
      <c r="H4" s="7">
        <f>'Шаг 4'!H5</f>
        <v>7.7945405361425815E-2</v>
      </c>
      <c r="I4" s="81">
        <f>'Шаг 4'!I5</f>
        <v>0.2</v>
      </c>
    </row>
    <row r="5" spans="1:9" ht="15.6" x14ac:dyDescent="0.25">
      <c r="A5" s="74" t="s">
        <v>19</v>
      </c>
      <c r="B5" s="66" t="s">
        <v>20</v>
      </c>
      <c r="C5" s="8" t="str">
        <f>'Шаг 4'!C6</f>
        <v>ПК2</v>
      </c>
      <c r="D5" s="8">
        <f>'Шаг 4'!D6</f>
        <v>0.38959866220735778</v>
      </c>
      <c r="E5" s="8" t="str">
        <f>'Шаг 4'!E6</f>
        <v>Н</v>
      </c>
      <c r="F5" s="8">
        <f>'Шаг 4'!F6</f>
        <v>0</v>
      </c>
      <c r="G5" s="8" t="str">
        <f>'Шаг 4'!G6</f>
        <v>ПК1</v>
      </c>
      <c r="H5" s="8">
        <f>'Шаг 4'!H6</f>
        <v>0.21819672131147536</v>
      </c>
      <c r="I5" s="82">
        <f>'Шаг 4'!I6</f>
        <v>0.2</v>
      </c>
    </row>
    <row r="6" spans="1:9" ht="15.6" x14ac:dyDescent="0.25">
      <c r="A6" s="74" t="s">
        <v>28</v>
      </c>
      <c r="B6" s="67" t="s">
        <v>29</v>
      </c>
      <c r="C6" s="9" t="str">
        <f>'Шаг 4'!C7</f>
        <v>ПК2</v>
      </c>
      <c r="D6" s="9">
        <f>'Шаг 4'!D7</f>
        <v>0.36986703804886989</v>
      </c>
      <c r="E6" s="9" t="str">
        <f>'Шаг 4'!E7</f>
        <v>ПК2</v>
      </c>
      <c r="F6" s="9">
        <f>'Шаг 4'!F7</f>
        <v>0.43066752737141034</v>
      </c>
      <c r="G6" s="9" t="str">
        <f>'Шаг 4'!G7</f>
        <v>ПК1</v>
      </c>
      <c r="H6" s="9">
        <f>'Шаг 4'!H7</f>
        <v>0.32518530091982256</v>
      </c>
      <c r="I6" s="83">
        <f>'Шаг 4'!I7</f>
        <v>0.2</v>
      </c>
    </row>
    <row r="7" spans="1:9" ht="15.6" x14ac:dyDescent="0.25">
      <c r="A7" s="73" t="s">
        <v>33</v>
      </c>
      <c r="B7" s="65" t="s">
        <v>34</v>
      </c>
      <c r="C7" s="7" t="str">
        <f>'Шаг 4'!C8</f>
        <v>ПК3</v>
      </c>
      <c r="D7" s="7">
        <f>'Шаг 4'!D8</f>
        <v>0.92399999999999993</v>
      </c>
      <c r="E7" s="7" t="str">
        <f>'Шаг 4'!E8</f>
        <v>ПК1</v>
      </c>
      <c r="F7" s="7">
        <f>'Шаг 4'!F8</f>
        <v>2.7789473684210173E-2</v>
      </c>
      <c r="G7" s="7" t="str">
        <f>'Шаг 4'!G8</f>
        <v>ПК1</v>
      </c>
      <c r="H7" s="7">
        <f>'Шаг 4'!H8</f>
        <v>7.1210526315789363E-2</v>
      </c>
      <c r="I7" s="81">
        <f>'Шаг 4'!I8</f>
        <v>0.2</v>
      </c>
    </row>
    <row r="8" spans="1:9" ht="15.6" x14ac:dyDescent="0.3">
      <c r="A8" s="73" t="s">
        <v>41</v>
      </c>
      <c r="B8" s="68" t="s">
        <v>42</v>
      </c>
      <c r="C8" s="76" t="str">
        <f>'Шаг 4'!C10</f>
        <v>ПК3</v>
      </c>
      <c r="D8" s="76">
        <f>'Шаг 4'!D10</f>
        <v>0.69662652790314061</v>
      </c>
      <c r="E8" s="76" t="str">
        <f>'Шаг 4'!E10</f>
        <v>ПК3</v>
      </c>
      <c r="F8" s="76">
        <f>'Шаг 4'!F10</f>
        <v>0.70940575492131042</v>
      </c>
      <c r="G8" s="76" t="str">
        <f>'Шаг 4'!G10</f>
        <v>ПК3</v>
      </c>
      <c r="H8" s="76">
        <f>'Шаг 4'!H10</f>
        <v>0.7236866459483392</v>
      </c>
      <c r="I8" s="84">
        <f>'Шаг 4'!I10</f>
        <v>0.2</v>
      </c>
    </row>
    <row r="9" spans="1:9" ht="15.6" x14ac:dyDescent="0.3">
      <c r="A9" s="74" t="s">
        <v>49</v>
      </c>
      <c r="B9" s="69" t="s">
        <v>50</v>
      </c>
      <c r="C9" s="77" t="str">
        <f>'Шаг 4'!C11</f>
        <v>К1</v>
      </c>
      <c r="D9" s="77">
        <f>'Шаг 4'!D11</f>
        <v>1.0095654822335025</v>
      </c>
      <c r="E9" s="77" t="str">
        <f>'Шаг 4'!E11</f>
        <v>К2</v>
      </c>
      <c r="F9" s="77">
        <f>'Шаг 4'!F11</f>
        <v>1.4850000000000001</v>
      </c>
      <c r="G9" s="77" t="str">
        <f>'Шаг 4'!G11</f>
        <v>К1</v>
      </c>
      <c r="H9" s="77">
        <f>'Шаг 4'!H11</f>
        <v>1.2753097696584592</v>
      </c>
      <c r="I9" s="85">
        <f>'Шаг 4'!I11</f>
        <v>0.2</v>
      </c>
    </row>
    <row r="10" spans="1:9" ht="15.6" x14ac:dyDescent="0.3">
      <c r="A10" s="74" t="s">
        <v>56</v>
      </c>
      <c r="B10" s="70" t="s">
        <v>57</v>
      </c>
      <c r="C10" s="78" t="str">
        <f>'Шаг 4'!C12</f>
        <v>ПК3</v>
      </c>
      <c r="D10" s="78">
        <f>'Шаг 4'!D12</f>
        <v>0.9361578947368423</v>
      </c>
      <c r="E10" s="78" t="str">
        <f>'Шаг 4'!E12</f>
        <v>ПК2</v>
      </c>
      <c r="F10" s="78">
        <f>'Шаг 4'!F12</f>
        <v>0.34389473684210492</v>
      </c>
      <c r="G10" s="78" t="str">
        <f>'Шаг 4'!G12</f>
        <v>ПК1</v>
      </c>
      <c r="H10" s="78">
        <f>'Шаг 4'!H12</f>
        <v>0.17194736842105263</v>
      </c>
      <c r="I10" s="86">
        <f>'Шаг 4'!I12</f>
        <v>0.2</v>
      </c>
    </row>
    <row r="11" spans="1:9" ht="15.6" x14ac:dyDescent="0.3">
      <c r="A11" s="74" t="s">
        <v>62</v>
      </c>
      <c r="B11" s="71" t="s">
        <v>63</v>
      </c>
      <c r="C11" s="79" t="str">
        <f>'Шаг 4'!C13</f>
        <v>Н</v>
      </c>
      <c r="D11" s="79">
        <f>'Шаг 4'!D13</f>
        <v>0</v>
      </c>
      <c r="E11" s="79" t="str">
        <f>'Шаг 4'!E13</f>
        <v>Н</v>
      </c>
      <c r="F11" s="79">
        <f>'Шаг 4'!F13</f>
        <v>0</v>
      </c>
      <c r="G11" s="79" t="str">
        <f>'Шаг 4'!G13</f>
        <v>Н</v>
      </c>
      <c r="H11" s="79">
        <f>'Шаг 4'!H13</f>
        <v>0</v>
      </c>
      <c r="I11" s="87">
        <f>'Шаг 4'!I13</f>
        <v>0.2</v>
      </c>
    </row>
    <row r="12" spans="1:9" ht="15.6" x14ac:dyDescent="0.3">
      <c r="A12" s="74" t="s">
        <v>68</v>
      </c>
      <c r="B12" s="70" t="s">
        <v>69</v>
      </c>
      <c r="C12" s="78" t="str">
        <f>'Шаг 4'!C14</f>
        <v>ПК3</v>
      </c>
      <c r="D12" s="78">
        <f>'Шаг 4'!D14</f>
        <v>0.82499999999999929</v>
      </c>
      <c r="E12" s="78" t="str">
        <f>'Шаг 4'!E14</f>
        <v>ПК2</v>
      </c>
      <c r="F12" s="78">
        <f>'Шаг 4'!F14</f>
        <v>0.43560000000000004</v>
      </c>
      <c r="G12" s="78" t="str">
        <f>'Шаг 4'!G14</f>
        <v>ПК3</v>
      </c>
      <c r="H12" s="78">
        <f>'Шаг 4'!H14</f>
        <v>0.88836000000000004</v>
      </c>
      <c r="I12" s="86">
        <f>'Шаг 4'!I14</f>
        <v>0.2</v>
      </c>
    </row>
    <row r="14" spans="1:9" x14ac:dyDescent="0.25">
      <c r="B14" s="122" t="s">
        <v>145</v>
      </c>
      <c r="C14" s="122"/>
      <c r="D14" s="122"/>
    </row>
    <row r="15" spans="1:9" x14ac:dyDescent="0.25">
      <c r="B15" s="116">
        <v>2022</v>
      </c>
      <c r="C15" s="116">
        <f>'Шаг 5'!D3</f>
        <v>0.5181200257658557</v>
      </c>
      <c r="D15" s="116" t="str">
        <f>IF(C15=0,"Н",IF(AND(C15&gt;0,C15&lt;0.33),"ПК1",IF(AND(C15&gt;=0.33,C15&lt;0.67),"ПК2",IF(AND(C15&gt;=0.67,C15&lt;1),"ПК3",IF(AND(C15&gt;=1,C15&lt;1.33),"К1",IF(AND(C15&gt;=1.33,C15&lt;1.67),"К2","К3"))))))</f>
        <v>ПК2</v>
      </c>
    </row>
    <row r="16" spans="1:9" x14ac:dyDescent="0.25">
      <c r="B16" s="117">
        <v>2023</v>
      </c>
      <c r="C16" s="117">
        <f>'Шаг 5'!F3</f>
        <v>0.35022452507688989</v>
      </c>
      <c r="D16" s="117" t="str">
        <f t="shared" ref="D16:D17" si="0">IF(C16=0,"Н",IF(AND(C16&gt;0,C16&lt;0.33),"ПК1",IF(AND(C16&gt;=0.33,C16&lt;0.67),"ПК2",IF(AND(C16&gt;=0.67,C16&lt;1),"ПК3",IF(AND(C16&gt;=1,C16&lt;1.33),"К1",IF(AND(C16&gt;=1.33,C16&lt;1.67),"К2","К3"))))))</f>
        <v>ПК2</v>
      </c>
    </row>
    <row r="17" spans="2:4" x14ac:dyDescent="0.25">
      <c r="B17" s="118">
        <v>2024</v>
      </c>
      <c r="C17" s="118">
        <f>'Шаг 5'!H3</f>
        <v>0.37518417379363644</v>
      </c>
      <c r="D17" s="118" t="str">
        <f t="shared" si="0"/>
        <v>ПК2</v>
      </c>
    </row>
  </sheetData>
  <mergeCells count="7">
    <mergeCell ref="B14:D14"/>
    <mergeCell ref="G1:H1"/>
    <mergeCell ref="I1:I2"/>
    <mergeCell ref="A1:A2"/>
    <mergeCell ref="B1:B2"/>
    <mergeCell ref="C1:D1"/>
    <mergeCell ref="E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Шаг 1</vt:lpstr>
      <vt:lpstr>Шаг 2</vt:lpstr>
      <vt:lpstr>Шаг 3</vt:lpstr>
      <vt:lpstr>Шаг 4</vt:lpstr>
      <vt:lpstr>Шаг 5</vt:lpstr>
      <vt:lpstr>Визуализация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2015-06-05T18:19:34Z</dcterms:created>
  <dcterms:modified xsi:type="dcterms:W3CDTF">2026-04-24T18:35:35Z</dcterms:modified>
</cp:coreProperties>
</file>