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7 МИАД\Работы\"/>
    </mc:Choice>
  </mc:AlternateContent>
  <xr:revisionPtr revIDLastSave="0" documentId="13_ncr:1_{105BF576-7037-4DDD-8DBC-A4F4861609FB}" xr6:coauthVersionLast="47" xr6:coauthVersionMax="47" xr10:uidLastSave="{00000000-0000-0000-0000-000000000000}"/>
  <bookViews>
    <workbookView xWindow="-108" yWindow="-108" windowWidth="30936" windowHeight="12456" tabRatio="715" firstSheet="17" activeTab="17" xr2:uid="{00000000-000D-0000-FFFF-FFFF00000000}"/>
  </bookViews>
  <sheets>
    <sheet name="Список данных" sheetId="1" state="hidden" r:id="rId1"/>
    <sheet name="2023" sheetId="15" state="hidden" r:id="rId2"/>
    <sheet name="Исходные данные" sheetId="16" r:id="rId3"/>
    <sheet name="data for regression" sheetId="38" state="hidden" r:id="rId4"/>
    <sheet name="данные_стандарт" sheetId="18" state="hidden" r:id="rId5"/>
    <sheet name="метод полных связей" sheetId="19" state="hidden" r:id="rId6"/>
    <sheet name="взвешенный метод средней связи" sheetId="20" state="hidden" r:id="rId7"/>
    <sheet name="метод уорда" sheetId="21" state="hidden" r:id="rId8"/>
    <sheet name="графики средних" sheetId="22" state="hidden" r:id="rId9"/>
    <sheet name="K-means" sheetId="24" state="hidden" r:id="rId10"/>
    <sheet name="Данные_без_выбр" sheetId="23" state="hidden" r:id="rId11"/>
    <sheet name="data_new stand" sheetId="25" state="hidden" r:id="rId12"/>
    <sheet name="Compl_new" sheetId="30" state="hidden" r:id="rId13"/>
    <sheet name="pair_new" sheetId="31" state="hidden" r:id="rId14"/>
    <sheet name="Ward_new" sheetId="26" state="hidden" r:id="rId15"/>
    <sheet name="Все методы v1" sheetId="34" state="hidden" r:id="rId16"/>
    <sheet name="Stat Data" sheetId="33" state="hidden" r:id="rId17"/>
    <sheet name="Все методы" sheetId="32" r:id="rId18"/>
    <sheet name="Графики" sheetId="28" r:id="rId19"/>
    <sheet name="Функционалы Качества" sheetId="29" r:id="rId20"/>
    <sheet name="МГК" sheetId="35" r:id="rId21"/>
    <sheet name="Train" sheetId="41" r:id="rId22"/>
    <sheet name="Test" sheetId="42" r:id="rId23"/>
    <sheet name="All" sheetId="43" state="hidden" r:id="rId24"/>
    <sheet name="ФА_Data2" sheetId="39" state="hidden" r:id="rId25"/>
    <sheet name="ФА_Data3" sheetId="40" state="hidden" r:id="rId26"/>
    <sheet name="МГК Data" sheetId="36" state="hidden" r:id="rId27"/>
    <sheet name="МГК Графики" sheetId="37" state="hidden" r:id="rId28"/>
    <sheet name="K-means_new" sheetId="27" state="hidden" r:id="rId29"/>
  </sheets>
  <definedNames>
    <definedName name="_xlnm._FilterDatabase" localSheetId="11" hidden="1">'data_new stand'!$A$1:$J$85</definedName>
    <definedName name="_xlnm._FilterDatabase" localSheetId="9" hidden="1">'K-means'!$A$1:$K$86</definedName>
    <definedName name="_xlnm._FilterDatabase" localSheetId="28" hidden="1">'K-means_new'!$B$1:$K$85</definedName>
    <definedName name="_xlnm._FilterDatabase" localSheetId="14" hidden="1">Ward_new!$B$1:$L$85</definedName>
    <definedName name="_xlnm._FilterDatabase" localSheetId="6" hidden="1">'взвешенный метод средней связи'!$A$1:$K$1</definedName>
    <definedName name="_xlnm._FilterDatabase" localSheetId="27" hidden="1">'МГК Графики'!$AT$1:$AW$1</definedName>
    <definedName name="_xlnm._FilterDatabase" localSheetId="5" hidden="1">'метод полных связей'!$A$1:$K$1</definedName>
    <definedName name="_xlnm._FilterDatabase" localSheetId="7" hidden="1">'метод уорда'!$A$1:$K$1</definedName>
  </definedNames>
  <calcPr calcId="191029"/>
  <pivotCaches>
    <pivotCache cacheId="0" r:id="rId30"/>
    <pivotCache cacheId="1" r:id="rId31"/>
    <pivotCache cacheId="2" r:id="rId32"/>
    <pivotCache cacheId="3" r:id="rId33"/>
    <pivotCache cacheId="4" r:id="rId3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86" i="32" l="1"/>
  <c r="AD2" i="32"/>
  <c r="AD3" i="32"/>
  <c r="AD4" i="32"/>
  <c r="AD5" i="32"/>
  <c r="AD6" i="32"/>
  <c r="AD7" i="32"/>
  <c r="AD8" i="32"/>
  <c r="AD9" i="32"/>
  <c r="AD10" i="32"/>
  <c r="AD11" i="32"/>
  <c r="AD12" i="32"/>
  <c r="AD13" i="32"/>
  <c r="AD14" i="32"/>
  <c r="AD15" i="32"/>
  <c r="AD16" i="32"/>
  <c r="AD17" i="32"/>
  <c r="AD18" i="32"/>
  <c r="AD19" i="32"/>
  <c r="AD20" i="32"/>
  <c r="AD21" i="32"/>
  <c r="AD22" i="32"/>
  <c r="AD23" i="32"/>
  <c r="AD24" i="32"/>
  <c r="AD25" i="32"/>
  <c r="AD26" i="32"/>
  <c r="AD27" i="32"/>
  <c r="AD28" i="32"/>
  <c r="AD29" i="32"/>
  <c r="AD30" i="32"/>
  <c r="AD31" i="32"/>
  <c r="AD32" i="32"/>
  <c r="AD33" i="32"/>
  <c r="AD34" i="32"/>
  <c r="AD35" i="32"/>
  <c r="AD36" i="32"/>
  <c r="AD37" i="32"/>
  <c r="AD38" i="32"/>
  <c r="AD39" i="32"/>
  <c r="AD40" i="32"/>
  <c r="AD41" i="32"/>
  <c r="AD42" i="32"/>
  <c r="AD43" i="32"/>
  <c r="AD44" i="32"/>
  <c r="AD45" i="32"/>
  <c r="AD46" i="32"/>
  <c r="AD47" i="32"/>
  <c r="AD48" i="32"/>
  <c r="AD49" i="32"/>
  <c r="AD50" i="32"/>
  <c r="AD51" i="32"/>
  <c r="AD52" i="32"/>
  <c r="AD53" i="32"/>
  <c r="AD54" i="32"/>
  <c r="AD55" i="32"/>
  <c r="AD56" i="32"/>
  <c r="AD57" i="32"/>
  <c r="AD58" i="32"/>
  <c r="AD59" i="32"/>
  <c r="AD60" i="32"/>
  <c r="AD61" i="32"/>
  <c r="AD62" i="32"/>
  <c r="AD63" i="32"/>
  <c r="AD64" i="32"/>
  <c r="AD65" i="32"/>
  <c r="AD66" i="32"/>
  <c r="AD67" i="32"/>
  <c r="AD68" i="32"/>
  <c r="AD69" i="32"/>
  <c r="AD70" i="32"/>
  <c r="AD71" i="32"/>
  <c r="AD72" i="32"/>
  <c r="AD73" i="32"/>
  <c r="AD74" i="32"/>
  <c r="AD75" i="32"/>
  <c r="AD76" i="32"/>
  <c r="AD77" i="32"/>
  <c r="AD78" i="32"/>
  <c r="AD79" i="32"/>
  <c r="AD80" i="32"/>
  <c r="AD81" i="32"/>
  <c r="AD82" i="32"/>
  <c r="AD83" i="32"/>
  <c r="AD84" i="32"/>
  <c r="AD85" i="32"/>
  <c r="AC2" i="32"/>
  <c r="AC3" i="32"/>
  <c r="AC4" i="32"/>
  <c r="AC5" i="32"/>
  <c r="AC6" i="32"/>
  <c r="AC7" i="32"/>
  <c r="AC8" i="32"/>
  <c r="AC9" i="32"/>
  <c r="AC10" i="32"/>
  <c r="AC11" i="32"/>
  <c r="AC12" i="32"/>
  <c r="AC13" i="32"/>
  <c r="AC14" i="32"/>
  <c r="AC15" i="32"/>
  <c r="AC16" i="32"/>
  <c r="AC17" i="32"/>
  <c r="AC18" i="32"/>
  <c r="AC19" i="32"/>
  <c r="AC20" i="32"/>
  <c r="AC21" i="32"/>
  <c r="AC22" i="32"/>
  <c r="AC23" i="32"/>
  <c r="AC24" i="32"/>
  <c r="AC25" i="32"/>
  <c r="AC26" i="32"/>
  <c r="AC27" i="32"/>
  <c r="AC28" i="32"/>
  <c r="AC29" i="32"/>
  <c r="AC30" i="32"/>
  <c r="AC31" i="32"/>
  <c r="AC32" i="32"/>
  <c r="AC33" i="32"/>
  <c r="AC34" i="32"/>
  <c r="AC35" i="32"/>
  <c r="AC36" i="32"/>
  <c r="AC37" i="32"/>
  <c r="AC38" i="32"/>
  <c r="AC39" i="32"/>
  <c r="AC40" i="32"/>
  <c r="AC41" i="32"/>
  <c r="AC42" i="32"/>
  <c r="AC43" i="32"/>
  <c r="AC44" i="32"/>
  <c r="AC45" i="32"/>
  <c r="AC46" i="32"/>
  <c r="AC47" i="32"/>
  <c r="AC48" i="32"/>
  <c r="AC49" i="32"/>
  <c r="AC50" i="32"/>
  <c r="AC51" i="32"/>
  <c r="AC52" i="32"/>
  <c r="AC53" i="32"/>
  <c r="AC54" i="32"/>
  <c r="AC55" i="32"/>
  <c r="AC56" i="32"/>
  <c r="AC57" i="32"/>
  <c r="AC58" i="32"/>
  <c r="AC59" i="32"/>
  <c r="AC60" i="32"/>
  <c r="AC61" i="32"/>
  <c r="AC62" i="32"/>
  <c r="AC63" i="32"/>
  <c r="AC64" i="32"/>
  <c r="AC65" i="32"/>
  <c r="AC66" i="32"/>
  <c r="AC67" i="32"/>
  <c r="AC68" i="32"/>
  <c r="AC69" i="32"/>
  <c r="AC70" i="32"/>
  <c r="AC71" i="32"/>
  <c r="AC72" i="32"/>
  <c r="AC73" i="32"/>
  <c r="AC74" i="32"/>
  <c r="AC75" i="32"/>
  <c r="AC76" i="32"/>
  <c r="AC77" i="32"/>
  <c r="AC78" i="32"/>
  <c r="AC79" i="32"/>
  <c r="AC80" i="32"/>
  <c r="AC81" i="32"/>
  <c r="AC82" i="32"/>
  <c r="AC83" i="32"/>
  <c r="AC84" i="32"/>
  <c r="AC85" i="32"/>
  <c r="O9" i="29"/>
  <c r="M2" i="41"/>
  <c r="M34" i="41" s="1"/>
  <c r="M3" i="41"/>
  <c r="M4" i="41"/>
  <c r="M5" i="41"/>
  <c r="M6" i="41"/>
  <c r="M7" i="41"/>
  <c r="M8" i="41"/>
  <c r="M9" i="41"/>
  <c r="M10" i="41"/>
  <c r="M11" i="41"/>
  <c r="M12" i="41"/>
  <c r="M13" i="41"/>
  <c r="M14" i="41"/>
  <c r="M15" i="41"/>
  <c r="M16" i="41"/>
  <c r="M17" i="41"/>
  <c r="M18" i="41"/>
  <c r="M19" i="41"/>
  <c r="M20" i="41"/>
  <c r="M21" i="41"/>
  <c r="M22" i="41"/>
  <c r="M23" i="41"/>
  <c r="M24" i="41"/>
  <c r="M25" i="41"/>
  <c r="M26" i="41"/>
  <c r="M27" i="41"/>
  <c r="M28" i="41"/>
  <c r="M29" i="41"/>
  <c r="M30" i="41"/>
  <c r="M31" i="41"/>
  <c r="M32" i="41"/>
  <c r="M33" i="41"/>
  <c r="N9" i="29"/>
  <c r="M9" i="29"/>
  <c r="L9" i="29"/>
  <c r="K9" i="29"/>
  <c r="J9" i="29" l="1"/>
  <c r="I9" i="29"/>
  <c r="U2" i="35"/>
  <c r="AA10" i="35"/>
  <c r="AB10" i="35" s="1"/>
  <c r="AA11" i="35"/>
  <c r="AB11" i="35" s="1"/>
  <c r="AA12" i="35"/>
  <c r="AB12" i="35" s="1"/>
  <c r="AA13" i="35"/>
  <c r="AB13" i="35" s="1"/>
  <c r="AA14" i="35"/>
  <c r="AB14" i="35" s="1"/>
  <c r="AA15" i="35"/>
  <c r="AB15" i="35" s="1"/>
  <c r="AA16" i="35"/>
  <c r="AB16" i="35" s="1"/>
  <c r="AA17" i="35"/>
  <c r="AA9" i="35"/>
  <c r="AB9" i="35" s="1"/>
  <c r="AB17" i="35"/>
  <c r="S18" i="35"/>
  <c r="T18" i="35"/>
  <c r="U18" i="35"/>
  <c r="V18" i="35"/>
  <c r="W18" i="35"/>
  <c r="X18" i="35"/>
  <c r="Y18" i="35"/>
  <c r="Z18" i="35"/>
  <c r="R18" i="35"/>
  <c r="T2" i="35"/>
  <c r="S2" i="35"/>
  <c r="N3" i="35"/>
  <c r="N4" i="35"/>
  <c r="N5" i="35"/>
  <c r="N6" i="35"/>
  <c r="N7" i="35"/>
  <c r="N8" i="35"/>
  <c r="N9" i="35"/>
  <c r="N10" i="35"/>
  <c r="N2" i="35"/>
  <c r="I2" i="35"/>
  <c r="J2" i="35" s="1"/>
  <c r="H2" i="35"/>
  <c r="E3" i="35" s="1"/>
  <c r="C2" i="35"/>
  <c r="CX2" i="32"/>
  <c r="CX72" i="32"/>
  <c r="CX4" i="32"/>
  <c r="CX85" i="32"/>
  <c r="CX6" i="32"/>
  <c r="CX25" i="32"/>
  <c r="CX8" i="32"/>
  <c r="CX9" i="32"/>
  <c r="CX10" i="32"/>
  <c r="CX71" i="32"/>
  <c r="CX12" i="32"/>
  <c r="CX41" i="32"/>
  <c r="CX23" i="32"/>
  <c r="CX15" i="32"/>
  <c r="CX16" i="32"/>
  <c r="CX17" i="32"/>
  <c r="CX18" i="32"/>
  <c r="CX19" i="32"/>
  <c r="CX20" i="32"/>
  <c r="CX61" i="32"/>
  <c r="CX22" i="32"/>
  <c r="CX69" i="32"/>
  <c r="CX36" i="32"/>
  <c r="CX55" i="32"/>
  <c r="CX26" i="32"/>
  <c r="CX27" i="32"/>
  <c r="CX30" i="32"/>
  <c r="CX45" i="32"/>
  <c r="CX53" i="32"/>
  <c r="CX31" i="32"/>
  <c r="CX11" i="32"/>
  <c r="CX33" i="32"/>
  <c r="CX34" i="32"/>
  <c r="CX38" i="32"/>
  <c r="CX62" i="32"/>
  <c r="CX37" i="32"/>
  <c r="CX3" i="32"/>
  <c r="CX39" i="32"/>
  <c r="CX40" i="32"/>
  <c r="CX74" i="32"/>
  <c r="CX42" i="32"/>
  <c r="CX43" i="32"/>
  <c r="CX48" i="32"/>
  <c r="CX7" i="32"/>
  <c r="CX35" i="32"/>
  <c r="CX47" i="32"/>
  <c r="CX5" i="32"/>
  <c r="CX49" i="32"/>
  <c r="CX52" i="32"/>
  <c r="CX51" i="32"/>
  <c r="CX24" i="32"/>
  <c r="CX28" i="32"/>
  <c r="CX54" i="32"/>
  <c r="CX32" i="32"/>
  <c r="CX56" i="32"/>
  <c r="CX57" i="32"/>
  <c r="CX58" i="32"/>
  <c r="CX59" i="32"/>
  <c r="CX60" i="32"/>
  <c r="CX68" i="32"/>
  <c r="CX13" i="32"/>
  <c r="CX63" i="32"/>
  <c r="CX64" i="32"/>
  <c r="CX65" i="32"/>
  <c r="CX66" i="32"/>
  <c r="CX67" i="32"/>
  <c r="CX29" i="32"/>
  <c r="CX14" i="32"/>
  <c r="CX70" i="32"/>
  <c r="CX21" i="32"/>
  <c r="CX44" i="32"/>
  <c r="CX73" i="32"/>
  <c r="CX46" i="32"/>
  <c r="CX75" i="32"/>
  <c r="CX76" i="32"/>
  <c r="CX77" i="32"/>
  <c r="CX78" i="32"/>
  <c r="CX79" i="32"/>
  <c r="CX80" i="32"/>
  <c r="CX81" i="32"/>
  <c r="CX82" i="32"/>
  <c r="CX83" i="32"/>
  <c r="CX84" i="32"/>
  <c r="CX50" i="32"/>
  <c r="BS2" i="32"/>
  <c r="BS72" i="32"/>
  <c r="BS4" i="32"/>
  <c r="BS85" i="32"/>
  <c r="BS6" i="32"/>
  <c r="BS25" i="32"/>
  <c r="BS8" i="32"/>
  <c r="BS9" i="32"/>
  <c r="BS10" i="32"/>
  <c r="BS71" i="32"/>
  <c r="BS12" i="32"/>
  <c r="BS41" i="32"/>
  <c r="BS23" i="32"/>
  <c r="BS15" i="32"/>
  <c r="BS16" i="32"/>
  <c r="BS17" i="32"/>
  <c r="BS18" i="32"/>
  <c r="BS19" i="32"/>
  <c r="BS20" i="32"/>
  <c r="BS61" i="32"/>
  <c r="BS22" i="32"/>
  <c r="BS69" i="32"/>
  <c r="BS36" i="32"/>
  <c r="BS55" i="32"/>
  <c r="BS26" i="32"/>
  <c r="BS27" i="32"/>
  <c r="BS30" i="32"/>
  <c r="BS45" i="32"/>
  <c r="BS53" i="32"/>
  <c r="BS31" i="32"/>
  <c r="BS11" i="32"/>
  <c r="BS33" i="32"/>
  <c r="BS34" i="32"/>
  <c r="BS38" i="32"/>
  <c r="BS62" i="32"/>
  <c r="BS37" i="32"/>
  <c r="BS3" i="32"/>
  <c r="BS39" i="32"/>
  <c r="BS40" i="32"/>
  <c r="BS74" i="32"/>
  <c r="BS42" i="32"/>
  <c r="BS43" i="32"/>
  <c r="BS48" i="32"/>
  <c r="BS7" i="32"/>
  <c r="BS35" i="32"/>
  <c r="BS47" i="32"/>
  <c r="BS5" i="32"/>
  <c r="BS49" i="32"/>
  <c r="BS52" i="32"/>
  <c r="BS51" i="32"/>
  <c r="BS24" i="32"/>
  <c r="BS28" i="32"/>
  <c r="BS54" i="32"/>
  <c r="BS32" i="32"/>
  <c r="BS56" i="32"/>
  <c r="BS57" i="32"/>
  <c r="BS58" i="32"/>
  <c r="BS59" i="32"/>
  <c r="BS60" i="32"/>
  <c r="BS68" i="32"/>
  <c r="BS13" i="32"/>
  <c r="BS63" i="32"/>
  <c r="BS64" i="32"/>
  <c r="BS65" i="32"/>
  <c r="BS66" i="32"/>
  <c r="BS67" i="32"/>
  <c r="BS29" i="32"/>
  <c r="BS14" i="32"/>
  <c r="BS70" i="32"/>
  <c r="BS21" i="32"/>
  <c r="BS44" i="32"/>
  <c r="BS73" i="32"/>
  <c r="BS46" i="32"/>
  <c r="BS75" i="32"/>
  <c r="BS76" i="32"/>
  <c r="BS77" i="32"/>
  <c r="BS78" i="32"/>
  <c r="BS79" i="32"/>
  <c r="BS80" i="32"/>
  <c r="BS81" i="32"/>
  <c r="BS82" i="32"/>
  <c r="BS83" i="32"/>
  <c r="BS84" i="32"/>
  <c r="BS50" i="32"/>
  <c r="AN2" i="32"/>
  <c r="AN72" i="32"/>
  <c r="AN4" i="32"/>
  <c r="AN85" i="32"/>
  <c r="AN6" i="32"/>
  <c r="AN25" i="32"/>
  <c r="AN8" i="32"/>
  <c r="AN9" i="32"/>
  <c r="AN10" i="32"/>
  <c r="AN71" i="32"/>
  <c r="AN12" i="32"/>
  <c r="AN41" i="32"/>
  <c r="AN23" i="32"/>
  <c r="AN15" i="32"/>
  <c r="AN16" i="32"/>
  <c r="AN17" i="32"/>
  <c r="AN18" i="32"/>
  <c r="AN19" i="32"/>
  <c r="AN20" i="32"/>
  <c r="AN61" i="32"/>
  <c r="AN22" i="32"/>
  <c r="AN69" i="32"/>
  <c r="AN36" i="32"/>
  <c r="AN55" i="32"/>
  <c r="AN26" i="32"/>
  <c r="AN27" i="32"/>
  <c r="AN30" i="32"/>
  <c r="AN45" i="32"/>
  <c r="AN53" i="32"/>
  <c r="AN31" i="32"/>
  <c r="AN11" i="32"/>
  <c r="AN33" i="32"/>
  <c r="AN34" i="32"/>
  <c r="AN38" i="32"/>
  <c r="AN62" i="32"/>
  <c r="AN37" i="32"/>
  <c r="AN3" i="32"/>
  <c r="AN39" i="32"/>
  <c r="AN40" i="32"/>
  <c r="AN74" i="32"/>
  <c r="AN42" i="32"/>
  <c r="AN43" i="32"/>
  <c r="AN48" i="32"/>
  <c r="AN7" i="32"/>
  <c r="AN35" i="32"/>
  <c r="AN47" i="32"/>
  <c r="AN5" i="32"/>
  <c r="AN49" i="32"/>
  <c r="AN52" i="32"/>
  <c r="AN51" i="32"/>
  <c r="AN24" i="32"/>
  <c r="AN28" i="32"/>
  <c r="AN54" i="32"/>
  <c r="AN32" i="32"/>
  <c r="AN56" i="32"/>
  <c r="AN57" i="32"/>
  <c r="AN58" i="32"/>
  <c r="AN59" i="32"/>
  <c r="AN60" i="32"/>
  <c r="AN68" i="32"/>
  <c r="AN13" i="32"/>
  <c r="AN63" i="32"/>
  <c r="AN64" i="32"/>
  <c r="AN65" i="32"/>
  <c r="AN66" i="32"/>
  <c r="AN67" i="32"/>
  <c r="AN29" i="32"/>
  <c r="AN14" i="32"/>
  <c r="AN70" i="32"/>
  <c r="AN21" i="32"/>
  <c r="AN44" i="32"/>
  <c r="AN73" i="32"/>
  <c r="AN46" i="32"/>
  <c r="AN75" i="32"/>
  <c r="AN76" i="32"/>
  <c r="AN77" i="32"/>
  <c r="AN78" i="32"/>
  <c r="AN79" i="32"/>
  <c r="AN80" i="32"/>
  <c r="AN81" i="32"/>
  <c r="AN82" i="32"/>
  <c r="AN83" i="32"/>
  <c r="AN84" i="32"/>
  <c r="AN50" i="32"/>
  <c r="G9" i="29"/>
  <c r="CZ2" i="32"/>
  <c r="DA72" i="32"/>
  <c r="DA85" i="32"/>
  <c r="DA6" i="32"/>
  <c r="CZ25" i="32"/>
  <c r="CZ10" i="32"/>
  <c r="DA71" i="32"/>
  <c r="DA41" i="32"/>
  <c r="CZ23" i="32"/>
  <c r="CZ15" i="32"/>
  <c r="DA18" i="32"/>
  <c r="DA19" i="32"/>
  <c r="DA61" i="32"/>
  <c r="DA22" i="32"/>
  <c r="CZ69" i="32"/>
  <c r="DA26" i="32"/>
  <c r="DA27" i="32"/>
  <c r="DA45" i="32"/>
  <c r="DA53" i="32"/>
  <c r="CZ31" i="32"/>
  <c r="DA34" i="32"/>
  <c r="DA38" i="32"/>
  <c r="DA37" i="32"/>
  <c r="DA3" i="32"/>
  <c r="CZ39" i="32"/>
  <c r="CZ42" i="32"/>
  <c r="DA43" i="32"/>
  <c r="DA7" i="32"/>
  <c r="DA35" i="32"/>
  <c r="CZ47" i="32"/>
  <c r="CZ52" i="32"/>
  <c r="DA51" i="32"/>
  <c r="DA28" i="32"/>
  <c r="DA54" i="32"/>
  <c r="CZ32" i="32"/>
  <c r="DA58" i="32"/>
  <c r="DA59" i="32"/>
  <c r="DA68" i="32"/>
  <c r="CZ13" i="32"/>
  <c r="CZ63" i="32"/>
  <c r="DA66" i="32"/>
  <c r="DA67" i="32"/>
  <c r="DA14" i="32"/>
  <c r="CZ70" i="32"/>
  <c r="CZ21" i="32"/>
  <c r="DA46" i="32"/>
  <c r="DA75" i="32"/>
  <c r="DA77" i="32"/>
  <c r="DA78" i="32"/>
  <c r="CZ79" i="32"/>
  <c r="CZ82" i="32"/>
  <c r="DA83" i="32"/>
  <c r="DA50" i="32"/>
  <c r="DA9" i="32"/>
  <c r="DA17" i="32"/>
  <c r="DA55" i="32"/>
  <c r="DA33" i="32"/>
  <c r="DA74" i="32"/>
  <c r="DA49" i="32"/>
  <c r="DA57" i="32"/>
  <c r="DA65" i="32"/>
  <c r="DA73" i="32"/>
  <c r="DA81" i="32"/>
  <c r="CP6" i="32"/>
  <c r="CP10" i="32"/>
  <c r="CP23" i="32"/>
  <c r="CP18" i="32"/>
  <c r="CP22" i="32"/>
  <c r="CP26" i="32"/>
  <c r="CP53" i="32"/>
  <c r="CP34" i="32"/>
  <c r="CP3" i="32"/>
  <c r="CP42" i="32"/>
  <c r="CP35" i="32"/>
  <c r="CP52" i="32"/>
  <c r="CP54" i="32"/>
  <c r="CP58" i="32"/>
  <c r="CP13" i="32"/>
  <c r="CP66" i="32"/>
  <c r="CP70" i="32"/>
  <c r="CP46" i="32"/>
  <c r="CP78" i="32"/>
  <c r="CP82" i="32"/>
  <c r="AQ85" i="32"/>
  <c r="AQ9" i="32"/>
  <c r="AQ41" i="32"/>
  <c r="AQ17" i="32"/>
  <c r="AQ61" i="32"/>
  <c r="AQ55" i="32"/>
  <c r="AQ45" i="32"/>
  <c r="AQ33" i="32"/>
  <c r="AQ37" i="32"/>
  <c r="AQ74" i="32"/>
  <c r="AQ7" i="32"/>
  <c r="AQ49" i="32"/>
  <c r="AQ28" i="32"/>
  <c r="AQ57" i="32"/>
  <c r="AQ68" i="32"/>
  <c r="AQ65" i="32"/>
  <c r="AQ14" i="32"/>
  <c r="AQ73" i="32"/>
  <c r="AQ77" i="32"/>
  <c r="AQ81" i="32"/>
  <c r="AQ50" i="32"/>
  <c r="P86" i="34"/>
  <c r="O86" i="34"/>
  <c r="N86" i="34"/>
  <c r="M86" i="34"/>
  <c r="L86" i="34"/>
  <c r="K86" i="34"/>
  <c r="J86" i="34"/>
  <c r="I86" i="34"/>
  <c r="H86" i="34"/>
  <c r="G86" i="34"/>
  <c r="B86" i="34"/>
  <c r="H9" i="29"/>
  <c r="F9" i="29"/>
  <c r="DS2" i="32"/>
  <c r="DT2" i="32" s="1"/>
  <c r="DS72" i="32"/>
  <c r="DT72" i="32" s="1"/>
  <c r="DS4" i="32"/>
  <c r="DT4" i="32" s="1"/>
  <c r="DS85" i="32"/>
  <c r="DT85" i="32" s="1"/>
  <c r="DS6" i="32"/>
  <c r="DT6" i="32" s="1"/>
  <c r="DS25" i="32"/>
  <c r="DT25" i="32" s="1"/>
  <c r="DS8" i="32"/>
  <c r="DT8" i="32" s="1"/>
  <c r="DS9" i="32"/>
  <c r="DT9" i="32" s="1"/>
  <c r="DS10" i="32"/>
  <c r="DT10" i="32" s="1"/>
  <c r="DS71" i="32"/>
  <c r="DT71" i="32" s="1"/>
  <c r="DS12" i="32"/>
  <c r="DT12" i="32" s="1"/>
  <c r="DS41" i="32"/>
  <c r="DT41" i="32" s="1"/>
  <c r="DS23" i="32"/>
  <c r="DT23" i="32" s="1"/>
  <c r="DS15" i="32"/>
  <c r="DT15" i="32" s="1"/>
  <c r="DS16" i="32"/>
  <c r="DT16" i="32" s="1"/>
  <c r="DS17" i="32"/>
  <c r="DT17" i="32" s="1"/>
  <c r="DS18" i="32"/>
  <c r="DT18" i="32" s="1"/>
  <c r="DS19" i="32"/>
  <c r="DT19" i="32" s="1"/>
  <c r="DS20" i="32"/>
  <c r="DT20" i="32" s="1"/>
  <c r="DS61" i="32"/>
  <c r="DT61" i="32" s="1"/>
  <c r="DS22" i="32"/>
  <c r="DT22" i="32" s="1"/>
  <c r="DS69" i="32"/>
  <c r="DT69" i="32" s="1"/>
  <c r="DS36" i="32"/>
  <c r="DT36" i="32" s="1"/>
  <c r="DS55" i="32"/>
  <c r="DT55" i="32" s="1"/>
  <c r="DS26" i="32"/>
  <c r="DT26" i="32" s="1"/>
  <c r="DS27" i="32"/>
  <c r="DT27" i="32" s="1"/>
  <c r="DS30" i="32"/>
  <c r="DT30" i="32" s="1"/>
  <c r="DS45" i="32"/>
  <c r="DT45" i="32" s="1"/>
  <c r="DS53" i="32"/>
  <c r="DT53" i="32" s="1"/>
  <c r="DS31" i="32"/>
  <c r="DT31" i="32" s="1"/>
  <c r="DS11" i="32"/>
  <c r="DT11" i="32" s="1"/>
  <c r="DS33" i="32"/>
  <c r="DT33" i="32" s="1"/>
  <c r="DS34" i="32"/>
  <c r="DT34" i="32" s="1"/>
  <c r="DS38" i="32"/>
  <c r="DT38" i="32" s="1"/>
  <c r="DS62" i="32"/>
  <c r="DT62" i="32" s="1"/>
  <c r="DS37" i="32"/>
  <c r="DT37" i="32" s="1"/>
  <c r="DS3" i="32"/>
  <c r="DT3" i="32" s="1"/>
  <c r="DS39" i="32"/>
  <c r="DT39" i="32" s="1"/>
  <c r="DS40" i="32"/>
  <c r="DT40" i="32" s="1"/>
  <c r="DS74" i="32"/>
  <c r="DT74" i="32" s="1"/>
  <c r="DS42" i="32"/>
  <c r="DT42" i="32" s="1"/>
  <c r="DS43" i="32"/>
  <c r="DT43" i="32" s="1"/>
  <c r="DS48" i="32"/>
  <c r="DT48" i="32" s="1"/>
  <c r="DS7" i="32"/>
  <c r="DT7" i="32" s="1"/>
  <c r="DS35" i="32"/>
  <c r="DT35" i="32" s="1"/>
  <c r="DS47" i="32"/>
  <c r="DT47" i="32" s="1"/>
  <c r="DS5" i="32"/>
  <c r="DT5" i="32" s="1"/>
  <c r="DS49" i="32"/>
  <c r="DT49" i="32" s="1"/>
  <c r="DS52" i="32"/>
  <c r="DT52" i="32" s="1"/>
  <c r="DS51" i="32"/>
  <c r="DT51" i="32" s="1"/>
  <c r="DS24" i="32"/>
  <c r="DT24" i="32" s="1"/>
  <c r="DS28" i="32"/>
  <c r="DT28" i="32" s="1"/>
  <c r="DS54" i="32"/>
  <c r="DT54" i="32" s="1"/>
  <c r="DS32" i="32"/>
  <c r="DT32" i="32" s="1"/>
  <c r="DS56" i="32"/>
  <c r="DT56" i="32" s="1"/>
  <c r="DS57" i="32"/>
  <c r="DT57" i="32" s="1"/>
  <c r="DS58" i="32"/>
  <c r="DT58" i="32" s="1"/>
  <c r="DS59" i="32"/>
  <c r="DT59" i="32" s="1"/>
  <c r="DS60" i="32"/>
  <c r="DT60" i="32" s="1"/>
  <c r="DS68" i="32"/>
  <c r="DT68" i="32" s="1"/>
  <c r="DS13" i="32"/>
  <c r="DT13" i="32" s="1"/>
  <c r="DS63" i="32"/>
  <c r="DT63" i="32" s="1"/>
  <c r="DS64" i="32"/>
  <c r="DT64" i="32" s="1"/>
  <c r="DS65" i="32"/>
  <c r="DT65" i="32" s="1"/>
  <c r="DS66" i="32"/>
  <c r="DT66" i="32" s="1"/>
  <c r="DS67" i="32"/>
  <c r="DT67" i="32" s="1"/>
  <c r="DS29" i="32"/>
  <c r="DT29" i="32" s="1"/>
  <c r="DS14" i="32"/>
  <c r="DT14" i="32" s="1"/>
  <c r="DS70" i="32"/>
  <c r="DT70" i="32" s="1"/>
  <c r="DS21" i="32"/>
  <c r="DT21" i="32" s="1"/>
  <c r="DS44" i="32"/>
  <c r="DT44" i="32" s="1"/>
  <c r="DS73" i="32"/>
  <c r="DT73" i="32" s="1"/>
  <c r="DS46" i="32"/>
  <c r="DT46" i="32" s="1"/>
  <c r="DS75" i="32"/>
  <c r="DT75" i="32" s="1"/>
  <c r="DS76" i="32"/>
  <c r="DT76" i="32" s="1"/>
  <c r="DS77" i="32"/>
  <c r="DT77" i="32" s="1"/>
  <c r="DS78" i="32"/>
  <c r="DT78" i="32" s="1"/>
  <c r="DS79" i="32"/>
  <c r="DT79" i="32" s="1"/>
  <c r="DS80" i="32"/>
  <c r="DT80" i="32" s="1"/>
  <c r="DS81" i="32"/>
  <c r="DT81" i="32" s="1"/>
  <c r="DS82" i="32"/>
  <c r="DT82" i="32" s="1"/>
  <c r="DS83" i="32"/>
  <c r="DT83" i="32" s="1"/>
  <c r="DS84" i="32"/>
  <c r="DT84" i="32" s="1"/>
  <c r="DS50" i="32"/>
  <c r="DT50" i="32" s="1"/>
  <c r="DI2" i="32"/>
  <c r="DJ2" i="32" s="1"/>
  <c r="DI72" i="32"/>
  <c r="DJ72" i="32" s="1"/>
  <c r="DI4" i="32"/>
  <c r="DJ4" i="32" s="1"/>
  <c r="DI85" i="32"/>
  <c r="DJ85" i="32" s="1"/>
  <c r="DI6" i="32"/>
  <c r="DJ6" i="32" s="1"/>
  <c r="DI25" i="32"/>
  <c r="DJ25" i="32" s="1"/>
  <c r="DI8" i="32"/>
  <c r="DJ8" i="32" s="1"/>
  <c r="DI9" i="32"/>
  <c r="DJ9" i="32" s="1"/>
  <c r="DI10" i="32"/>
  <c r="DJ10" i="32" s="1"/>
  <c r="DI71" i="32"/>
  <c r="DJ71" i="32" s="1"/>
  <c r="DI12" i="32"/>
  <c r="DJ12" i="32" s="1"/>
  <c r="DI41" i="32"/>
  <c r="DJ41" i="32" s="1"/>
  <c r="DI23" i="32"/>
  <c r="DJ23" i="32" s="1"/>
  <c r="DI15" i="32"/>
  <c r="DJ15" i="32" s="1"/>
  <c r="DI16" i="32"/>
  <c r="DJ16" i="32" s="1"/>
  <c r="DI17" i="32"/>
  <c r="DJ17" i="32" s="1"/>
  <c r="DI18" i="32"/>
  <c r="DJ18" i="32" s="1"/>
  <c r="DI19" i="32"/>
  <c r="DJ19" i="32" s="1"/>
  <c r="DI20" i="32"/>
  <c r="DJ20" i="32" s="1"/>
  <c r="DI61" i="32"/>
  <c r="DJ61" i="32" s="1"/>
  <c r="DI22" i="32"/>
  <c r="DJ22" i="32" s="1"/>
  <c r="DI69" i="32"/>
  <c r="DJ69" i="32" s="1"/>
  <c r="DI36" i="32"/>
  <c r="DJ36" i="32" s="1"/>
  <c r="DI55" i="32"/>
  <c r="DJ55" i="32" s="1"/>
  <c r="DI26" i="32"/>
  <c r="DJ26" i="32" s="1"/>
  <c r="DI27" i="32"/>
  <c r="DJ27" i="32" s="1"/>
  <c r="DI30" i="32"/>
  <c r="DJ30" i="32" s="1"/>
  <c r="DI45" i="32"/>
  <c r="DJ45" i="32" s="1"/>
  <c r="DI53" i="32"/>
  <c r="DJ53" i="32" s="1"/>
  <c r="DI31" i="32"/>
  <c r="DJ31" i="32" s="1"/>
  <c r="DI11" i="32"/>
  <c r="DJ11" i="32" s="1"/>
  <c r="DI33" i="32"/>
  <c r="DJ33" i="32" s="1"/>
  <c r="DI34" i="32"/>
  <c r="DJ34" i="32" s="1"/>
  <c r="DI38" i="32"/>
  <c r="DJ38" i="32" s="1"/>
  <c r="DI62" i="32"/>
  <c r="DJ62" i="32" s="1"/>
  <c r="DI37" i="32"/>
  <c r="DJ37" i="32" s="1"/>
  <c r="DI3" i="32"/>
  <c r="DJ3" i="32" s="1"/>
  <c r="DI39" i="32"/>
  <c r="DJ39" i="32" s="1"/>
  <c r="DI40" i="32"/>
  <c r="DJ40" i="32" s="1"/>
  <c r="DI74" i="32"/>
  <c r="DJ74" i="32" s="1"/>
  <c r="DI42" i="32"/>
  <c r="DJ42" i="32" s="1"/>
  <c r="DI43" i="32"/>
  <c r="DJ43" i="32" s="1"/>
  <c r="DI48" i="32"/>
  <c r="DJ48" i="32" s="1"/>
  <c r="DI7" i="32"/>
  <c r="DJ7" i="32" s="1"/>
  <c r="DI35" i="32"/>
  <c r="DJ35" i="32" s="1"/>
  <c r="DI47" i="32"/>
  <c r="DJ47" i="32" s="1"/>
  <c r="DI5" i="32"/>
  <c r="DJ5" i="32" s="1"/>
  <c r="DI49" i="32"/>
  <c r="DJ49" i="32" s="1"/>
  <c r="DI52" i="32"/>
  <c r="DJ52" i="32" s="1"/>
  <c r="DI51" i="32"/>
  <c r="DJ51" i="32" s="1"/>
  <c r="DI24" i="32"/>
  <c r="DJ24" i="32" s="1"/>
  <c r="DI28" i="32"/>
  <c r="DJ28" i="32" s="1"/>
  <c r="DI54" i="32"/>
  <c r="DJ54" i="32" s="1"/>
  <c r="DI32" i="32"/>
  <c r="DJ32" i="32" s="1"/>
  <c r="DI56" i="32"/>
  <c r="DJ56" i="32" s="1"/>
  <c r="DI57" i="32"/>
  <c r="DJ57" i="32" s="1"/>
  <c r="DI58" i="32"/>
  <c r="DJ58" i="32" s="1"/>
  <c r="DI59" i="32"/>
  <c r="DJ59" i="32" s="1"/>
  <c r="DI60" i="32"/>
  <c r="DJ60" i="32" s="1"/>
  <c r="DI68" i="32"/>
  <c r="DJ68" i="32" s="1"/>
  <c r="DI13" i="32"/>
  <c r="DJ13" i="32" s="1"/>
  <c r="DI63" i="32"/>
  <c r="DJ63" i="32" s="1"/>
  <c r="DI64" i="32"/>
  <c r="DJ64" i="32" s="1"/>
  <c r="DI65" i="32"/>
  <c r="DJ65" i="32" s="1"/>
  <c r="DI66" i="32"/>
  <c r="DJ66" i="32" s="1"/>
  <c r="DI67" i="32"/>
  <c r="DJ67" i="32" s="1"/>
  <c r="DI29" i="32"/>
  <c r="DJ29" i="32" s="1"/>
  <c r="DI14" i="32"/>
  <c r="DJ14" i="32" s="1"/>
  <c r="DI70" i="32"/>
  <c r="DJ70" i="32" s="1"/>
  <c r="DI21" i="32"/>
  <c r="DJ21" i="32" s="1"/>
  <c r="DI44" i="32"/>
  <c r="DJ44" i="32" s="1"/>
  <c r="DI73" i="32"/>
  <c r="DJ73" i="32" s="1"/>
  <c r="DI46" i="32"/>
  <c r="DJ46" i="32" s="1"/>
  <c r="DI75" i="32"/>
  <c r="DJ75" i="32" s="1"/>
  <c r="DI76" i="32"/>
  <c r="DJ76" i="32" s="1"/>
  <c r="DI77" i="32"/>
  <c r="DJ77" i="32" s="1"/>
  <c r="DI78" i="32"/>
  <c r="DJ78" i="32" s="1"/>
  <c r="DI79" i="32"/>
  <c r="DJ79" i="32" s="1"/>
  <c r="DI80" i="32"/>
  <c r="DJ80" i="32" s="1"/>
  <c r="DI81" i="32"/>
  <c r="DJ81" i="32" s="1"/>
  <c r="DI82" i="32"/>
  <c r="DJ82" i="32" s="1"/>
  <c r="DI83" i="32"/>
  <c r="DJ83" i="32" s="1"/>
  <c r="DI84" i="32"/>
  <c r="DJ84" i="32" s="1"/>
  <c r="DI50" i="32"/>
  <c r="DJ50" i="32" s="1"/>
  <c r="DA25" i="32"/>
  <c r="DA15" i="32"/>
  <c r="DA69" i="32"/>
  <c r="DA31" i="32"/>
  <c r="DA39" i="32"/>
  <c r="DA47" i="32"/>
  <c r="DA32" i="32"/>
  <c r="DA63" i="32"/>
  <c r="DA21" i="32"/>
  <c r="DA79" i="32"/>
  <c r="CZ72" i="32"/>
  <c r="CZ71" i="32"/>
  <c r="CZ19" i="32"/>
  <c r="CZ27" i="32"/>
  <c r="CZ38" i="32"/>
  <c r="CZ43" i="32"/>
  <c r="CZ51" i="32"/>
  <c r="CZ59" i="32"/>
  <c r="CZ67" i="32"/>
  <c r="CZ75" i="32"/>
  <c r="CZ83" i="32"/>
  <c r="CP2" i="32"/>
  <c r="CP72" i="32"/>
  <c r="CP4" i="32"/>
  <c r="CP85" i="32"/>
  <c r="CP25" i="32"/>
  <c r="CP8" i="32"/>
  <c r="CP9" i="32"/>
  <c r="CP71" i="32"/>
  <c r="CP12" i="32"/>
  <c r="CP41" i="32"/>
  <c r="CP15" i="32"/>
  <c r="CP16" i="32"/>
  <c r="CP17" i="32"/>
  <c r="CP19" i="32"/>
  <c r="CP20" i="32"/>
  <c r="CP61" i="32"/>
  <c r="CP69" i="32"/>
  <c r="CP36" i="32"/>
  <c r="CP55" i="32"/>
  <c r="CP27" i="32"/>
  <c r="CP30" i="32"/>
  <c r="CP45" i="32"/>
  <c r="CP31" i="32"/>
  <c r="CP11" i="32"/>
  <c r="CP33" i="32"/>
  <c r="CP38" i="32"/>
  <c r="CP62" i="32"/>
  <c r="CP37" i="32"/>
  <c r="CP39" i="32"/>
  <c r="CP40" i="32"/>
  <c r="CP74" i="32"/>
  <c r="CP43" i="32"/>
  <c r="CP48" i="32"/>
  <c r="CP7" i="32"/>
  <c r="CP47" i="32"/>
  <c r="CP5" i="32"/>
  <c r="CP49" i="32"/>
  <c r="CP51" i="32"/>
  <c r="CP24" i="32"/>
  <c r="CP28" i="32"/>
  <c r="CP32" i="32"/>
  <c r="CP56" i="32"/>
  <c r="CP57" i="32"/>
  <c r="CP59" i="32"/>
  <c r="CP60" i="32"/>
  <c r="CP68" i="32"/>
  <c r="CP63" i="32"/>
  <c r="CP64" i="32"/>
  <c r="CP65" i="32"/>
  <c r="CP67" i="32"/>
  <c r="CP29" i="32"/>
  <c r="CP14" i="32"/>
  <c r="CP21" i="32"/>
  <c r="CP44" i="32"/>
  <c r="CP73" i="32"/>
  <c r="CP75" i="32"/>
  <c r="CP76" i="32"/>
  <c r="CP77" i="32"/>
  <c r="CP79" i="32"/>
  <c r="CP80" i="32"/>
  <c r="CP81" i="32"/>
  <c r="CP83" i="32"/>
  <c r="CP84" i="32"/>
  <c r="CP50" i="32"/>
  <c r="CO2" i="32"/>
  <c r="CO72" i="32"/>
  <c r="CO4" i="32"/>
  <c r="CO85" i="32"/>
  <c r="CO25" i="32"/>
  <c r="CO8" i="32"/>
  <c r="CO9" i="32"/>
  <c r="CO71" i="32"/>
  <c r="CO12" i="32"/>
  <c r="CO41" i="32"/>
  <c r="CO15" i="32"/>
  <c r="CO16" i="32"/>
  <c r="CO17" i="32"/>
  <c r="CO19" i="32"/>
  <c r="CO20" i="32"/>
  <c r="CO61" i="32"/>
  <c r="CO69" i="32"/>
  <c r="CO36" i="32"/>
  <c r="CO55" i="32"/>
  <c r="CO27" i="32"/>
  <c r="CO30" i="32"/>
  <c r="CO45" i="32"/>
  <c r="CO31" i="32"/>
  <c r="CO11" i="32"/>
  <c r="CO33" i="32"/>
  <c r="CO38" i="32"/>
  <c r="CO62" i="32"/>
  <c r="CO37" i="32"/>
  <c r="CO39" i="32"/>
  <c r="CO40" i="32"/>
  <c r="CO74" i="32"/>
  <c r="CO43" i="32"/>
  <c r="CO48" i="32"/>
  <c r="CO7" i="32"/>
  <c r="CO47" i="32"/>
  <c r="CO5" i="32"/>
  <c r="CO49" i="32"/>
  <c r="CO51" i="32"/>
  <c r="CO24" i="32"/>
  <c r="CO28" i="32"/>
  <c r="CO32" i="32"/>
  <c r="CO56" i="32"/>
  <c r="CO57" i="32"/>
  <c r="CO59" i="32"/>
  <c r="CO60" i="32"/>
  <c r="CO68" i="32"/>
  <c r="CO63" i="32"/>
  <c r="CO64" i="32"/>
  <c r="CO65" i="32"/>
  <c r="CO67" i="32"/>
  <c r="CO29" i="32"/>
  <c r="CO14" i="32"/>
  <c r="CO21" i="32"/>
  <c r="CO44" i="32"/>
  <c r="CO73" i="32"/>
  <c r="CO75" i="32"/>
  <c r="CO76" i="32"/>
  <c r="CO77" i="32"/>
  <c r="CO79" i="32"/>
  <c r="CO80" i="32"/>
  <c r="CO81" i="32"/>
  <c r="CO83" i="32"/>
  <c r="CO84" i="32"/>
  <c r="CO50" i="32"/>
  <c r="CN50" i="32"/>
  <c r="CD50" i="32"/>
  <c r="CN84" i="32"/>
  <c r="CD84" i="32"/>
  <c r="CN83" i="32"/>
  <c r="CD83" i="32"/>
  <c r="CN82" i="32"/>
  <c r="CD82" i="32"/>
  <c r="CN81" i="32"/>
  <c r="CD81" i="32"/>
  <c r="CN80" i="32"/>
  <c r="CD80" i="32"/>
  <c r="CN79" i="32"/>
  <c r="CD79" i="32"/>
  <c r="CN78" i="32"/>
  <c r="CD78" i="32"/>
  <c r="CN77" i="32"/>
  <c r="CD77" i="32"/>
  <c r="CN76" i="32"/>
  <c r="CD76" i="32"/>
  <c r="CN75" i="32"/>
  <c r="CD75" i="32"/>
  <c r="CN46" i="32"/>
  <c r="CD46" i="32"/>
  <c r="CN73" i="32"/>
  <c r="CD73" i="32"/>
  <c r="CN44" i="32"/>
  <c r="CD44" i="32"/>
  <c r="CN21" i="32"/>
  <c r="CD21" i="32"/>
  <c r="CN70" i="32"/>
  <c r="CD70" i="32"/>
  <c r="CN14" i="32"/>
  <c r="CD14" i="32"/>
  <c r="CN29" i="32"/>
  <c r="CD29" i="32"/>
  <c r="CN67" i="32"/>
  <c r="CD67" i="32"/>
  <c r="CN66" i="32"/>
  <c r="CD66" i="32"/>
  <c r="CN65" i="32"/>
  <c r="CD65" i="32"/>
  <c r="CN64" i="32"/>
  <c r="CD64" i="32"/>
  <c r="CN63" i="32"/>
  <c r="CD63" i="32"/>
  <c r="CN13" i="32"/>
  <c r="CD13" i="32"/>
  <c r="CN68" i="32"/>
  <c r="CD68" i="32"/>
  <c r="CN60" i="32"/>
  <c r="CD60" i="32"/>
  <c r="CN59" i="32"/>
  <c r="CD59" i="32"/>
  <c r="CN58" i="32"/>
  <c r="CD58" i="32"/>
  <c r="CN57" i="32"/>
  <c r="CD57" i="32"/>
  <c r="CN56" i="32"/>
  <c r="CD56" i="32"/>
  <c r="CN32" i="32"/>
  <c r="CD32" i="32"/>
  <c r="CN54" i="32"/>
  <c r="CD54" i="32"/>
  <c r="CN28" i="32"/>
  <c r="CD28" i="32"/>
  <c r="CN24" i="32"/>
  <c r="CD24" i="32"/>
  <c r="CN51" i="32"/>
  <c r="CD51" i="32"/>
  <c r="CN52" i="32"/>
  <c r="CD52" i="32"/>
  <c r="CN49" i="32"/>
  <c r="CD49" i="32"/>
  <c r="CN5" i="32"/>
  <c r="CD5" i="32"/>
  <c r="CN47" i="32"/>
  <c r="CD47" i="32"/>
  <c r="CN35" i="32"/>
  <c r="CD35" i="32"/>
  <c r="CN7" i="32"/>
  <c r="CD7" i="32"/>
  <c r="CN48" i="32"/>
  <c r="CD48" i="32"/>
  <c r="CN43" i="32"/>
  <c r="CD43" i="32"/>
  <c r="CN42" i="32"/>
  <c r="CD42" i="32"/>
  <c r="CN74" i="32"/>
  <c r="CD74" i="32"/>
  <c r="CN40" i="32"/>
  <c r="CD40" i="32"/>
  <c r="CN39" i="32"/>
  <c r="CD39" i="32"/>
  <c r="CN3" i="32"/>
  <c r="CD3" i="32"/>
  <c r="CN37" i="32"/>
  <c r="CD37" i="32"/>
  <c r="CN62" i="32"/>
  <c r="CD62" i="32"/>
  <c r="CN38" i="32"/>
  <c r="CD38" i="32"/>
  <c r="CN34" i="32"/>
  <c r="CD34" i="32"/>
  <c r="CN33" i="32"/>
  <c r="CD33" i="32"/>
  <c r="CN11" i="32"/>
  <c r="CD11" i="32"/>
  <c r="CN31" i="32"/>
  <c r="CD31" i="32"/>
  <c r="CN53" i="32"/>
  <c r="CD53" i="32"/>
  <c r="CN45" i="32"/>
  <c r="CD45" i="32"/>
  <c r="CN30" i="32"/>
  <c r="CD30" i="32"/>
  <c r="CN27" i="32"/>
  <c r="CD27" i="32"/>
  <c r="CN26" i="32"/>
  <c r="CD26" i="32"/>
  <c r="CN55" i="32"/>
  <c r="CD55" i="32"/>
  <c r="CN36" i="32"/>
  <c r="CD36" i="32"/>
  <c r="CN69" i="32"/>
  <c r="CD69" i="32"/>
  <c r="CN22" i="32"/>
  <c r="CD22" i="32"/>
  <c r="CN61" i="32"/>
  <c r="CD61" i="32"/>
  <c r="CN20" i="32"/>
  <c r="CD20" i="32"/>
  <c r="CN19" i="32"/>
  <c r="CD19" i="32"/>
  <c r="CN18" i="32"/>
  <c r="CD18" i="32"/>
  <c r="CN17" i="32"/>
  <c r="CD17" i="32"/>
  <c r="CN16" i="32"/>
  <c r="CD16" i="32"/>
  <c r="CN15" i="32"/>
  <c r="CD15" i="32"/>
  <c r="CN23" i="32"/>
  <c r="CD23" i="32"/>
  <c r="CN41" i="32"/>
  <c r="CD41" i="32"/>
  <c r="CN12" i="32"/>
  <c r="CD12" i="32"/>
  <c r="CN71" i="32"/>
  <c r="CD71" i="32"/>
  <c r="CN10" i="32"/>
  <c r="CD10" i="32"/>
  <c r="CN9" i="32"/>
  <c r="CD9" i="32"/>
  <c r="CN8" i="32"/>
  <c r="CD8" i="32"/>
  <c r="CN25" i="32"/>
  <c r="CD25" i="32"/>
  <c r="CN6" i="32"/>
  <c r="CD6" i="32"/>
  <c r="CN85" i="32"/>
  <c r="CD85" i="32"/>
  <c r="CN4" i="32"/>
  <c r="CD4" i="32"/>
  <c r="CN72" i="32"/>
  <c r="CD72" i="32"/>
  <c r="CN2" i="32"/>
  <c r="CD2" i="32"/>
  <c r="BV2" i="32"/>
  <c r="BV72" i="32"/>
  <c r="BV4" i="32"/>
  <c r="BV85" i="32"/>
  <c r="BV25" i="32"/>
  <c r="BV8" i="32"/>
  <c r="BV9" i="32"/>
  <c r="BV71" i="32"/>
  <c r="BV12" i="32"/>
  <c r="BV41" i="32"/>
  <c r="BV15" i="32"/>
  <c r="BV16" i="32"/>
  <c r="BV17" i="32"/>
  <c r="BV19" i="32"/>
  <c r="BV20" i="32"/>
  <c r="BV61" i="32"/>
  <c r="BV69" i="32"/>
  <c r="BV36" i="32"/>
  <c r="BV55" i="32"/>
  <c r="BV27" i="32"/>
  <c r="BV30" i="32"/>
  <c r="BV45" i="32"/>
  <c r="BV31" i="32"/>
  <c r="BV11" i="32"/>
  <c r="BV33" i="32"/>
  <c r="BV38" i="32"/>
  <c r="BV62" i="32"/>
  <c r="BV37" i="32"/>
  <c r="BV39" i="32"/>
  <c r="BV40" i="32"/>
  <c r="BV74" i="32"/>
  <c r="BV43" i="32"/>
  <c r="BV48" i="32"/>
  <c r="BV7" i="32"/>
  <c r="BV47" i="32"/>
  <c r="BV5" i="32"/>
  <c r="BV49" i="32"/>
  <c r="BV51" i="32"/>
  <c r="BV24" i="32"/>
  <c r="BV28" i="32"/>
  <c r="BV32" i="32"/>
  <c r="BV56" i="32"/>
  <c r="BV57" i="32"/>
  <c r="BV59" i="32"/>
  <c r="BV60" i="32"/>
  <c r="BV68" i="32"/>
  <c r="BV63" i="32"/>
  <c r="BV64" i="32"/>
  <c r="BV65" i="32"/>
  <c r="BV67" i="32"/>
  <c r="BV29" i="32"/>
  <c r="BV14" i="32"/>
  <c r="BV21" i="32"/>
  <c r="BV44" i="32"/>
  <c r="BV73" i="32"/>
  <c r="BV75" i="32"/>
  <c r="BV76" i="32"/>
  <c r="BV77" i="32"/>
  <c r="BV79" i="32"/>
  <c r="BV80" i="32"/>
  <c r="BV81" i="32"/>
  <c r="BV83" i="32"/>
  <c r="BV84" i="32"/>
  <c r="BV50" i="32"/>
  <c r="BU2" i="32"/>
  <c r="BU72" i="32"/>
  <c r="BU4" i="32"/>
  <c r="BU85" i="32"/>
  <c r="BU25" i="32"/>
  <c r="BU8" i="32"/>
  <c r="BU9" i="32"/>
  <c r="BU71" i="32"/>
  <c r="BU12" i="32"/>
  <c r="BU41" i="32"/>
  <c r="BU15" i="32"/>
  <c r="BU16" i="32"/>
  <c r="BU17" i="32"/>
  <c r="BU19" i="32"/>
  <c r="BU20" i="32"/>
  <c r="BU61" i="32"/>
  <c r="BU69" i="32"/>
  <c r="BU36" i="32"/>
  <c r="BU55" i="32"/>
  <c r="BU27" i="32"/>
  <c r="BU30" i="32"/>
  <c r="BU45" i="32"/>
  <c r="BU31" i="32"/>
  <c r="BU11" i="32"/>
  <c r="BU33" i="32"/>
  <c r="BU38" i="32"/>
  <c r="BU62" i="32"/>
  <c r="BU37" i="32"/>
  <c r="BU39" i="32"/>
  <c r="BU40" i="32"/>
  <c r="BU74" i="32"/>
  <c r="BU43" i="32"/>
  <c r="BU48" i="32"/>
  <c r="BU7" i="32"/>
  <c r="BU47" i="32"/>
  <c r="BU5" i="32"/>
  <c r="BU49" i="32"/>
  <c r="BU51" i="32"/>
  <c r="BU24" i="32"/>
  <c r="BU28" i="32"/>
  <c r="BU32" i="32"/>
  <c r="BU56" i="32"/>
  <c r="BU57" i="32"/>
  <c r="BU59" i="32"/>
  <c r="BU60" i="32"/>
  <c r="BU68" i="32"/>
  <c r="BU63" i="32"/>
  <c r="BU64" i="32"/>
  <c r="BU65" i="32"/>
  <c r="BU67" i="32"/>
  <c r="BU29" i="32"/>
  <c r="BU14" i="32"/>
  <c r="BU21" i="32"/>
  <c r="BU44" i="32"/>
  <c r="BU73" i="32"/>
  <c r="BU75" i="32"/>
  <c r="BU76" i="32"/>
  <c r="BU77" i="32"/>
  <c r="BU79" i="32"/>
  <c r="BU80" i="32"/>
  <c r="BU81" i="32"/>
  <c r="BU83" i="32"/>
  <c r="BU84" i="32"/>
  <c r="BU50" i="32"/>
  <c r="BI2" i="32"/>
  <c r="BJ2" i="32" s="1"/>
  <c r="BI72" i="32"/>
  <c r="BI4" i="32"/>
  <c r="BJ4" i="32" s="1"/>
  <c r="BI85" i="32"/>
  <c r="BJ85" i="32" s="1"/>
  <c r="BI6" i="32"/>
  <c r="BJ6" i="32" s="1"/>
  <c r="BI25" i="32"/>
  <c r="BI8" i="32"/>
  <c r="BJ8" i="32" s="1"/>
  <c r="BI9" i="32"/>
  <c r="BJ9" i="32" s="1"/>
  <c r="BI10" i="32"/>
  <c r="BJ10" i="32" s="1"/>
  <c r="BI71" i="32"/>
  <c r="BI12" i="32"/>
  <c r="BJ12" i="32" s="1"/>
  <c r="BI41" i="32"/>
  <c r="BJ41" i="32" s="1"/>
  <c r="BI23" i="32"/>
  <c r="BJ23" i="32" s="1"/>
  <c r="BI15" i="32"/>
  <c r="BI16" i="32"/>
  <c r="BJ16" i="32" s="1"/>
  <c r="BI17" i="32"/>
  <c r="BJ17" i="32" s="1"/>
  <c r="BI18" i="32"/>
  <c r="BJ18" i="32" s="1"/>
  <c r="BI19" i="32"/>
  <c r="BI20" i="32"/>
  <c r="BJ20" i="32" s="1"/>
  <c r="BI61" i="32"/>
  <c r="BJ61" i="32" s="1"/>
  <c r="BI22" i="32"/>
  <c r="BJ22" i="32" s="1"/>
  <c r="BI69" i="32"/>
  <c r="BI36" i="32"/>
  <c r="BJ36" i="32" s="1"/>
  <c r="BI55" i="32"/>
  <c r="BJ55" i="32" s="1"/>
  <c r="BI26" i="32"/>
  <c r="BJ26" i="32" s="1"/>
  <c r="BI27" i="32"/>
  <c r="BI30" i="32"/>
  <c r="BJ30" i="32" s="1"/>
  <c r="BI45" i="32"/>
  <c r="BJ45" i="32" s="1"/>
  <c r="BI53" i="32"/>
  <c r="BJ53" i="32" s="1"/>
  <c r="BI31" i="32"/>
  <c r="BI11" i="32"/>
  <c r="BJ11" i="32" s="1"/>
  <c r="BI33" i="32"/>
  <c r="BJ33" i="32" s="1"/>
  <c r="BI34" i="32"/>
  <c r="BJ34" i="32" s="1"/>
  <c r="BI38" i="32"/>
  <c r="BI62" i="32"/>
  <c r="BJ62" i="32" s="1"/>
  <c r="BI37" i="32"/>
  <c r="BJ37" i="32" s="1"/>
  <c r="BI3" i="32"/>
  <c r="BJ3" i="32" s="1"/>
  <c r="BI39" i="32"/>
  <c r="BI40" i="32"/>
  <c r="BJ40" i="32" s="1"/>
  <c r="BI74" i="32"/>
  <c r="BJ74" i="32" s="1"/>
  <c r="BI42" i="32"/>
  <c r="BJ42" i="32" s="1"/>
  <c r="BI43" i="32"/>
  <c r="BI48" i="32"/>
  <c r="BJ48" i="32" s="1"/>
  <c r="BI7" i="32"/>
  <c r="BJ7" i="32" s="1"/>
  <c r="BI35" i="32"/>
  <c r="BJ35" i="32" s="1"/>
  <c r="BI47" i="32"/>
  <c r="BI5" i="32"/>
  <c r="BJ5" i="32" s="1"/>
  <c r="BI49" i="32"/>
  <c r="BK49" i="32" s="1"/>
  <c r="BI52" i="32"/>
  <c r="BJ52" i="32" s="1"/>
  <c r="BI51" i="32"/>
  <c r="BI24" i="32"/>
  <c r="BJ24" i="32" s="1"/>
  <c r="BI28" i="32"/>
  <c r="BJ28" i="32" s="1"/>
  <c r="BI54" i="32"/>
  <c r="BJ54" i="32" s="1"/>
  <c r="BI32" i="32"/>
  <c r="BI56" i="32"/>
  <c r="BJ56" i="32" s="1"/>
  <c r="BI57" i="32"/>
  <c r="BJ57" i="32" s="1"/>
  <c r="BI58" i="32"/>
  <c r="BJ58" i="32" s="1"/>
  <c r="BI59" i="32"/>
  <c r="BI60" i="32"/>
  <c r="BJ60" i="32" s="1"/>
  <c r="BI68" i="32"/>
  <c r="BJ68" i="32" s="1"/>
  <c r="BI13" i="32"/>
  <c r="BJ13" i="32" s="1"/>
  <c r="BI63" i="32"/>
  <c r="BI64" i="32"/>
  <c r="BJ64" i="32" s="1"/>
  <c r="BI65" i="32"/>
  <c r="BJ65" i="32" s="1"/>
  <c r="BI66" i="32"/>
  <c r="BJ66" i="32" s="1"/>
  <c r="BI67" i="32"/>
  <c r="BI29" i="32"/>
  <c r="BJ29" i="32" s="1"/>
  <c r="BI14" i="32"/>
  <c r="BJ14" i="32" s="1"/>
  <c r="BI70" i="32"/>
  <c r="BJ70" i="32" s="1"/>
  <c r="BI21" i="32"/>
  <c r="BI44" i="32"/>
  <c r="BJ44" i="32" s="1"/>
  <c r="BI73" i="32"/>
  <c r="BJ73" i="32" s="1"/>
  <c r="BI46" i="32"/>
  <c r="BJ46" i="32" s="1"/>
  <c r="BI75" i="32"/>
  <c r="BI76" i="32"/>
  <c r="BJ76" i="32" s="1"/>
  <c r="BI77" i="32"/>
  <c r="BJ77" i="32" s="1"/>
  <c r="BI78" i="32"/>
  <c r="BJ78" i="32" s="1"/>
  <c r="BI79" i="32"/>
  <c r="BI80" i="32"/>
  <c r="BJ80" i="32" s="1"/>
  <c r="BI81" i="32"/>
  <c r="BJ81" i="32" s="1"/>
  <c r="BI82" i="32"/>
  <c r="BI83" i="32"/>
  <c r="BI84" i="32"/>
  <c r="BJ84" i="32" s="1"/>
  <c r="BI50" i="32"/>
  <c r="BJ50" i="32" s="1"/>
  <c r="A86" i="32"/>
  <c r="AY2" i="32"/>
  <c r="AY72" i="32"/>
  <c r="AZ72" i="32" s="1"/>
  <c r="AY4" i="32"/>
  <c r="AZ4" i="32" s="1"/>
  <c r="AY85" i="32"/>
  <c r="CF85" i="32" s="1"/>
  <c r="AY6" i="32"/>
  <c r="AY25" i="32"/>
  <c r="AZ25" i="32" s="1"/>
  <c r="AY8" i="32"/>
  <c r="AZ8" i="32" s="1"/>
  <c r="AY9" i="32"/>
  <c r="CF9" i="32" s="1"/>
  <c r="AY10" i="32"/>
  <c r="AY71" i="32"/>
  <c r="AZ71" i="32" s="1"/>
  <c r="AY12" i="32"/>
  <c r="AZ12" i="32" s="1"/>
  <c r="AY41" i="32"/>
  <c r="CF41" i="32" s="1"/>
  <c r="AY23" i="32"/>
  <c r="AY15" i="32"/>
  <c r="AZ15" i="32" s="1"/>
  <c r="AY16" i="32"/>
  <c r="AZ16" i="32" s="1"/>
  <c r="AY17" i="32"/>
  <c r="CF17" i="32" s="1"/>
  <c r="AY18" i="32"/>
  <c r="AY19" i="32"/>
  <c r="AZ19" i="32" s="1"/>
  <c r="AY20" i="32"/>
  <c r="AZ20" i="32" s="1"/>
  <c r="AY61" i="32"/>
  <c r="CF61" i="32" s="1"/>
  <c r="AY22" i="32"/>
  <c r="AY69" i="32"/>
  <c r="AZ69" i="32" s="1"/>
  <c r="AY36" i="32"/>
  <c r="AZ36" i="32" s="1"/>
  <c r="AY55" i="32"/>
  <c r="CF55" i="32" s="1"/>
  <c r="AY26" i="32"/>
  <c r="AY27" i="32"/>
  <c r="AZ27" i="32" s="1"/>
  <c r="AY30" i="32"/>
  <c r="AZ30" i="32" s="1"/>
  <c r="AY45" i="32"/>
  <c r="CF45" i="32" s="1"/>
  <c r="AY53" i="32"/>
  <c r="AY31" i="32"/>
  <c r="AZ31" i="32" s="1"/>
  <c r="AY11" i="32"/>
  <c r="AZ11" i="32" s="1"/>
  <c r="AY33" i="32"/>
  <c r="CF33" i="32" s="1"/>
  <c r="AY34" i="32"/>
  <c r="AY38" i="32"/>
  <c r="AZ38" i="32" s="1"/>
  <c r="AY62" i="32"/>
  <c r="AZ62" i="32" s="1"/>
  <c r="AY37" i="32"/>
  <c r="CF37" i="32" s="1"/>
  <c r="AY3" i="32"/>
  <c r="AY39" i="32"/>
  <c r="AZ39" i="32" s="1"/>
  <c r="AY40" i="32"/>
  <c r="AZ40" i="32" s="1"/>
  <c r="AY74" i="32"/>
  <c r="CF74" i="32" s="1"/>
  <c r="AY42" i="32"/>
  <c r="AY43" i="32"/>
  <c r="AZ43" i="32" s="1"/>
  <c r="AY48" i="32"/>
  <c r="AZ48" i="32" s="1"/>
  <c r="AY7" i="32"/>
  <c r="CF7" i="32" s="1"/>
  <c r="AY35" i="32"/>
  <c r="AY47" i="32"/>
  <c r="AZ47" i="32" s="1"/>
  <c r="AY5" i="32"/>
  <c r="AZ5" i="32" s="1"/>
  <c r="AY49" i="32"/>
  <c r="CF49" i="32" s="1"/>
  <c r="AY52" i="32"/>
  <c r="AY51" i="32"/>
  <c r="AZ51" i="32" s="1"/>
  <c r="AY24" i="32"/>
  <c r="AZ24" i="32" s="1"/>
  <c r="AY28" i="32"/>
  <c r="CF28" i="32" s="1"/>
  <c r="AY54" i="32"/>
  <c r="AY32" i="32"/>
  <c r="AZ32" i="32" s="1"/>
  <c r="AY56" i="32"/>
  <c r="AZ56" i="32" s="1"/>
  <c r="AY57" i="32"/>
  <c r="CF57" i="32" s="1"/>
  <c r="AY58" i="32"/>
  <c r="AY59" i="32"/>
  <c r="AZ59" i="32" s="1"/>
  <c r="AY60" i="32"/>
  <c r="AZ60" i="32" s="1"/>
  <c r="AY68" i="32"/>
  <c r="CF68" i="32" s="1"/>
  <c r="AY13" i="32"/>
  <c r="AY63" i="32"/>
  <c r="AZ63" i="32" s="1"/>
  <c r="AY64" i="32"/>
  <c r="AZ64" i="32" s="1"/>
  <c r="AY65" i="32"/>
  <c r="CF65" i="32" s="1"/>
  <c r="AY66" i="32"/>
  <c r="AY67" i="32"/>
  <c r="AZ67" i="32" s="1"/>
  <c r="AY29" i="32"/>
  <c r="AZ29" i="32" s="1"/>
  <c r="AY14" i="32"/>
  <c r="CF14" i="32" s="1"/>
  <c r="AY70" i="32"/>
  <c r="AY21" i="32"/>
  <c r="AZ21" i="32" s="1"/>
  <c r="AY44" i="32"/>
  <c r="AZ44" i="32" s="1"/>
  <c r="AY73" i="32"/>
  <c r="CF73" i="32" s="1"/>
  <c r="AY46" i="32"/>
  <c r="AY75" i="32"/>
  <c r="AZ75" i="32" s="1"/>
  <c r="AY76" i="32"/>
  <c r="AZ76" i="32" s="1"/>
  <c r="AY77" i="32"/>
  <c r="CF77" i="32" s="1"/>
  <c r="AY78" i="32"/>
  <c r="AY79" i="32"/>
  <c r="AZ79" i="32" s="1"/>
  <c r="AY80" i="32"/>
  <c r="AZ80" i="32" s="1"/>
  <c r="AY81" i="32"/>
  <c r="CF81" i="32" s="1"/>
  <c r="AY82" i="32"/>
  <c r="AY83" i="32"/>
  <c r="AZ83" i="32" s="1"/>
  <c r="AY84" i="32"/>
  <c r="AZ84" i="32" s="1"/>
  <c r="AY50" i="32"/>
  <c r="CF50" i="32" s="1"/>
  <c r="AE86" i="32"/>
  <c r="AC86" i="32" s="1"/>
  <c r="AQ2" i="32"/>
  <c r="AQ72" i="32"/>
  <c r="AQ4" i="32"/>
  <c r="AQ6" i="32"/>
  <c r="AQ25" i="32"/>
  <c r="AQ8" i="32"/>
  <c r="AQ10" i="32"/>
  <c r="AQ71" i="32"/>
  <c r="AQ12" i="32"/>
  <c r="AQ23" i="32"/>
  <c r="AQ15" i="32"/>
  <c r="AQ16" i="32"/>
  <c r="AQ18" i="32"/>
  <c r="AQ19" i="32"/>
  <c r="AQ20" i="32"/>
  <c r="AQ22" i="32"/>
  <c r="AQ69" i="32"/>
  <c r="AQ36" i="32"/>
  <c r="AQ26" i="32"/>
  <c r="AQ27" i="32"/>
  <c r="AQ30" i="32"/>
  <c r="AQ53" i="32"/>
  <c r="AQ31" i="32"/>
  <c r="AQ11" i="32"/>
  <c r="AQ34" i="32"/>
  <c r="AQ38" i="32"/>
  <c r="AQ62" i="32"/>
  <c r="AQ3" i="32"/>
  <c r="AQ39" i="32"/>
  <c r="AQ40" i="32"/>
  <c r="AQ42" i="32"/>
  <c r="AQ43" i="32"/>
  <c r="AQ48" i="32"/>
  <c r="AQ35" i="32"/>
  <c r="AQ47" i="32"/>
  <c r="AQ5" i="32"/>
  <c r="AQ52" i="32"/>
  <c r="AQ51" i="32"/>
  <c r="AQ24" i="32"/>
  <c r="AQ54" i="32"/>
  <c r="AQ32" i="32"/>
  <c r="AQ56" i="32"/>
  <c r="AQ58" i="32"/>
  <c r="AQ59" i="32"/>
  <c r="AQ60" i="32"/>
  <c r="AQ13" i="32"/>
  <c r="AQ63" i="32"/>
  <c r="AQ64" i="32"/>
  <c r="AQ66" i="32"/>
  <c r="AQ67" i="32"/>
  <c r="AQ29" i="32"/>
  <c r="AQ70" i="32"/>
  <c r="AQ21" i="32"/>
  <c r="AQ44" i="32"/>
  <c r="AQ46" i="32"/>
  <c r="AQ75" i="32"/>
  <c r="AQ76" i="32"/>
  <c r="AQ78" i="32"/>
  <c r="AQ79" i="32"/>
  <c r="AQ80" i="32"/>
  <c r="AQ82" i="32"/>
  <c r="AQ83" i="32"/>
  <c r="AQ84" i="32"/>
  <c r="AP2" i="32"/>
  <c r="AP72" i="32"/>
  <c r="AP4" i="32"/>
  <c r="AP6" i="32"/>
  <c r="AP25" i="32"/>
  <c r="AP8" i="32"/>
  <c r="AP10" i="32"/>
  <c r="AP71" i="32"/>
  <c r="AP12" i="32"/>
  <c r="AP23" i="32"/>
  <c r="AP15" i="32"/>
  <c r="AP16" i="32"/>
  <c r="AP18" i="32"/>
  <c r="AP19" i="32"/>
  <c r="AP20" i="32"/>
  <c r="AP22" i="32"/>
  <c r="AP69" i="32"/>
  <c r="AP36" i="32"/>
  <c r="AP26" i="32"/>
  <c r="AP27" i="32"/>
  <c r="AP30" i="32"/>
  <c r="AP53" i="32"/>
  <c r="AP31" i="32"/>
  <c r="AP11" i="32"/>
  <c r="AP34" i="32"/>
  <c r="AP38" i="32"/>
  <c r="AP62" i="32"/>
  <c r="AP3" i="32"/>
  <c r="AP39" i="32"/>
  <c r="AP40" i="32"/>
  <c r="AP42" i="32"/>
  <c r="AP43" i="32"/>
  <c r="AP48" i="32"/>
  <c r="AP35" i="32"/>
  <c r="AP47" i="32"/>
  <c r="AP5" i="32"/>
  <c r="AP52" i="32"/>
  <c r="AP51" i="32"/>
  <c r="AP24" i="32"/>
  <c r="AP54" i="32"/>
  <c r="AP32" i="32"/>
  <c r="AP56" i="32"/>
  <c r="AP58" i="32"/>
  <c r="AP59" i="32"/>
  <c r="AP60" i="32"/>
  <c r="AP13" i="32"/>
  <c r="AP63" i="32"/>
  <c r="AP64" i="32"/>
  <c r="AP66" i="32"/>
  <c r="AP67" i="32"/>
  <c r="AP29" i="32"/>
  <c r="AP70" i="32"/>
  <c r="AP21" i="32"/>
  <c r="AP44" i="32"/>
  <c r="AP46" i="32"/>
  <c r="AP75" i="32"/>
  <c r="AP76" i="32"/>
  <c r="AP78" i="32"/>
  <c r="AP79" i="32"/>
  <c r="AP80" i="32"/>
  <c r="AP82" i="32"/>
  <c r="AP83" i="32"/>
  <c r="AP84" i="32"/>
  <c r="D9" i="29"/>
  <c r="E9" i="29"/>
  <c r="C9" i="29"/>
  <c r="J86" i="32"/>
  <c r="I86" i="32"/>
  <c r="H86" i="32"/>
  <c r="G86" i="32"/>
  <c r="F86" i="32"/>
  <c r="E86" i="32"/>
  <c r="D86" i="32"/>
  <c r="C86" i="32"/>
  <c r="B86" i="32"/>
  <c r="B9" i="29"/>
  <c r="C86" i="27"/>
  <c r="D86" i="27"/>
  <c r="E86" i="27"/>
  <c r="F86" i="27"/>
  <c r="G86" i="27"/>
  <c r="H86" i="27"/>
  <c r="I86" i="27"/>
  <c r="J86" i="27"/>
  <c r="B86" i="27"/>
  <c r="C86" i="31"/>
  <c r="D86" i="31"/>
  <c r="E86" i="31"/>
  <c r="F86" i="31"/>
  <c r="G86" i="31"/>
  <c r="H86" i="31"/>
  <c r="I86" i="31"/>
  <c r="J86" i="31"/>
  <c r="B86" i="31"/>
  <c r="C86" i="30"/>
  <c r="D86" i="30"/>
  <c r="E86" i="30"/>
  <c r="F86" i="30"/>
  <c r="G86" i="30"/>
  <c r="H86" i="30"/>
  <c r="I86" i="30"/>
  <c r="J86" i="30"/>
  <c r="B86" i="30"/>
  <c r="J86" i="26"/>
  <c r="I86" i="26"/>
  <c r="H86" i="26"/>
  <c r="G86" i="26"/>
  <c r="F86" i="26"/>
  <c r="E86" i="26"/>
  <c r="D86" i="26"/>
  <c r="C86" i="26"/>
  <c r="B86" i="26"/>
  <c r="AH86" i="15"/>
  <c r="AH85" i="15"/>
  <c r="AH84" i="15"/>
  <c r="AH83" i="15"/>
  <c r="AH82" i="15"/>
  <c r="AH81" i="15"/>
  <c r="AH80" i="15"/>
  <c r="AH79" i="15"/>
  <c r="AH78" i="15"/>
  <c r="AH77" i="15"/>
  <c r="AH76" i="15"/>
  <c r="AH75" i="15"/>
  <c r="AH74" i="15"/>
  <c r="AH73" i="15"/>
  <c r="AH72" i="15"/>
  <c r="AH71" i="15"/>
  <c r="AH70" i="15"/>
  <c r="AH69" i="15"/>
  <c r="AH68" i="15"/>
  <c r="AH67" i="15"/>
  <c r="AH66" i="15"/>
  <c r="AH65" i="15"/>
  <c r="AH64" i="15"/>
  <c r="AH63" i="15"/>
  <c r="AH62" i="15"/>
  <c r="AH61" i="15"/>
  <c r="AH60" i="15"/>
  <c r="AH59" i="15"/>
  <c r="AH58" i="15"/>
  <c r="AH57" i="15"/>
  <c r="AH56" i="15"/>
  <c r="AH55" i="15"/>
  <c r="AH54" i="15"/>
  <c r="AH53" i="15"/>
  <c r="AH52" i="15"/>
  <c r="AH51" i="15"/>
  <c r="AH50" i="15"/>
  <c r="AH49" i="15"/>
  <c r="AH48" i="15"/>
  <c r="AH47" i="15"/>
  <c r="AH46" i="15"/>
  <c r="AH45" i="15"/>
  <c r="AH44" i="15"/>
  <c r="AH43" i="15"/>
  <c r="AH42" i="15"/>
  <c r="AH41" i="15"/>
  <c r="AH40" i="15"/>
  <c r="AH39" i="15"/>
  <c r="AH38" i="15"/>
  <c r="AH37" i="15"/>
  <c r="AH36" i="15"/>
  <c r="AH35" i="15"/>
  <c r="AH34" i="15"/>
  <c r="AH33" i="15"/>
  <c r="AH32" i="15"/>
  <c r="AH31" i="15"/>
  <c r="AH30" i="15"/>
  <c r="AH29" i="15"/>
  <c r="AH28" i="15"/>
  <c r="AH27" i="15"/>
  <c r="AH26" i="15"/>
  <c r="AH25" i="15"/>
  <c r="AH24" i="15"/>
  <c r="AH23" i="15"/>
  <c r="AH22" i="15"/>
  <c r="AH21" i="15"/>
  <c r="AH20" i="15"/>
  <c r="AH19" i="15"/>
  <c r="AH18" i="15"/>
  <c r="AH17" i="15"/>
  <c r="AH16" i="15"/>
  <c r="AH15" i="15"/>
  <c r="AH14" i="15"/>
  <c r="AH13" i="15"/>
  <c r="AH12" i="15"/>
  <c r="AH11" i="15"/>
  <c r="AH10" i="15"/>
  <c r="AH9" i="15"/>
  <c r="AH8" i="15"/>
  <c r="AH7" i="15"/>
  <c r="AH6" i="15"/>
  <c r="AH5" i="15"/>
  <c r="AH4" i="15"/>
  <c r="AH3" i="15"/>
  <c r="AH2" i="15"/>
  <c r="F43" i="1"/>
  <c r="F42" i="1"/>
  <c r="F41" i="1"/>
  <c r="F40" i="1"/>
  <c r="F39" i="1"/>
  <c r="F38" i="1"/>
  <c r="F26" i="1"/>
  <c r="F25" i="1"/>
  <c r="F24" i="1"/>
  <c r="F23" i="1"/>
  <c r="F22" i="1"/>
  <c r="F21" i="1"/>
  <c r="H6" i="1"/>
  <c r="H5" i="1"/>
  <c r="H4" i="1"/>
  <c r="H3" i="1"/>
  <c r="H2" i="1"/>
  <c r="H1" i="1"/>
  <c r="V2" i="35" l="1"/>
  <c r="W2" i="35"/>
  <c r="P10" i="35"/>
  <c r="P8" i="35"/>
  <c r="P6" i="35"/>
  <c r="P4" i="35"/>
  <c r="P2" i="35"/>
  <c r="P9" i="35"/>
  <c r="P7" i="35"/>
  <c r="P5" i="35"/>
  <c r="P3" i="35"/>
  <c r="R20" i="35"/>
  <c r="D2" i="35"/>
  <c r="L10" i="35"/>
  <c r="L8" i="35"/>
  <c r="L6" i="35"/>
  <c r="L4" i="35"/>
  <c r="L2" i="35"/>
  <c r="L9" i="35"/>
  <c r="L7" i="35"/>
  <c r="L5" i="35"/>
  <c r="L3" i="35"/>
  <c r="D3" i="35"/>
  <c r="E2" i="35"/>
  <c r="CZ84" i="32"/>
  <c r="DA84" i="32"/>
  <c r="CZ76" i="32"/>
  <c r="DA76" i="32"/>
  <c r="CZ29" i="32"/>
  <c r="DA29" i="32"/>
  <c r="CZ60" i="32"/>
  <c r="DA60" i="32"/>
  <c r="CZ24" i="32"/>
  <c r="DA24" i="32"/>
  <c r="CZ48" i="32"/>
  <c r="DA48" i="32"/>
  <c r="CZ62" i="32"/>
  <c r="DA62" i="32"/>
  <c r="CZ30" i="32"/>
  <c r="DA30" i="32"/>
  <c r="CZ20" i="32"/>
  <c r="DA20" i="32"/>
  <c r="CZ12" i="32"/>
  <c r="DA12" i="32"/>
  <c r="CZ4" i="32"/>
  <c r="DA4" i="32"/>
  <c r="DA80" i="32"/>
  <c r="CZ80" i="32"/>
  <c r="DA44" i="32"/>
  <c r="CZ44" i="32"/>
  <c r="DA64" i="32"/>
  <c r="CZ64" i="32"/>
  <c r="DA56" i="32"/>
  <c r="CZ56" i="32"/>
  <c r="DA5" i="32"/>
  <c r="CZ5" i="32"/>
  <c r="DA40" i="32"/>
  <c r="CZ40" i="32"/>
  <c r="DA11" i="32"/>
  <c r="CZ11" i="32"/>
  <c r="DA36" i="32"/>
  <c r="CZ36" i="32"/>
  <c r="DA16" i="32"/>
  <c r="CZ16" i="32"/>
  <c r="DA8" i="32"/>
  <c r="CZ8" i="32"/>
  <c r="Q5" i="34"/>
  <c r="CZ46" i="32"/>
  <c r="CZ58" i="32"/>
  <c r="CZ3" i="32"/>
  <c r="CZ22" i="32"/>
  <c r="CZ6" i="32"/>
  <c r="DA13" i="32"/>
  <c r="DA23" i="32"/>
  <c r="CZ78" i="32"/>
  <c r="CZ66" i="32"/>
  <c r="CZ54" i="32"/>
  <c r="CZ35" i="32"/>
  <c r="CZ34" i="32"/>
  <c r="CZ26" i="32"/>
  <c r="DA82" i="32"/>
  <c r="DA70" i="32"/>
  <c r="DA52" i="32"/>
  <c r="DA42" i="32"/>
  <c r="DA10" i="32"/>
  <c r="CZ50" i="32"/>
  <c r="CZ81" i="32"/>
  <c r="CZ77" i="32"/>
  <c r="CZ73" i="32"/>
  <c r="CZ14" i="32"/>
  <c r="CZ65" i="32"/>
  <c r="CZ68" i="32"/>
  <c r="CZ57" i="32"/>
  <c r="CZ28" i="32"/>
  <c r="CZ49" i="32"/>
  <c r="CZ7" i="32"/>
  <c r="CZ74" i="32"/>
  <c r="CZ37" i="32"/>
  <c r="CZ33" i="32"/>
  <c r="CZ45" i="32"/>
  <c r="CZ55" i="32"/>
  <c r="CZ61" i="32"/>
  <c r="CZ17" i="32"/>
  <c r="CZ41" i="32"/>
  <c r="CZ9" i="32"/>
  <c r="CZ85" i="32"/>
  <c r="CZ53" i="32"/>
  <c r="CZ18" i="32"/>
  <c r="BU82" i="32"/>
  <c r="BU78" i="32"/>
  <c r="BU46" i="32"/>
  <c r="BU70" i="32"/>
  <c r="BU66" i="32"/>
  <c r="BU13" i="32"/>
  <c r="BU58" i="32"/>
  <c r="BU54" i="32"/>
  <c r="BU52" i="32"/>
  <c r="BU35" i="32"/>
  <c r="BU42" i="32"/>
  <c r="BU3" i="32"/>
  <c r="BU34" i="32"/>
  <c r="BU53" i="32"/>
  <c r="BU26" i="32"/>
  <c r="BU22" i="32"/>
  <c r="BU18" i="32"/>
  <c r="BU23" i="32"/>
  <c r="BU10" i="32"/>
  <c r="BU6" i="32"/>
  <c r="BV82" i="32"/>
  <c r="BV78" i="32"/>
  <c r="BV46" i="32"/>
  <c r="BV70" i="32"/>
  <c r="BV66" i="32"/>
  <c r="BV13" i="32"/>
  <c r="BV58" i="32"/>
  <c r="BV54" i="32"/>
  <c r="BV52" i="32"/>
  <c r="BV35" i="32"/>
  <c r="BV42" i="32"/>
  <c r="BV3" i="32"/>
  <c r="BV34" i="32"/>
  <c r="BV53" i="32"/>
  <c r="BV26" i="32"/>
  <c r="BV22" i="32"/>
  <c r="BV18" i="32"/>
  <c r="BV23" i="32"/>
  <c r="BV10" i="32"/>
  <c r="BV6" i="32"/>
  <c r="CO82" i="32"/>
  <c r="CO78" i="32"/>
  <c r="CO46" i="32"/>
  <c r="CO70" i="32"/>
  <c r="CO66" i="32"/>
  <c r="CO13" i="32"/>
  <c r="CO58" i="32"/>
  <c r="CO54" i="32"/>
  <c r="CO52" i="32"/>
  <c r="CO35" i="32"/>
  <c r="CO42" i="32"/>
  <c r="CO3" i="32"/>
  <c r="CO34" i="32"/>
  <c r="CO53" i="32"/>
  <c r="CO26" i="32"/>
  <c r="CO22" i="32"/>
  <c r="CO18" i="32"/>
  <c r="CO23" i="32"/>
  <c r="CO10" i="32"/>
  <c r="CO6" i="32"/>
  <c r="AP50" i="32"/>
  <c r="AP81" i="32"/>
  <c r="AP77" i="32"/>
  <c r="AP73" i="32"/>
  <c r="AP14" i="32"/>
  <c r="AP65" i="32"/>
  <c r="AP68" i="32"/>
  <c r="AP57" i="32"/>
  <c r="AP28" i="32"/>
  <c r="AP49" i="32"/>
  <c r="AP7" i="32"/>
  <c r="AP74" i="32"/>
  <c r="AP37" i="32"/>
  <c r="AP33" i="32"/>
  <c r="AP45" i="32"/>
  <c r="AP55" i="32"/>
  <c r="AP61" i="32"/>
  <c r="AP17" i="32"/>
  <c r="AP41" i="32"/>
  <c r="AP9" i="32"/>
  <c r="AP85" i="32"/>
  <c r="Q9" i="34"/>
  <c r="Q4" i="34"/>
  <c r="Q53" i="34"/>
  <c r="Q18" i="34"/>
  <c r="Q23" i="34"/>
  <c r="Q14" i="34"/>
  <c r="Q37" i="34"/>
  <c r="Q2" i="34"/>
  <c r="Q3" i="34"/>
  <c r="Q6" i="34"/>
  <c r="Q10" i="34"/>
  <c r="Q15" i="34"/>
  <c r="Q16" i="34"/>
  <c r="Q36" i="34"/>
  <c r="Q7" i="34"/>
  <c r="Q11" i="34"/>
  <c r="Q20" i="34"/>
  <c r="Q26" i="34"/>
  <c r="Q27" i="34"/>
  <c r="Q43" i="34"/>
  <c r="Q8" i="34"/>
  <c r="Q12" i="34"/>
  <c r="Q13" i="34"/>
  <c r="Q17" i="34"/>
  <c r="Q28" i="34"/>
  <c r="Q34" i="34"/>
  <c r="Q84" i="34"/>
  <c r="Q72" i="34"/>
  <c r="Q60" i="34"/>
  <c r="Q56" i="34"/>
  <c r="Q52" i="34"/>
  <c r="Q48" i="34"/>
  <c r="Q47" i="34"/>
  <c r="Q45" i="34"/>
  <c r="Q44" i="34"/>
  <c r="Q41" i="34"/>
  <c r="Q39" i="34"/>
  <c r="Q38" i="34"/>
  <c r="Q33" i="34"/>
  <c r="Q31" i="34"/>
  <c r="Q29" i="34"/>
  <c r="Q24" i="34"/>
  <c r="Q21" i="34"/>
  <c r="Q68" i="34"/>
  <c r="Q55" i="34"/>
  <c r="Q54" i="34"/>
  <c r="Q51" i="34"/>
  <c r="Q50" i="34"/>
  <c r="Q32" i="34"/>
  <c r="Q30" i="34"/>
  <c r="Q25" i="34"/>
  <c r="Q22" i="34"/>
  <c r="Q19" i="34"/>
  <c r="Q57" i="34"/>
  <c r="Q64" i="34"/>
  <c r="Q35" i="34"/>
  <c r="Q40" i="34"/>
  <c r="Q42" i="34"/>
  <c r="Q46" i="34"/>
  <c r="Q59" i="34"/>
  <c r="Q49" i="34"/>
  <c r="Q80" i="34"/>
  <c r="Q76" i="34"/>
  <c r="Q83" i="34"/>
  <c r="Q79" i="34"/>
  <c r="Q75" i="34"/>
  <c r="Q71" i="34"/>
  <c r="Q67" i="34"/>
  <c r="Q63" i="34"/>
  <c r="Q82" i="34"/>
  <c r="Q78" i="34"/>
  <c r="Q74" i="34"/>
  <c r="Q70" i="34"/>
  <c r="Q66" i="34"/>
  <c r="Q62" i="34"/>
  <c r="Q58" i="34"/>
  <c r="Q85" i="34"/>
  <c r="Q81" i="34"/>
  <c r="Q77" i="34"/>
  <c r="Q73" i="34"/>
  <c r="Q69" i="34"/>
  <c r="Q65" i="34"/>
  <c r="Q61" i="34"/>
  <c r="DT86" i="32"/>
  <c r="DU77" i="32"/>
  <c r="DU65" i="32"/>
  <c r="DU28" i="32"/>
  <c r="DU74" i="32"/>
  <c r="DU45" i="32"/>
  <c r="DU17" i="32"/>
  <c r="DU41" i="32"/>
  <c r="DU84" i="32"/>
  <c r="DU80" i="32"/>
  <c r="DU76" i="32"/>
  <c r="DU44" i="32"/>
  <c r="DU29" i="32"/>
  <c r="DU64" i="32"/>
  <c r="DU60" i="32"/>
  <c r="DU56" i="32"/>
  <c r="DU24" i="32"/>
  <c r="DU5" i="32"/>
  <c r="DU48" i="32"/>
  <c r="DU40" i="32"/>
  <c r="DU62" i="32"/>
  <c r="DU11" i="32"/>
  <c r="DU30" i="32"/>
  <c r="DU36" i="32"/>
  <c r="DU20" i="32"/>
  <c r="DU16" i="32"/>
  <c r="DU12" i="32"/>
  <c r="DU8" i="32"/>
  <c r="DU4" i="32"/>
  <c r="DU81" i="32"/>
  <c r="DU14" i="32"/>
  <c r="DU68" i="32"/>
  <c r="DU49" i="32"/>
  <c r="DU37" i="32"/>
  <c r="DU55" i="32"/>
  <c r="DU85" i="32"/>
  <c r="DU83" i="32"/>
  <c r="DU79" i="32"/>
  <c r="DU75" i="32"/>
  <c r="DU21" i="32"/>
  <c r="DU67" i="32"/>
  <c r="DU63" i="32"/>
  <c r="DU59" i="32"/>
  <c r="DU32" i="32"/>
  <c r="DU51" i="32"/>
  <c r="DU47" i="32"/>
  <c r="DU43" i="32"/>
  <c r="DU39" i="32"/>
  <c r="DU38" i="32"/>
  <c r="DU31" i="32"/>
  <c r="DU27" i="32"/>
  <c r="DU69" i="32"/>
  <c r="DU19" i="32"/>
  <c r="DU15" i="32"/>
  <c r="DU71" i="32"/>
  <c r="DU25" i="32"/>
  <c r="DU72" i="32"/>
  <c r="DU50" i="32"/>
  <c r="DU73" i="32"/>
  <c r="DU57" i="32"/>
  <c r="DU7" i="32"/>
  <c r="DU33" i="32"/>
  <c r="DU61" i="32"/>
  <c r="DU9" i="32"/>
  <c r="DU82" i="32"/>
  <c r="DU78" i="32"/>
  <c r="DU46" i="32"/>
  <c r="DU70" i="32"/>
  <c r="DU66" i="32"/>
  <c r="DU13" i="32"/>
  <c r="DU58" i="32"/>
  <c r="DU54" i="32"/>
  <c r="DU52" i="32"/>
  <c r="DU35" i="32"/>
  <c r="DU42" i="32"/>
  <c r="DU3" i="32"/>
  <c r="DU34" i="32"/>
  <c r="DU53" i="32"/>
  <c r="DU26" i="32"/>
  <c r="DU22" i="32"/>
  <c r="DU18" i="32"/>
  <c r="DU23" i="32"/>
  <c r="DU10" i="32"/>
  <c r="DU6" i="32"/>
  <c r="DU2" i="32"/>
  <c r="DJ86" i="32"/>
  <c r="DK73" i="32"/>
  <c r="DK68" i="32"/>
  <c r="DK28" i="32"/>
  <c r="DK74" i="32"/>
  <c r="DK45" i="32"/>
  <c r="DK17" i="32"/>
  <c r="DK41" i="32"/>
  <c r="DK84" i="32"/>
  <c r="DK80" i="32"/>
  <c r="DK76" i="32"/>
  <c r="DK44" i="32"/>
  <c r="DK29" i="32"/>
  <c r="DK64" i="32"/>
  <c r="DK60" i="32"/>
  <c r="DK56" i="32"/>
  <c r="DK24" i="32"/>
  <c r="DK5" i="32"/>
  <c r="DK48" i="32"/>
  <c r="DK40" i="32"/>
  <c r="DK62" i="32"/>
  <c r="DK11" i="32"/>
  <c r="DK30" i="32"/>
  <c r="DK36" i="32"/>
  <c r="DK20" i="32"/>
  <c r="DK16" i="32"/>
  <c r="DK12" i="32"/>
  <c r="DK8" i="32"/>
  <c r="DK4" i="32"/>
  <c r="DK81" i="32"/>
  <c r="DK14" i="32"/>
  <c r="DK57" i="32"/>
  <c r="DK7" i="32"/>
  <c r="DK33" i="32"/>
  <c r="DK61" i="32"/>
  <c r="DK85" i="32"/>
  <c r="DK83" i="32"/>
  <c r="DK79" i="32"/>
  <c r="DK75" i="32"/>
  <c r="DK21" i="32"/>
  <c r="DK67" i="32"/>
  <c r="DK63" i="32"/>
  <c r="DK59" i="32"/>
  <c r="DK32" i="32"/>
  <c r="DK51" i="32"/>
  <c r="DK47" i="32"/>
  <c r="DK43" i="32"/>
  <c r="DK39" i="32"/>
  <c r="DK38" i="32"/>
  <c r="DK31" i="32"/>
  <c r="DK27" i="32"/>
  <c r="DK69" i="32"/>
  <c r="DK19" i="32"/>
  <c r="DK15" i="32"/>
  <c r="DK71" i="32"/>
  <c r="DK25" i="32"/>
  <c r="DK72" i="32"/>
  <c r="DK50" i="32"/>
  <c r="DK77" i="32"/>
  <c r="DK65" i="32"/>
  <c r="DK49" i="32"/>
  <c r="DK37" i="32"/>
  <c r="DK55" i="32"/>
  <c r="DK9" i="32"/>
  <c r="DK82" i="32"/>
  <c r="DK78" i="32"/>
  <c r="DK46" i="32"/>
  <c r="DK70" i="32"/>
  <c r="DK66" i="32"/>
  <c r="DK13" i="32"/>
  <c r="DK58" i="32"/>
  <c r="DK54" i="32"/>
  <c r="DK52" i="32"/>
  <c r="DK35" i="32"/>
  <c r="DK42" i="32"/>
  <c r="DK3" i="32"/>
  <c r="DK34" i="32"/>
  <c r="DK53" i="32"/>
  <c r="DK26" i="32"/>
  <c r="DK22" i="32"/>
  <c r="DK18" i="32"/>
  <c r="DK23" i="32"/>
  <c r="DK10" i="32"/>
  <c r="DK6" i="32"/>
  <c r="DK2" i="32"/>
  <c r="CF72" i="32"/>
  <c r="CF19" i="32"/>
  <c r="CF38" i="32"/>
  <c r="CE16" i="32"/>
  <c r="CE5" i="32"/>
  <c r="CF27" i="32"/>
  <c r="CF43" i="32"/>
  <c r="CE12" i="32"/>
  <c r="CF15" i="32"/>
  <c r="CE36" i="32"/>
  <c r="CE11" i="32"/>
  <c r="CE40" i="32"/>
  <c r="CF47" i="32"/>
  <c r="CE24" i="32"/>
  <c r="CE56" i="32"/>
  <c r="CE60" i="32"/>
  <c r="CE64" i="32"/>
  <c r="CE29" i="32"/>
  <c r="CE44" i="32"/>
  <c r="CE76" i="32"/>
  <c r="CE80" i="32"/>
  <c r="CE8" i="32"/>
  <c r="CF71" i="32"/>
  <c r="CF69" i="32"/>
  <c r="CF31" i="32"/>
  <c r="CF39" i="32"/>
  <c r="CF51" i="32"/>
  <c r="CF32" i="32"/>
  <c r="CF59" i="32"/>
  <c r="CF63" i="32"/>
  <c r="CF67" i="32"/>
  <c r="CF21" i="32"/>
  <c r="CF75" i="32"/>
  <c r="CF79" i="32"/>
  <c r="CE84" i="32"/>
  <c r="CE4" i="32"/>
  <c r="CF25" i="32"/>
  <c r="CE20" i="32"/>
  <c r="CE30" i="32"/>
  <c r="CE62" i="32"/>
  <c r="CE48" i="32"/>
  <c r="CF83" i="32"/>
  <c r="AZ78" i="32"/>
  <c r="CF78" i="32"/>
  <c r="AZ66" i="32"/>
  <c r="CF66" i="32"/>
  <c r="AZ54" i="32"/>
  <c r="CF54" i="32"/>
  <c r="AZ42" i="32"/>
  <c r="CF42" i="32"/>
  <c r="AZ53" i="32"/>
  <c r="CF53" i="32"/>
  <c r="AZ23" i="32"/>
  <c r="CF23" i="32"/>
  <c r="AZ2" i="32"/>
  <c r="CF2" i="32"/>
  <c r="BJ63" i="32"/>
  <c r="AZ82" i="32"/>
  <c r="CE82" i="32"/>
  <c r="CF82" i="32"/>
  <c r="AZ70" i="32"/>
  <c r="CF70" i="32"/>
  <c r="AZ58" i="32"/>
  <c r="CF58" i="32"/>
  <c r="AZ35" i="32"/>
  <c r="CF35" i="32"/>
  <c r="AZ34" i="32"/>
  <c r="CF34" i="32"/>
  <c r="AZ22" i="32"/>
  <c r="CF22" i="32"/>
  <c r="AZ10" i="32"/>
  <c r="CF10" i="32"/>
  <c r="BJ83" i="32"/>
  <c r="BJ21" i="32"/>
  <c r="BJ59" i="32"/>
  <c r="BJ51" i="32"/>
  <c r="BJ43" i="32"/>
  <c r="BJ38" i="32"/>
  <c r="BJ31" i="32"/>
  <c r="BJ27" i="32"/>
  <c r="BJ19" i="32"/>
  <c r="BJ15" i="32"/>
  <c r="BJ71" i="32"/>
  <c r="BJ25" i="32"/>
  <c r="BJ72" i="32"/>
  <c r="AZ46" i="32"/>
  <c r="CF46" i="32"/>
  <c r="AZ13" i="32"/>
  <c r="CF13" i="32"/>
  <c r="AZ52" i="32"/>
  <c r="CF52" i="32"/>
  <c r="AZ3" i="32"/>
  <c r="CF3" i="32"/>
  <c r="AZ26" i="32"/>
  <c r="CF26" i="32"/>
  <c r="AZ18" i="32"/>
  <c r="CF18" i="32"/>
  <c r="AZ6" i="32"/>
  <c r="CF6" i="32"/>
  <c r="BJ79" i="32"/>
  <c r="BJ75" i="32"/>
  <c r="BJ67" i="32"/>
  <c r="BJ32" i="32"/>
  <c r="BJ47" i="32"/>
  <c r="BJ39" i="32"/>
  <c r="BJ69" i="32"/>
  <c r="AZ50" i="32"/>
  <c r="CE50" i="32"/>
  <c r="AZ81" i="32"/>
  <c r="CE81" i="32"/>
  <c r="AZ77" i="32"/>
  <c r="CE77" i="32"/>
  <c r="AZ73" i="32"/>
  <c r="CE73" i="32"/>
  <c r="AZ14" i="32"/>
  <c r="CE14" i="32"/>
  <c r="AZ65" i="32"/>
  <c r="CE65" i="32"/>
  <c r="AZ68" i="32"/>
  <c r="CE68" i="32"/>
  <c r="AZ57" i="32"/>
  <c r="CE57" i="32"/>
  <c r="AZ28" i="32"/>
  <c r="CE28" i="32"/>
  <c r="AZ49" i="32"/>
  <c r="CE49" i="32"/>
  <c r="AZ7" i="32"/>
  <c r="CE7" i="32"/>
  <c r="AZ74" i="32"/>
  <c r="CE74" i="32"/>
  <c r="AZ37" i="32"/>
  <c r="CE37" i="32"/>
  <c r="AZ33" i="32"/>
  <c r="CE33" i="32"/>
  <c r="AZ45" i="32"/>
  <c r="CE45" i="32"/>
  <c r="AZ55" i="32"/>
  <c r="CE55" i="32"/>
  <c r="AZ61" i="32"/>
  <c r="CE61" i="32"/>
  <c r="AZ17" i="32"/>
  <c r="CE17" i="32"/>
  <c r="AZ41" i="32"/>
  <c r="CE41" i="32"/>
  <c r="AZ9" i="32"/>
  <c r="CE9" i="32"/>
  <c r="AZ85" i="32"/>
  <c r="CE85" i="32"/>
  <c r="BJ82" i="32"/>
  <c r="CE2" i="32"/>
  <c r="CE6" i="32"/>
  <c r="CE10" i="32"/>
  <c r="CE23" i="32"/>
  <c r="CE18" i="32"/>
  <c r="CE22" i="32"/>
  <c r="CE26" i="32"/>
  <c r="CE53" i="32"/>
  <c r="CE34" i="32"/>
  <c r="CE3" i="32"/>
  <c r="CE42" i="32"/>
  <c r="CE35" i="32"/>
  <c r="CE52" i="32"/>
  <c r="CE54" i="32"/>
  <c r="CE58" i="32"/>
  <c r="CE13" i="32"/>
  <c r="CE66" i="32"/>
  <c r="CE70" i="32"/>
  <c r="CE46" i="32"/>
  <c r="CE78" i="32"/>
  <c r="CF4" i="32"/>
  <c r="CF8" i="32"/>
  <c r="CF12" i="32"/>
  <c r="CF16" i="32"/>
  <c r="CF20" i="32"/>
  <c r="CF36" i="32"/>
  <c r="CF30" i="32"/>
  <c r="CF11" i="32"/>
  <c r="CF62" i="32"/>
  <c r="CF40" i="32"/>
  <c r="CF48" i="32"/>
  <c r="CF5" i="32"/>
  <c r="CF24" i="32"/>
  <c r="CF56" i="32"/>
  <c r="CF60" i="32"/>
  <c r="CF64" i="32"/>
  <c r="CF29" i="32"/>
  <c r="CF44" i="32"/>
  <c r="CF76" i="32"/>
  <c r="CF80" i="32"/>
  <c r="CF84" i="32"/>
  <c r="CE72" i="32"/>
  <c r="CE25" i="32"/>
  <c r="CE71" i="32"/>
  <c r="CE15" i="32"/>
  <c r="CE19" i="32"/>
  <c r="CE69" i="32"/>
  <c r="CE27" i="32"/>
  <c r="CE31" i="32"/>
  <c r="CE38" i="32"/>
  <c r="CE39" i="32"/>
  <c r="CE43" i="32"/>
  <c r="CE47" i="32"/>
  <c r="CE51" i="32"/>
  <c r="CE32" i="32"/>
  <c r="CE59" i="32"/>
  <c r="CE63" i="32"/>
  <c r="CE67" i="32"/>
  <c r="CE21" i="32"/>
  <c r="CE75" i="32"/>
  <c r="CE79" i="32"/>
  <c r="CE83" i="32"/>
  <c r="BK55" i="32"/>
  <c r="BK85" i="32"/>
  <c r="BJ49" i="32"/>
  <c r="BK81" i="32"/>
  <c r="BK65" i="32"/>
  <c r="BK33" i="32"/>
  <c r="BK17" i="32"/>
  <c r="BK73" i="32"/>
  <c r="BK57" i="32"/>
  <c r="BK74" i="32"/>
  <c r="BK9" i="32"/>
  <c r="BK50" i="32"/>
  <c r="BK14" i="32"/>
  <c r="BK28" i="32"/>
  <c r="BK37" i="32"/>
  <c r="BK61" i="32"/>
  <c r="BK77" i="32"/>
  <c r="BK68" i="32"/>
  <c r="BK7" i="32"/>
  <c r="BK45" i="32"/>
  <c r="BK41" i="32"/>
  <c r="BK84" i="32"/>
  <c r="BK80" i="32"/>
  <c r="BK76" i="32"/>
  <c r="BK44" i="32"/>
  <c r="BK29" i="32"/>
  <c r="BK64" i="32"/>
  <c r="BK60" i="32"/>
  <c r="BK56" i="32"/>
  <c r="BK24" i="32"/>
  <c r="BK5" i="32"/>
  <c r="BK48" i="32"/>
  <c r="BK40" i="32"/>
  <c r="BK62" i="32"/>
  <c r="BK11" i="32"/>
  <c r="BK30" i="32"/>
  <c r="BK36" i="32"/>
  <c r="BK20" i="32"/>
  <c r="BK16" i="32"/>
  <c r="BK12" i="32"/>
  <c r="BK8" i="32"/>
  <c r="BK4" i="32"/>
  <c r="BK83" i="32"/>
  <c r="BK79" i="32"/>
  <c r="BK75" i="32"/>
  <c r="BK21" i="32"/>
  <c r="BK67" i="32"/>
  <c r="BK63" i="32"/>
  <c r="BK59" i="32"/>
  <c r="BK32" i="32"/>
  <c r="BK51" i="32"/>
  <c r="BK47" i="32"/>
  <c r="BK43" i="32"/>
  <c r="BK39" i="32"/>
  <c r="BK38" i="32"/>
  <c r="BK31" i="32"/>
  <c r="BK27" i="32"/>
  <c r="BK69" i="32"/>
  <c r="BK19" i="32"/>
  <c r="BK15" i="32"/>
  <c r="BK71" i="32"/>
  <c r="BK25" i="32"/>
  <c r="BK72" i="32"/>
  <c r="BK82" i="32"/>
  <c r="BK78" i="32"/>
  <c r="BK46" i="32"/>
  <c r="BK70" i="32"/>
  <c r="BK66" i="32"/>
  <c r="BK13" i="32"/>
  <c r="BK58" i="32"/>
  <c r="BK54" i="32"/>
  <c r="BK52" i="32"/>
  <c r="BK35" i="32"/>
  <c r="BK42" i="32"/>
  <c r="BK3" i="32"/>
  <c r="BK34" i="32"/>
  <c r="BK53" i="32"/>
  <c r="BK26" i="32"/>
  <c r="BK22" i="32"/>
  <c r="BK18" i="32"/>
  <c r="BK23" i="32"/>
  <c r="BK10" i="32"/>
  <c r="BK6" i="32"/>
  <c r="BK2" i="32"/>
  <c r="AQ86" i="32"/>
  <c r="BA17" i="32"/>
  <c r="BA41" i="32"/>
  <c r="BA45" i="32"/>
  <c r="BA77" i="32"/>
  <c r="BA68" i="32"/>
  <c r="BA7" i="32"/>
  <c r="BA73" i="32"/>
  <c r="BA57" i="32"/>
  <c r="BA74" i="32"/>
  <c r="BA55" i="32"/>
  <c r="BA9" i="32"/>
  <c r="BA50" i="32"/>
  <c r="BA14" i="32"/>
  <c r="BA28" i="32"/>
  <c r="BA37" i="32"/>
  <c r="BA61" i="32"/>
  <c r="BA85" i="32"/>
  <c r="BA81" i="32"/>
  <c r="BA65" i="32"/>
  <c r="BA49" i="32"/>
  <c r="BA33" i="32"/>
  <c r="BA80" i="32"/>
  <c r="BA44" i="32"/>
  <c r="BA29" i="32"/>
  <c r="BA60" i="32"/>
  <c r="BA56" i="32"/>
  <c r="BA5" i="32"/>
  <c r="BA48" i="32"/>
  <c r="BA62" i="32"/>
  <c r="BA30" i="32"/>
  <c r="BA20" i="32"/>
  <c r="BA4" i="32"/>
  <c r="BA83" i="32"/>
  <c r="BA79" i="32"/>
  <c r="BA75" i="32"/>
  <c r="BA21" i="32"/>
  <c r="BA67" i="32"/>
  <c r="BA63" i="32"/>
  <c r="BA59" i="32"/>
  <c r="BA32" i="32"/>
  <c r="BA51" i="32"/>
  <c r="BA47" i="32"/>
  <c r="BA43" i="32"/>
  <c r="BA39" i="32"/>
  <c r="BA38" i="32"/>
  <c r="BA31" i="32"/>
  <c r="BA27" i="32"/>
  <c r="BA69" i="32"/>
  <c r="BA19" i="32"/>
  <c r="BA15" i="32"/>
  <c r="BA71" i="32"/>
  <c r="BA25" i="32"/>
  <c r="BA72" i="32"/>
  <c r="BA84" i="32"/>
  <c r="BA76" i="32"/>
  <c r="BA64" i="32"/>
  <c r="BA24" i="32"/>
  <c r="BA40" i="32"/>
  <c r="BA11" i="32"/>
  <c r="BA36" i="32"/>
  <c r="BA16" i="32"/>
  <c r="BA12" i="32"/>
  <c r="BA8" i="32"/>
  <c r="BA82" i="32"/>
  <c r="BA78" i="32"/>
  <c r="BA46" i="32"/>
  <c r="BA70" i="32"/>
  <c r="BA66" i="32"/>
  <c r="BA13" i="32"/>
  <c r="BA58" i="32"/>
  <c r="BA54" i="32"/>
  <c r="BA52" i="32"/>
  <c r="BA35" i="32"/>
  <c r="BA42" i="32"/>
  <c r="BA3" i="32"/>
  <c r="BA34" i="32"/>
  <c r="BA53" i="32"/>
  <c r="BA26" i="32"/>
  <c r="BA22" i="32"/>
  <c r="BA18" i="32"/>
  <c r="BA23" i="32"/>
  <c r="BA10" i="32"/>
  <c r="BA6" i="32"/>
  <c r="BA2" i="32"/>
  <c r="AF12" i="32"/>
  <c r="AF37" i="32"/>
  <c r="AF73" i="32"/>
  <c r="AF49" i="32"/>
  <c r="AF61" i="32"/>
  <c r="AF48" i="32"/>
  <c r="AF60" i="32"/>
  <c r="AF2" i="32"/>
  <c r="AF36" i="32"/>
  <c r="AF25" i="32"/>
  <c r="AF72" i="32"/>
  <c r="AF24" i="32"/>
  <c r="AF85" i="32"/>
  <c r="AF13" i="32"/>
  <c r="AF84" i="32"/>
  <c r="AF83" i="32"/>
  <c r="AF47" i="32"/>
  <c r="AF35" i="32"/>
  <c r="AF23" i="32"/>
  <c r="AF11" i="32"/>
  <c r="AF22" i="32"/>
  <c r="AF10" i="32"/>
  <c r="AF34" i="32"/>
  <c r="AF9" i="32"/>
  <c r="AF58" i="32"/>
  <c r="AF80" i="32"/>
  <c r="AF68" i="32"/>
  <c r="AF56" i="32"/>
  <c r="AF44" i="32"/>
  <c r="AF32" i="32"/>
  <c r="AF20" i="32"/>
  <c r="AF8" i="32"/>
  <c r="AF21" i="32"/>
  <c r="AF79" i="32"/>
  <c r="AF67" i="32"/>
  <c r="AF55" i="32"/>
  <c r="AF43" i="32"/>
  <c r="AF31" i="32"/>
  <c r="AF19" i="32"/>
  <c r="AF7" i="32"/>
  <c r="AF59" i="32"/>
  <c r="AF45" i="32"/>
  <c r="AF78" i="32"/>
  <c r="AF66" i="32"/>
  <c r="AF54" i="32"/>
  <c r="AF42" i="32"/>
  <c r="AF30" i="32"/>
  <c r="AF18" i="32"/>
  <c r="AF6" i="32"/>
  <c r="AF46" i="32"/>
  <c r="AF69" i="32"/>
  <c r="AF77" i="32"/>
  <c r="AF65" i="32"/>
  <c r="AF53" i="32"/>
  <c r="AF41" i="32"/>
  <c r="AF29" i="32"/>
  <c r="AF17" i="32"/>
  <c r="AF5" i="32"/>
  <c r="AF70" i="32"/>
  <c r="AF81" i="32"/>
  <c r="AF76" i="32"/>
  <c r="AF64" i="32"/>
  <c r="AF52" i="32"/>
  <c r="AF40" i="32"/>
  <c r="AF28" i="32"/>
  <c r="AF16" i="32"/>
  <c r="AF4" i="32"/>
  <c r="AF82" i="32"/>
  <c r="AF57" i="32"/>
  <c r="AF75" i="32"/>
  <c r="AF63" i="32"/>
  <c r="AF51" i="32"/>
  <c r="AF39" i="32"/>
  <c r="AF27" i="32"/>
  <c r="AF15" i="32"/>
  <c r="AF3" i="32"/>
  <c r="AF71" i="32"/>
  <c r="AF33" i="32"/>
  <c r="AF74" i="32"/>
  <c r="AF62" i="32"/>
  <c r="AF50" i="32"/>
  <c r="AF38" i="32"/>
  <c r="AF26" i="32"/>
  <c r="AF14" i="32"/>
  <c r="L75" i="31"/>
  <c r="L72" i="27"/>
  <c r="L85" i="27"/>
  <c r="L2" i="26"/>
  <c r="L72" i="31"/>
  <c r="L5" i="31"/>
  <c r="L76" i="31"/>
  <c r="L64" i="31"/>
  <c r="L52" i="31"/>
  <c r="L40" i="31"/>
  <c r="L28" i="31"/>
  <c r="L16" i="31"/>
  <c r="L4" i="31"/>
  <c r="L63" i="31"/>
  <c r="L62" i="31"/>
  <c r="L50" i="31"/>
  <c r="L38" i="31"/>
  <c r="L26" i="31"/>
  <c r="L14" i="31"/>
  <c r="L2" i="31"/>
  <c r="L3" i="31"/>
  <c r="L61" i="31"/>
  <c r="L84" i="31"/>
  <c r="L83" i="31"/>
  <c r="L71" i="31"/>
  <c r="L59" i="31"/>
  <c r="L47" i="31"/>
  <c r="L35" i="31"/>
  <c r="L23" i="31"/>
  <c r="L11" i="31"/>
  <c r="L39" i="31"/>
  <c r="L25" i="31"/>
  <c r="L12" i="31"/>
  <c r="L82" i="31"/>
  <c r="L70" i="31"/>
  <c r="L58" i="31"/>
  <c r="L46" i="31"/>
  <c r="L34" i="31"/>
  <c r="L22" i="31"/>
  <c r="L10" i="31"/>
  <c r="L27" i="31"/>
  <c r="L85" i="31"/>
  <c r="L36" i="31"/>
  <c r="L81" i="31"/>
  <c r="L69" i="31"/>
  <c r="L57" i="31"/>
  <c r="L45" i="31"/>
  <c r="L33" i="31"/>
  <c r="L21" i="31"/>
  <c r="L9" i="31"/>
  <c r="L51" i="31"/>
  <c r="L73" i="31"/>
  <c r="L24" i="31"/>
  <c r="L80" i="31"/>
  <c r="L68" i="31"/>
  <c r="L56" i="31"/>
  <c r="L44" i="31"/>
  <c r="L32" i="31"/>
  <c r="L20" i="31"/>
  <c r="L8" i="31"/>
  <c r="L15" i="31"/>
  <c r="L49" i="31"/>
  <c r="L48" i="31"/>
  <c r="L79" i="31"/>
  <c r="L67" i="31"/>
  <c r="L55" i="31"/>
  <c r="L43" i="31"/>
  <c r="L31" i="31"/>
  <c r="L19" i="31"/>
  <c r="L7" i="31"/>
  <c r="L13" i="31"/>
  <c r="L60" i="31"/>
  <c r="L78" i="31"/>
  <c r="L66" i="31"/>
  <c r="L54" i="31"/>
  <c r="L42" i="31"/>
  <c r="L30" i="31"/>
  <c r="L18" i="31"/>
  <c r="L6" i="31"/>
  <c r="L74" i="31"/>
  <c r="L37" i="31"/>
  <c r="L77" i="31"/>
  <c r="L65" i="31"/>
  <c r="L53" i="31"/>
  <c r="L41" i="31"/>
  <c r="L29" i="31"/>
  <c r="L17" i="31"/>
  <c r="L61" i="30"/>
  <c r="L24" i="30"/>
  <c r="L84" i="27"/>
  <c r="L2" i="27"/>
  <c r="L60" i="27"/>
  <c r="L48" i="27"/>
  <c r="L36" i="27"/>
  <c r="L32" i="27"/>
  <c r="L24" i="27"/>
  <c r="L12" i="27"/>
  <c r="L73" i="27"/>
  <c r="L61" i="27"/>
  <c r="L49" i="27"/>
  <c r="L37" i="27"/>
  <c r="L25" i="27"/>
  <c r="L13" i="27"/>
  <c r="L71" i="27"/>
  <c r="L59" i="27"/>
  <c r="L47" i="27"/>
  <c r="L35" i="27"/>
  <c r="L23" i="27"/>
  <c r="L11" i="27"/>
  <c r="L70" i="27"/>
  <c r="L58" i="27"/>
  <c r="L46" i="27"/>
  <c r="L34" i="27"/>
  <c r="L22" i="27"/>
  <c r="L10" i="27"/>
  <c r="L82" i="27"/>
  <c r="L81" i="27"/>
  <c r="L69" i="27"/>
  <c r="L57" i="27"/>
  <c r="L45" i="27"/>
  <c r="L33" i="27"/>
  <c r="L21" i="27"/>
  <c r="L9" i="27"/>
  <c r="L20" i="27"/>
  <c r="L8" i="27"/>
  <c r="L44" i="27"/>
  <c r="L79" i="27"/>
  <c r="L67" i="27"/>
  <c r="L55" i="27"/>
  <c r="L43" i="27"/>
  <c r="L31" i="27"/>
  <c r="L19" i="27"/>
  <c r="L7" i="27"/>
  <c r="L56" i="27"/>
  <c r="L78" i="27"/>
  <c r="L66" i="27"/>
  <c r="L54" i="27"/>
  <c r="L42" i="27"/>
  <c r="L30" i="27"/>
  <c r="L18" i="27"/>
  <c r="L6" i="27"/>
  <c r="L83" i="27"/>
  <c r="L68" i="27"/>
  <c r="L77" i="27"/>
  <c r="L65" i="27"/>
  <c r="L53" i="27"/>
  <c r="L41" i="27"/>
  <c r="L29" i="27"/>
  <c r="L17" i="27"/>
  <c r="L5" i="27"/>
  <c r="L76" i="27"/>
  <c r="L64" i="27"/>
  <c r="L52" i="27"/>
  <c r="L40" i="27"/>
  <c r="L28" i="27"/>
  <c r="L16" i="27"/>
  <c r="L4" i="27"/>
  <c r="L80" i="27"/>
  <c r="L75" i="27"/>
  <c r="L63" i="27"/>
  <c r="L51" i="27"/>
  <c r="L39" i="27"/>
  <c r="L27" i="27"/>
  <c r="L15" i="27"/>
  <c r="L3" i="27"/>
  <c r="L74" i="27"/>
  <c r="L62" i="27"/>
  <c r="L50" i="27"/>
  <c r="L38" i="27"/>
  <c r="L26" i="27"/>
  <c r="L14" i="27"/>
  <c r="L71" i="30"/>
  <c r="L48" i="30"/>
  <c r="L37" i="30"/>
  <c r="L85" i="30"/>
  <c r="L36" i="30"/>
  <c r="L60" i="30"/>
  <c r="L59" i="30"/>
  <c r="L84" i="30"/>
  <c r="L25" i="30"/>
  <c r="L49" i="30"/>
  <c r="L83" i="30"/>
  <c r="L2" i="30"/>
  <c r="L73" i="30"/>
  <c r="L13" i="30"/>
  <c r="L72" i="30"/>
  <c r="L12" i="30"/>
  <c r="L35" i="30"/>
  <c r="L23" i="30"/>
  <c r="L11" i="30"/>
  <c r="L22" i="30"/>
  <c r="L10" i="30"/>
  <c r="L34" i="30"/>
  <c r="L81" i="30"/>
  <c r="L69" i="30"/>
  <c r="L57" i="30"/>
  <c r="L45" i="30"/>
  <c r="L33" i="30"/>
  <c r="L21" i="30"/>
  <c r="L9" i="30"/>
  <c r="L46" i="30"/>
  <c r="L80" i="30"/>
  <c r="L68" i="30"/>
  <c r="L56" i="30"/>
  <c r="L44" i="30"/>
  <c r="L32" i="30"/>
  <c r="L20" i="30"/>
  <c r="L8" i="30"/>
  <c r="L79" i="30"/>
  <c r="L67" i="30"/>
  <c r="L55" i="30"/>
  <c r="L43" i="30"/>
  <c r="L31" i="30"/>
  <c r="L19" i="30"/>
  <c r="L7" i="30"/>
  <c r="L58" i="30"/>
  <c r="L78" i="30"/>
  <c r="L66" i="30"/>
  <c r="L54" i="30"/>
  <c r="L42" i="30"/>
  <c r="L30" i="30"/>
  <c r="L18" i="30"/>
  <c r="L6" i="30"/>
  <c r="L47" i="30"/>
  <c r="L77" i="30"/>
  <c r="L65" i="30"/>
  <c r="L53" i="30"/>
  <c r="L41" i="30"/>
  <c r="L29" i="30"/>
  <c r="L17" i="30"/>
  <c r="L5" i="30"/>
  <c r="L70" i="30"/>
  <c r="L76" i="30"/>
  <c r="L64" i="30"/>
  <c r="L52" i="30"/>
  <c r="L40" i="30"/>
  <c r="L28" i="30"/>
  <c r="L16" i="30"/>
  <c r="L4" i="30"/>
  <c r="L75" i="30"/>
  <c r="L63" i="30"/>
  <c r="L51" i="30"/>
  <c r="L39" i="30"/>
  <c r="L27" i="30"/>
  <c r="L15" i="30"/>
  <c r="L3" i="30"/>
  <c r="L82" i="30"/>
  <c r="L74" i="30"/>
  <c r="L62" i="30"/>
  <c r="L50" i="30"/>
  <c r="L38" i="30"/>
  <c r="L26" i="30"/>
  <c r="L14" i="30"/>
  <c r="L71" i="26"/>
  <c r="L72" i="26"/>
  <c r="L48" i="26"/>
  <c r="L83" i="26"/>
  <c r="L47" i="26"/>
  <c r="L59" i="26"/>
  <c r="L36" i="26"/>
  <c r="L35" i="26"/>
  <c r="L24" i="26"/>
  <c r="L60" i="26"/>
  <c r="L23" i="26"/>
  <c r="L84" i="26"/>
  <c r="L12" i="26"/>
  <c r="L11" i="26"/>
  <c r="L85" i="26"/>
  <c r="L73" i="26"/>
  <c r="L61" i="26"/>
  <c r="L49" i="26"/>
  <c r="L37" i="26"/>
  <c r="L25" i="26"/>
  <c r="L13" i="26"/>
  <c r="L82" i="26"/>
  <c r="L70" i="26"/>
  <c r="L58" i="26"/>
  <c r="L46" i="26"/>
  <c r="L34" i="26"/>
  <c r="L22" i="26"/>
  <c r="L10" i="26"/>
  <c r="L81" i="26"/>
  <c r="L69" i="26"/>
  <c r="L57" i="26"/>
  <c r="L45" i="26"/>
  <c r="L33" i="26"/>
  <c r="L21" i="26"/>
  <c r="L9" i="26"/>
  <c r="L80" i="26"/>
  <c r="L68" i="26"/>
  <c r="L56" i="26"/>
  <c r="L44" i="26"/>
  <c r="L32" i="26"/>
  <c r="L20" i="26"/>
  <c r="L8" i="26"/>
  <c r="L79" i="26"/>
  <c r="L67" i="26"/>
  <c r="L55" i="26"/>
  <c r="L43" i="26"/>
  <c r="L31" i="26"/>
  <c r="L19" i="26"/>
  <c r="L7" i="26"/>
  <c r="L78" i="26"/>
  <c r="L66" i="26"/>
  <c r="L54" i="26"/>
  <c r="L42" i="26"/>
  <c r="L30" i="26"/>
  <c r="L18" i="26"/>
  <c r="L6" i="26"/>
  <c r="L77" i="26"/>
  <c r="L65" i="26"/>
  <c r="L53" i="26"/>
  <c r="L41" i="26"/>
  <c r="L29" i="26"/>
  <c r="L17" i="26"/>
  <c r="L5" i="26"/>
  <c r="L76" i="26"/>
  <c r="L64" i="26"/>
  <c r="L52" i="26"/>
  <c r="L40" i="26"/>
  <c r="L28" i="26"/>
  <c r="L16" i="26"/>
  <c r="L4" i="26"/>
  <c r="L75" i="26"/>
  <c r="L63" i="26"/>
  <c r="L51" i="26"/>
  <c r="L39" i="26"/>
  <c r="L27" i="26"/>
  <c r="L15" i="26"/>
  <c r="L3" i="26"/>
  <c r="L74" i="26"/>
  <c r="L62" i="26"/>
  <c r="L50" i="26"/>
  <c r="L38" i="26"/>
  <c r="L26" i="26"/>
  <c r="L14" i="26"/>
  <c r="H7" i="1"/>
  <c r="DA86" i="32" l="1"/>
  <c r="AP86" i="32"/>
  <c r="BV86" i="32"/>
  <c r="BU86" i="32"/>
  <c r="CZ86" i="32"/>
  <c r="Q86" i="34"/>
  <c r="DU86" i="32"/>
  <c r="DK86" i="32"/>
  <c r="CP86" i="32"/>
  <c r="CO86" i="32"/>
  <c r="BJ86" i="32"/>
  <c r="BK86" i="32"/>
  <c r="CF86" i="32"/>
  <c r="AZ86" i="32"/>
  <c r="CE86" i="32"/>
  <c r="BA86" i="32"/>
  <c r="AF86" i="32"/>
  <c r="L86" i="26"/>
  <c r="L86" i="27"/>
  <c r="L86" i="31"/>
</calcChain>
</file>

<file path=xl/sharedStrings.xml><?xml version="1.0" encoding="utf-8"?>
<sst xmlns="http://schemas.openxmlformats.org/spreadsheetml/2006/main" count="8757" uniqueCount="2743">
  <si>
    <t xml:space="preserve"> </t>
  </si>
  <si>
    <t>Данные собираются с 2012 по 2021 год</t>
  </si>
  <si>
    <t>Аня</t>
  </si>
  <si>
    <t>Юля</t>
  </si>
  <si>
    <t>София</t>
  </si>
  <si>
    <t>Рита</t>
  </si>
  <si>
    <t>Руслан</t>
  </si>
  <si>
    <t>Вова</t>
  </si>
  <si>
    <t>из 138</t>
  </si>
  <si>
    <t>Ответственный</t>
  </si>
  <si>
    <t>Кластеризация</t>
  </si>
  <si>
    <t>id</t>
  </si>
  <si>
    <t>Показатель</t>
  </si>
  <si>
    <t>на что разделить</t>
  </si>
  <si>
    <t>Новое название</t>
  </si>
  <si>
    <t>Ссылки</t>
  </si>
  <si>
    <t>Примечание</t>
  </si>
  <si>
    <t>Результативные признаки</t>
  </si>
  <si>
    <t>https://www.fedstat.ru/indicator/40639?</t>
  </si>
  <si>
    <t>Голосование по поправкам в Конституцию, % против, % за</t>
  </si>
  <si>
    <t>https://gogov.ru/news/789591</t>
  </si>
  <si>
    <t>Число организаций, на которых проходили забастовки</t>
  </si>
  <si>
    <t>https://rosstat.gov.ru/folder/210/document/13204</t>
  </si>
  <si>
    <t>-</t>
  </si>
  <si>
    <t>Численность работников, участвовавших в забастовках, тыс. человек</t>
  </si>
  <si>
    <t>на численность населения</t>
  </si>
  <si>
    <t>Количество времени, не отработанного работниками, участвовавшими в забастовках, тыс. человеко-дней</t>
  </si>
  <si>
    <t>?</t>
  </si>
  <si>
    <t>https://rosstat.gov.ru/folder/210/document/13205</t>
  </si>
  <si>
    <t>Количество дел на 100 тыс. чел. по статье "Нарушение установленного порядка организации либо проведения собрания, митинга, демонстрации, шествия или пикетирования" (20.2 КоАП)</t>
  </si>
  <si>
    <t>http://stat.апи-пресс.рф/stats/adm/t/31/s/1</t>
  </si>
  <si>
    <t>https://data.ovdinfo.org/20_2/?</t>
  </si>
  <si>
    <t>Количество дел на 100 тыс. чел.</t>
  </si>
  <si>
    <t>http://судебнаястатистика.рф</t>
  </si>
  <si>
    <t>Число арестованных по статье "Нарушение установленного порядка организации либо проведения собрания, митинга, демонстрации, шествия или пикетирования" (20.2 КоАП)</t>
  </si>
  <si>
    <t>Число осужденных</t>
  </si>
  <si>
    <t>Организация массового одновременного пребывания и (или) передвижения граждан в общественных местах, повлекших нарушение общественного порядка (20.2.2 КоАП)</t>
  </si>
  <si>
    <t>http://stat.апи-пресс.рф/stats/adm/t/31/s/2</t>
  </si>
  <si>
    <t>Только по РФ, надо нйти по регионам</t>
  </si>
  <si>
    <t>ячейка А178</t>
  </si>
  <si>
    <t>Уровень преступности в сфере экономики</t>
  </si>
  <si>
    <t>http://gks.ru/free_doc/new_site/besopasn/pok-besopasn.htm</t>
  </si>
  <si>
    <t>МВД России (п.3.3)</t>
  </si>
  <si>
    <t>https://мвд.рф/reports/item/28021552/</t>
  </si>
  <si>
    <t>внизу сайта можно скачать документ</t>
  </si>
  <si>
    <t>Кол-во протетестных меропритий</t>
  </si>
  <si>
    <t>Кол-во человек, участвующих в протестных мероприятих</t>
  </si>
  <si>
    <t xml:space="preserve">Общее </t>
  </si>
  <si>
    <t>Индекс социальной напряженности</t>
  </si>
  <si>
    <t>Индекс акций протестов</t>
  </si>
  <si>
    <t>Индекс митингов и оппозиций</t>
  </si>
  <si>
    <t>Индекс общественного протестного потенциала</t>
  </si>
  <si>
    <t>по РФ</t>
  </si>
  <si>
    <t>Индекс личного протестного потенциала</t>
  </si>
  <si>
    <t>Индекс «В какой мере Вас устраивает сейчас жизнь, которую Вы ведете?» (Опрос ВЦИОМ)</t>
  </si>
  <si>
    <t>Основные показатели</t>
  </si>
  <si>
    <t>Ставка рефинансирования средняя за год</t>
  </si>
  <si>
    <t>Средний курс долара</t>
  </si>
  <si>
    <t>Средний курс нефти</t>
  </si>
  <si>
    <t>Цена бензина</t>
  </si>
  <si>
    <t>Территория</t>
  </si>
  <si>
    <t>Площадь территории, тыс. км</t>
  </si>
  <si>
    <t>Население</t>
  </si>
  <si>
    <t>Численность населения, тыс. человек</t>
  </si>
  <si>
    <t>нет данных за 2021</t>
  </si>
  <si>
    <t>Соотношение мужчин и женщин (на 1000 мужчин приходится женщин)</t>
  </si>
  <si>
    <t>Возрастной состав населения: моложе трудоспособного возраста (в процентах от общей численности населения)</t>
  </si>
  <si>
    <t>Возрастной состав населения: в трудоспособном возрасте (в процентах от общей численности населения)</t>
  </si>
  <si>
    <t>Возрастной состав населения: старше трудоспособного возраста (в процентах от общей численности населения)</t>
  </si>
  <si>
    <t>Ожидаемая продолжительность жизни граждан (число лет)</t>
  </si>
  <si>
    <t>Коэффициент смертности (число умерших на 1000 человек населения)</t>
  </si>
  <si>
    <t>нет данных за 2020 и 2021</t>
  </si>
  <si>
    <t>Смертность населения старше трудоспособного возраста, на 100 000 человек населения соответствующего возраста</t>
  </si>
  <si>
    <t>не нашла признак такой в сборнике</t>
  </si>
  <si>
    <t>Суммарный коэффициент рождаемости, число детей на 1 женщину</t>
  </si>
  <si>
    <t>Соотношение браков и разводов</t>
  </si>
  <si>
    <t>Городские поселения</t>
  </si>
  <si>
    <t>Сельские поселения</t>
  </si>
  <si>
    <t>Занятость и безработица</t>
  </si>
  <si>
    <t>Юля, Рита</t>
  </si>
  <si>
    <t>Численность занятых в возрасте 15-72 лет и старше , %</t>
  </si>
  <si>
    <t>Среднедушевые доходы населения (в месяц), руб.</t>
  </si>
  <si>
    <t>Уровень безработицы населения в возрасте 15-72 лет, %</t>
  </si>
  <si>
    <t>Уровень занятости женщин, имеющих детей дошкольного возраста</t>
  </si>
  <si>
    <t>не нашла такой признак</t>
  </si>
  <si>
    <t>Нагрузка незанятого населения, состоящего на регистрационном учете в органах службы занятости населения, в расчете на одну заявленную вакансию</t>
  </si>
  <si>
    <t>ЮЛя</t>
  </si>
  <si>
    <t>Процент безработных мужчин</t>
  </si>
  <si>
    <r>
      <rPr>
        <sz val="7"/>
        <color rgb="FF000000"/>
        <rFont val="Calibri, sans-serif"/>
      </rPr>
      <t>Вот такие данные есть только за 2019 год. Вместо них вставила ЧИСЛЕННОСТЬ ЗАРЕГИСТРИРОВАННЫХ БЕЗРАБОТНЫХ и ПОТРЕБНОСТЬ В РАБОТНИКАХ, ЗАЯВЛЕННАЯ РАБОТОДАТЕЛЯМИ В ОРГАНЫ СЛУЖБЫ ЗАНЯТОСТИ НАСЕЛЕНИЯ</t>
    </r>
    <r>
      <rPr>
        <sz val="12"/>
        <color rgb="FF000000"/>
        <rFont val="Calibri, sans-serif"/>
      </rPr>
      <t xml:space="preserve">
нет данных за 2020 и 2021</t>
    </r>
  </si>
  <si>
    <t>Процент безработных с высшим образованием</t>
  </si>
  <si>
    <t>Процент безработных со средним профессиональным образованием</t>
  </si>
  <si>
    <t>Бюджет региона</t>
  </si>
  <si>
    <t>Численность государственных гражданских (муниципальных) служащих государственных органов и органов местного самоуправления</t>
  </si>
  <si>
    <t>не нашла данные за 2021</t>
  </si>
  <si>
    <t>Численность государственных гражданских служащих в органах исполнительной власти субъекта Российской Федерации на 10 тысяч человек постоянного населения</t>
  </si>
  <si>
    <t>Государственный долг субъекта РФ, всего на конец года, млн руб.</t>
  </si>
  <si>
    <t>http://budget.gov.ru/Бюджет/Государственный-долг/Государственный-долг-субъектов-РФ?_adf.ctrl-state=lzb189el2_4&amp;regionId=45</t>
  </si>
  <si>
    <t>нет данных за 2012 год</t>
  </si>
  <si>
    <t>Доходы консолидированных бюджетов субъектов Российской Федерации (млн рублей)</t>
  </si>
  <si>
    <t>https://minfin.gov.ru/ru/perfomance/regions/monitoring_results/</t>
  </si>
  <si>
    <t>Расходы консолидированных бюджетов субъектов Российской Федерации (млн рублей)</t>
  </si>
  <si>
    <t>Уровень жизни населения</t>
  </si>
  <si>
    <t>Реальные денежные доходы населения, в % к предыдущему году</t>
  </si>
  <si>
    <t>Реальный размер назначенных пенсий, в % к предыдущему году</t>
  </si>
  <si>
    <t>Средний размер назначенных пенсий</t>
  </si>
  <si>
    <t xml:space="preserve">Реальная начисленная заработная плата работников организаций
(в процентах к предыдущему году)
</t>
  </si>
  <si>
    <t>Медианная заработная плата работников организаций - этот признак в сборнике не нашла, вставила другой, не нашла данные за 2021</t>
  </si>
  <si>
    <t>Среднемесячная номинальная начисленная заработная плата работников организаций, руб.</t>
  </si>
  <si>
    <t>Среднемесячная начисленная заработная плата муниципальных служащих органов местного самоуправления</t>
  </si>
  <si>
    <t>данные за 2017, 2020</t>
  </si>
  <si>
    <t>Отношение средней заработной платы отдельных категорий работников социальной сферы и науки к среднемесячной начисленной заработной плате наемных работников в организациях, у индивидуальных предпринимателей и физических
 лиц</t>
  </si>
  <si>
    <t>данные с 2016 по 2020 включительно(есть странные данные "Пример: в 2 р.")</t>
  </si>
  <si>
    <t>София, Рита</t>
  </si>
  <si>
    <t>Численность населения с денежными доходами ниже величины прожиточного минимума</t>
  </si>
  <si>
    <t>Потребительские расходы в среднем на душу населения (в месяц), руб.</t>
  </si>
  <si>
    <t>Средняя заработная плата педагогических работников образовательных организаций общего образования</t>
  </si>
  <si>
    <t>Средняя заработная плата врачей и работников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</si>
  <si>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Жилье и городская среда</t>
  </si>
  <si>
    <t>Объем жилищного строительства, млн м2 общей площади</t>
  </si>
  <si>
    <t>Данные есть только с 2018 по 2020</t>
  </si>
  <si>
    <t>Ввод в действие жилых домов всего, тыс. м2 общей площади жилых помещений</t>
  </si>
  <si>
    <t>Средние цены на первичном рынке жилья (на конец года; рублей за квадратный метр общей площади)</t>
  </si>
  <si>
    <t>Средние цены на вторичном рынке жилья (на конец года; рублей за квадратный метр общей площади)</t>
  </si>
  <si>
    <t>Удельный вес расходов домашних хозяйств на оплату жилищно-коммунальных услуг (В процентах от общей суммы расходов на оплату услуг)</t>
  </si>
  <si>
    <t>https://rosstat.gov.ru/folder/210/document/13206</t>
  </si>
  <si>
    <t>Предоставление гражданам субсидий на оплату жилого помещения и коммунальных услуг (Среднемесячный размер субсидий на семью, руб.)</t>
  </si>
  <si>
    <t>Предоставление гражданам социальной поддержки (льгот) по оплате жилого помещения и коммунальных услуг (Среднемесячный размер социальной поддержки на одного пользователя, руб.)</t>
  </si>
  <si>
    <t>Общая площадь жилых помещений, приходящаяся в среднем на одного жителя (на конец года; квадратных метров)</t>
  </si>
  <si>
    <t>Удельный вес общей площади, оборудованной водопроводом</t>
  </si>
  <si>
    <t>Удельный вес общей площади, оборудованной отоплением</t>
  </si>
  <si>
    <t>Удельный вес общей площади, оборудованной горячим водоснабжением</t>
  </si>
  <si>
    <t>Сотояние жилья</t>
  </si>
  <si>
    <t>нет данных за 2018-2020</t>
  </si>
  <si>
    <t>Процент аварийного жилья</t>
  </si>
  <si>
    <t>нет данных за 2018-2021</t>
  </si>
  <si>
    <t>Образование</t>
  </si>
  <si>
    <t>Обучающиеся по образовательным программам начального, основного и среднего общего образования на начало учебного года</t>
  </si>
  <si>
    <t>Численность учителей организаций, осуществляющих образовательную деятельность по образовательным программам начального, основного и среднего общего образования</t>
  </si>
  <si>
    <t>Численность студентов, обучающихся по программам бакалавриата, специалитета, магистратуры на 10 000 человек населения, всего</t>
  </si>
  <si>
    <t>нет данных по НАО</t>
  </si>
  <si>
    <t>Численность студентов, обучающихся по программам бакалавриата, специалитета, магистратуры на 10 000 человек населения, в гос. И муниципальных оргнизациях</t>
  </si>
  <si>
    <t>Кол-во человек с высшим образованием</t>
  </si>
  <si>
    <t>данные за 2021 год отсутствуют</t>
  </si>
  <si>
    <t>Здравоохранение</t>
  </si>
  <si>
    <t>Численность населения на одну больничную койку</t>
  </si>
  <si>
    <t>нет полных данных за 2021 год</t>
  </si>
  <si>
    <t>Численность врачей всех специальностей</t>
  </si>
  <si>
    <t>Смертность населения трудоспособного возраста, на 100 000 человек населения соответствующего возраста</t>
  </si>
  <si>
    <t>Младенческая смертность, число детей, умерших в возрасте до 1 года, на 1000 родившихся живыми</t>
  </si>
  <si>
    <t>Заболеваемость на 1000 человек населения</t>
  </si>
  <si>
    <t>Валовый региональный продукт + предприятия + торговля и услуги</t>
  </si>
  <si>
    <t>Валовый региональный продукт на душу населения</t>
  </si>
  <si>
    <t>Не нашла данные за 2020 и 2021</t>
  </si>
  <si>
    <t xml:space="preserve">Объем отгруженных товаров собственного производства, выполненных работ и услуг собственными силами по видам экономической деятельности, млн руб. </t>
  </si>
  <si>
    <t xml:space="preserve"> Добавила полезные ископаемые и обрабатывающие производства) нет данных за 2020 и 2021</t>
  </si>
  <si>
    <t>Продукция сельского хозяйства (в хозяйствах всех категорий; в фактически действовавших ценах; миллионов рублей)</t>
  </si>
  <si>
    <t>Нет данных за 2021</t>
  </si>
  <si>
    <t>Инвестиции в основной капитал на душу населения (в фактически действовавших ценах;  рублей)</t>
  </si>
  <si>
    <t>Индекс физического объема инвестиций в основной капитал (в сопоставимых ценах; в процентах к предыдущему году)</t>
  </si>
  <si>
    <t>Сальдированный финансовый результат (прибыль минус убыток) деятельности организаций, в процентах к предыдущему году.</t>
  </si>
  <si>
    <t xml:space="preserve"> Не стала вставлять, очень много пропусков в данных</t>
  </si>
  <si>
    <t>Число предприятий и организаций</t>
  </si>
  <si>
    <t>Не нашла данные за 2021</t>
  </si>
  <si>
    <t>Удельный вес убыточных организаций</t>
  </si>
  <si>
    <t>Просроченная задолженность по заработной плате в расчете на одного работника, перед которым имеется просроченная задолженность</t>
  </si>
  <si>
    <t>Оборот розничной торговли на душу населения, руб.</t>
  </si>
  <si>
    <t>Объем платных услуг населению млн рублей</t>
  </si>
  <si>
    <t>Продажа сильно алкогольной продукции населению</t>
  </si>
  <si>
    <t>Продажа слабоалкогольной продукции населению</t>
  </si>
  <si>
    <t>Объем транспортных услуг населению</t>
  </si>
  <si>
    <t>Объем коммунальных услуг</t>
  </si>
  <si>
    <t>Объем телекоммуникационных услуг на душу населения</t>
  </si>
  <si>
    <t>За 2021 данных нет</t>
  </si>
  <si>
    <t>Транспорт</t>
  </si>
  <si>
    <t>Плотность автомобильных дорог общего пользования с твердым покрытием ((на конец года; км путей на 1000 км2 территории)</t>
  </si>
  <si>
    <t>Число автобусов общего пользования на 100 000 человек населения</t>
  </si>
  <si>
    <t>Число дорожно-транспортных происшествий и пострадавших в них на 100 000 человек населения</t>
  </si>
  <si>
    <t>добавила число дорожно-транспортных проишествий, Не нашла данные за 2021</t>
  </si>
  <si>
    <t>Культура, отдых и туризм</t>
  </si>
  <si>
    <t>Численность зрителей театров и число посещений музеев на 1000 человек населения</t>
  </si>
  <si>
    <t>Число спортивных сооружений</t>
  </si>
  <si>
    <t>добавила Плоскостные спортивные сооружения (площадки 
и поля) (на конец года), Не нашла данные за 2021</t>
  </si>
  <si>
    <t>Охват населения теле- и радиовещанием</t>
  </si>
  <si>
    <t>Нет данных за 2021 год</t>
  </si>
  <si>
    <t>Численность российских туристов, обслуженных туристскими фирмами в туры по России(тысяч человек)</t>
  </si>
  <si>
    <t>туры по России и за рубеж(2021 отсутствует)</t>
  </si>
  <si>
    <t>Численность российских туристов, обслуженных туристскими фирмами в зарубежные туры(тысяч человек)</t>
  </si>
  <si>
    <t>Земельные ресурсы и охрана окружающей природы</t>
  </si>
  <si>
    <t>Выбросы загрязняющих веществ в атмосферный воздух, отходящих от стационарных источников тыс тонн</t>
  </si>
  <si>
    <t>данные по 2020 год</t>
  </si>
  <si>
    <t>Использование свежей воды миллион куб метров</t>
  </si>
  <si>
    <t>Сброс загрязненных сточных вод в поверхностные водные объекты</t>
  </si>
  <si>
    <t>Индекс физического объема природоохранных расходов</t>
  </si>
  <si>
    <t>данные за 2014-2020</t>
  </si>
  <si>
    <t>Цены и тарифы</t>
  </si>
  <si>
    <t>Индексы потребительских цен на продовольственные товары</t>
  </si>
  <si>
    <t>Индексы потребительских цен на непродовольственные товары</t>
  </si>
  <si>
    <t>Индексы потребительских цен (тарифов) на услуги</t>
  </si>
  <si>
    <t>Стоимость минимального (условного) набора потребительских товаров и услуг</t>
  </si>
  <si>
    <t>данные не за все года, вместо этого признака добавила Стоимость фиксированного набора потребительских товаров и услуг, Не нашла данные за 2021</t>
  </si>
  <si>
    <t>Средние цены на первичном рынке жилья</t>
  </si>
  <si>
    <t>Средние цены на вторичном рынке жилья</t>
  </si>
  <si>
    <t>Индексы тарифов на грузовые перевозки</t>
  </si>
  <si>
    <t>Индексы цен производителей сельскохозяйственной продукции и приобретения товаров и услуг сельскохозяйственными организациями</t>
  </si>
  <si>
    <t>Наука</t>
  </si>
  <si>
    <t>Доля исследователей в возрасте до 39 лет в общей численности российских исследователей, процентов</t>
  </si>
  <si>
    <t>данные за 2018-2020 годы</t>
  </si>
  <si>
    <t>Внутренние затраты на научные исследования и разработки, млн руб</t>
  </si>
  <si>
    <t>Численность исследователей с учеными степенями</t>
  </si>
  <si>
    <t>2021 год отсутствует</t>
  </si>
  <si>
    <t>Используемые передовые производственные технологии</t>
  </si>
  <si>
    <t>Удельный вес организаций, осуществлявших технологические инновации в общем числе обследованных организаций</t>
  </si>
  <si>
    <t>данные с 2014 по 2020 включительно(с 2017 данные расчитаются по 4 критерию Руководства Осло, до это по 3 критерию)</t>
  </si>
  <si>
    <t>Объем инновационных товаров, работ, услуг</t>
  </si>
  <si>
    <t>данные за 2021 отсутствуют</t>
  </si>
  <si>
    <t>Финансы</t>
  </si>
  <si>
    <t>Средства (вклады) юридических и физических лиц в рублях, привлеченные кредитными организациями</t>
  </si>
  <si>
    <t>данные с 2014 года</t>
  </si>
  <si>
    <t>Вклады (депозиты) юридических и физических лиц в иностранной валюте, привлеченные кредитными организациями</t>
  </si>
  <si>
    <t>Объем жилищных кредитов (ипотечных жилищных кредитов), предоставленных кредитными организациями физическим лицам в рублях</t>
  </si>
  <si>
    <t>Задолженность по кредитам в рублях, предоставленным кредитными организациями физическим лицам</t>
  </si>
  <si>
    <t>Средства (вклады) физических лиц на рублевых счетах в Сбербанке России</t>
  </si>
  <si>
    <t>Средства (вклады) физических лиц на валютных счетах в Сбербанке России</t>
  </si>
  <si>
    <t>Цифровая экономика</t>
  </si>
  <si>
    <t>Доля домохозяйств, имеющих широкополосный доступ к информационно телекоммуникационной сети «Интернет», процентов</t>
  </si>
  <si>
    <t>Использование цифровых технологий в организациях</t>
  </si>
  <si>
    <t>Число персональных компьютеров на 100 работников</t>
  </si>
  <si>
    <t>Число подключенных абонентских устройств мобильной связи на 1000 человек населения</t>
  </si>
  <si>
    <t>Численность активных абонентов фиксированного и мобильного широкополосного доступа к сети Интернет на 100 человек населения</t>
  </si>
  <si>
    <t>Преступность</t>
  </si>
  <si>
    <t>Кол-во преступлений по ст. 290 (Получение взятки)</t>
  </si>
  <si>
    <t>http://crimestat.ru</t>
  </si>
  <si>
    <t>Кол-во преступлений по ст. 290 (Дача взятки)</t>
  </si>
  <si>
    <t>Кол-во преступлений экономической направленности</t>
  </si>
  <si>
    <t>Количество преступлений террористического характера, уголовные дела о которых направлены в суд</t>
  </si>
  <si>
    <t>Количество преступлений экстремистского характера, уголовные дела о которых направлены в суд</t>
  </si>
  <si>
    <t>Кол-во преступлений (наркотики)</t>
  </si>
  <si>
    <t>Предварительно расследовано преступлений, совершенных в состоянии алкогольного опьянения</t>
  </si>
  <si>
    <t>Выявлено лиц, совершивших преступления в состоянии алкогольного опьянения</t>
  </si>
  <si>
    <t>Наименование</t>
  </si>
  <si>
    <t>Результаты голосования по поправкам в Конституцию, % за</t>
  </si>
  <si>
    <t>Результаты голосования по поправкам в Конституцию, % против</t>
  </si>
  <si>
    <t>Индекс митингов оппозиций</t>
  </si>
  <si>
    <t>Цена бензина, АИ-92</t>
  </si>
  <si>
    <t>Площадь территории, км2</t>
  </si>
  <si>
    <t>Ожидаемая продолжительность жизни мужчин</t>
  </si>
  <si>
    <t>Соотношение браков и разводов (на 1000 браков приходится разводов)</t>
  </si>
  <si>
    <t>Гос. долг субъекта</t>
  </si>
  <si>
    <t>Доходы консолидированных бюджетов субъектов Российской Федерации</t>
  </si>
  <si>
    <t>Расходы консолидированных бюджетов субъектов Российской Федерации</t>
  </si>
  <si>
    <t>Отношение средней заработной платы отдельных категорий работников социальной сферы и науки к среднемесячной начисленной заработной плате наемных работников в организациях, у индивидуальных предпринимателей и физических
 лиц(в %)</t>
  </si>
  <si>
    <t>Удельный вес расходов домашних хозяйств на оплату жилищно-коммунальных услуг</t>
  </si>
  <si>
    <t>Предоставление гражданам субсидий на оплату жилого помещения и коммунальных услуг</t>
  </si>
  <si>
    <t>Предоставление гражданам социальной поддержки (льгот) по оплате жилого помещения и коммунальных услуг</t>
  </si>
  <si>
    <t>Общая площадь жилых помещений, приходящаяся в среднем на одного жителя</t>
  </si>
  <si>
    <t>Кол-во человек с высшим образованием(тысяч человек)</t>
  </si>
  <si>
    <t>Удельный вес убыточных организаций(в % от общего числа организаций)</t>
  </si>
  <si>
    <t>Просроченная задолженность по заработной плате в расчете на одного работника, перед которым имеется просроченная задолженность(рублей)</t>
  </si>
  <si>
    <t>Продажа сильно алкогольной продукции населению(тысяч декалитров)</t>
  </si>
  <si>
    <t>Продажа слабоалкогольной продукции населению(тысяч декалитров)</t>
  </si>
  <si>
    <t>Объем транспортных услуг населению, тыс. руб</t>
  </si>
  <si>
    <t>Объем коммунальных услуг, тыс. руб</t>
  </si>
  <si>
    <t>Объем телекоммуникационных услуг на душу населения(рублей)</t>
  </si>
  <si>
    <t>Охват населения теле- и радиовещанием(в % от общей численности населения субъекта)</t>
  </si>
  <si>
    <t>Выбросы загрязняющих веществ в атмосферный воздух, отходящих от стационарных источников</t>
  </si>
  <si>
    <t>Использование свежей воды</t>
  </si>
  <si>
    <t>Индекс цен производителей сельскохозяйственной продукции(в процентах к предыдущему году)</t>
  </si>
  <si>
    <t>Индекс цен приобретения промышленной продукции и услуг сельскохозяйственными организациями (в процентах к предыдущему году)</t>
  </si>
  <si>
    <t>Численность исследователей с учеными степенями(всего человек)</t>
  </si>
  <si>
    <t>Объем инновационных товаров, работ, услуг(Млн руб.)</t>
  </si>
  <si>
    <t>Алтайский край</t>
  </si>
  <si>
    <t>Амурская область</t>
  </si>
  <si>
    <t>Архангельская область без автономного округа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</si>
  <si>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</si>
  <si>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</si>
  <si>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</si>
  <si>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</si>
  <si>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</si>
  <si>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</si>
  <si>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</si>
  <si>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</si>
  <si>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</si>
  <si>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</si>
  <si>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</si>
  <si>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</si>
  <si>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</si>
  <si>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</si>
  <si>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</si>
  <si>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</si>
  <si>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</si>
  <si>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—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</si>
  <si>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</si>
  <si>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</si>
  <si>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</si>
  <si>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</si>
  <si>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</si>
  <si>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</si>
  <si>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</si>
  <si>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</si>
  <si>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</si>
  <si>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</si>
  <si>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</si>
  <si>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</si>
  <si>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…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</si>
  <si>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</si>
  <si>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</si>
  <si>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</si>
  <si>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</si>
  <si>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</si>
  <si>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</si>
  <si>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</si>
  <si>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</si>
  <si>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</si>
  <si>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</si>
  <si>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</si>
  <si>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</si>
  <si>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</si>
  <si>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</si>
  <si>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</si>
  <si>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</si>
  <si>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</si>
  <si>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</si>
  <si>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</si>
  <si>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</si>
  <si>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</si>
  <si>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</si>
  <si>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</si>
  <si>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—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</si>
  <si>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</si>
  <si>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</si>
  <si>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</si>
  <si>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</si>
  <si>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</si>
  <si>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</si>
  <si>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</si>
  <si>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</si>
  <si>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</si>
  <si>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</si>
  <si>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</si>
  <si>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</si>
  <si>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</si>
  <si>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</si>
  <si>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</si>
  <si>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</si>
  <si>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</si>
  <si>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 без автономных округов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</si>
  <si>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</si>
  <si>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</si>
  <si>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</si>
  <si>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— Югра</t>
  </si>
  <si>
    <t>Челябинская область</t>
  </si>
  <si>
    <t>Чеченская Республика</t>
  </si>
  <si>
    <t>Чувашская Республика — Чувашия</t>
  </si>
  <si>
    <t>Чукотский автономный округ</t>
  </si>
  <si>
    <t>Ямало-Ненецкий автономный округ</t>
  </si>
  <si>
    <t>Ярославская область</t>
  </si>
  <si>
    <t>Возрастной состав населения: трудоспособного возраста (в процентах от общей численности населения)</t>
  </si>
  <si>
    <t>Инвестиции в основной капитал на душу населения</t>
  </si>
  <si>
    <t>Сальдированный финансовый результат (прибыль минус убыток) деятельности организаций, млрд руб.</t>
  </si>
  <si>
    <t>45.7</t>
  </si>
  <si>
    <t>Возрастной состав населения: младше трудоспособного (в процентах от общей численности населения)</t>
  </si>
  <si>
    <t>–</t>
  </si>
  <si>
    <t>9 013</t>
  </si>
  <si>
    <t>1 691</t>
  </si>
  <si>
    <t>1 020</t>
  </si>
  <si>
    <t>1 234</t>
  </si>
  <si>
    <t>52 012</t>
  </si>
  <si>
    <t>8 478</t>
  </si>
  <si>
    <t>26 660</t>
  </si>
  <si>
    <t>в 2,4 р.</t>
  </si>
  <si>
    <t>6 828</t>
  </si>
  <si>
    <t>1 142</t>
  </si>
  <si>
    <t>7 683</t>
  </si>
  <si>
    <t>169 388</t>
  </si>
  <si>
    <t>7 640</t>
  </si>
  <si>
    <t>1 063</t>
  </si>
  <si>
    <t>16 575</t>
  </si>
  <si>
    <t>1 362</t>
  </si>
  <si>
    <t>1 108</t>
  </si>
  <si>
    <t>6 137</t>
  </si>
  <si>
    <t>59 035</t>
  </si>
  <si>
    <t>2 762</t>
  </si>
  <si>
    <t>2 625</t>
  </si>
  <si>
    <t>8 226</t>
  </si>
  <si>
    <t>3 773</t>
  </si>
  <si>
    <t>105 881</t>
  </si>
  <si>
    <t>1 488</t>
  </si>
  <si>
    <t>47 527</t>
  </si>
  <si>
    <t>9 263</t>
  </si>
  <si>
    <t>2 602</t>
  </si>
  <si>
    <t>Ожидаемая продолжительность жизни граждан</t>
  </si>
  <si>
    <t>Ожидаемая продолжительность жизни женщин</t>
  </si>
  <si>
    <t>Коэффициент смертности</t>
  </si>
  <si>
    <t>3 401</t>
  </si>
  <si>
    <t>1 064</t>
  </si>
  <si>
    <t>1 307</t>
  </si>
  <si>
    <t>24 550</t>
  </si>
  <si>
    <t>1 423</t>
  </si>
  <si>
    <t>16 342</t>
  </si>
  <si>
    <t>40 833</t>
  </si>
  <si>
    <t>1 103</t>
  </si>
  <si>
    <t>1 679</t>
  </si>
  <si>
    <t>1 372</t>
  </si>
  <si>
    <t>2 526</t>
  </si>
  <si>
    <t>23 542</t>
  </si>
  <si>
    <t>1 162</t>
  </si>
  <si>
    <t>2 890</t>
  </si>
  <si>
    <t>Нарушение установленного порядка организации либо проведения собрания, митинга, демонстрации, шествия или пикетирования (20.2 КоАП)</t>
  </si>
  <si>
    <t xml:space="preserve">Соотношение мужчин и женщин, на 1000 мужчин приходится женщин
</t>
  </si>
  <si>
    <t>Состояние жилья</t>
  </si>
  <si>
    <t>Обучающиеся по образовательным программам начального, основного и среднего общего образования на начало учебного года (тыс. человек)</t>
  </si>
  <si>
    <t>Численность студентов, обучающихся по программам бакалавриата, специалитета, магистратуры на 10 000 человек населения, в гос. и муниципальных оргнизациях</t>
  </si>
  <si>
    <t>Численность врачей всех специальностей (На 10 000 человек населения, человек)</t>
  </si>
  <si>
    <t>Объем отгруженных товаров собственного производства, выполненных работ и услуг собственными силами по видам экономической деятельности, млрд руб. (добыча полезных ископаемых)</t>
  </si>
  <si>
    <t>Объем отгруженных товаров собственного производства, выполненных работ и услуг собственными силами по видам экономической деятельности, млрд руб. (обрабатывающее производство)</t>
  </si>
  <si>
    <t>Продукция сельского хозяйства - всего, млн руб.</t>
  </si>
  <si>
    <t>Индекс физического объема инвестиций в основной капитал</t>
  </si>
  <si>
    <t>Плотность автомобильных дорог общего пользования с твердым покрытием</t>
  </si>
  <si>
    <t>Численность зрителей театров на 1000 человек населения</t>
  </si>
  <si>
    <t>Численность посетителей музеев на 1000 человек населения</t>
  </si>
  <si>
    <t>0.027</t>
  </si>
  <si>
    <t>0.017</t>
  </si>
  <si>
    <t>56 576</t>
  </si>
  <si>
    <t>0.035</t>
  </si>
  <si>
    <t>0.016</t>
  </si>
  <si>
    <t>1 779</t>
  </si>
  <si>
    <t>0.022</t>
  </si>
  <si>
    <t>1 148</t>
  </si>
  <si>
    <t>0.023</t>
  </si>
  <si>
    <t>0.014</t>
  </si>
  <si>
    <t>0.013</t>
  </si>
  <si>
    <t>78 933</t>
  </si>
  <si>
    <t>0.018</t>
  </si>
  <si>
    <t>…1)</t>
  </si>
  <si>
    <t>0.025</t>
  </si>
  <si>
    <t>59 107</t>
  </si>
  <si>
    <t>0.012</t>
  </si>
  <si>
    <t>42 266</t>
  </si>
  <si>
    <t>1 196</t>
  </si>
  <si>
    <t>0.024</t>
  </si>
  <si>
    <t>3 436</t>
  </si>
  <si>
    <t>20 125</t>
  </si>
  <si>
    <t>3 353</t>
  </si>
  <si>
    <t>1 420</t>
  </si>
  <si>
    <t>22 103</t>
  </si>
  <si>
    <t>1 131</t>
  </si>
  <si>
    <t>43 656</t>
  </si>
  <si>
    <t>67 324</t>
  </si>
  <si>
    <t>17 823</t>
  </si>
  <si>
    <t>1 506</t>
  </si>
  <si>
    <t>37 898</t>
  </si>
  <si>
    <t>2 230</t>
  </si>
  <si>
    <t>273 195</t>
  </si>
  <si>
    <t>8 412</t>
  </si>
  <si>
    <t>64 928</t>
  </si>
  <si>
    <t>а</t>
  </si>
  <si>
    <t>Брачность (число браков\ тыс. чел)</t>
  </si>
  <si>
    <t>Миграция</t>
  </si>
  <si>
    <t>Прибывших</t>
  </si>
  <si>
    <t>Выбывших</t>
  </si>
  <si>
    <t>Миграционный прирост</t>
  </si>
  <si>
    <t>1 009</t>
  </si>
  <si>
    <t>19 910</t>
  </si>
  <si>
    <t>-2 492</t>
  </si>
  <si>
    <t>9 876</t>
  </si>
  <si>
    <t>119 014</t>
  </si>
  <si>
    <t>9 912</t>
  </si>
  <si>
    <t>15 521</t>
  </si>
  <si>
    <t>33 980</t>
  </si>
  <si>
    <t>1 125</t>
  </si>
  <si>
    <t>278 435</t>
  </si>
  <si>
    <t>64 951</t>
  </si>
  <si>
    <t>2 265</t>
  </si>
  <si>
    <t>8 292</t>
  </si>
  <si>
    <t>53 580</t>
  </si>
  <si>
    <t>10 575</t>
  </si>
  <si>
    <t>17 363</t>
  </si>
  <si>
    <t>8 630</t>
  </si>
  <si>
    <t>1 548</t>
  </si>
  <si>
    <t>95 790</t>
  </si>
  <si>
    <t>18 028</t>
  </si>
  <si>
    <t>417 000</t>
  </si>
  <si>
    <t>8 581</t>
  </si>
  <si>
    <t>7 140</t>
  </si>
  <si>
    <t>8 686</t>
  </si>
  <si>
    <t>98 124</t>
  </si>
  <si>
    <t>Количество смертей</t>
  </si>
  <si>
    <t>0.032</t>
  </si>
  <si>
    <t>0.006</t>
  </si>
  <si>
    <t>0.000</t>
  </si>
  <si>
    <t>11 573,75</t>
  </si>
  <si>
    <t>192 389,35</t>
  </si>
  <si>
    <t>194 978,51</t>
  </si>
  <si>
    <t>17 826</t>
  </si>
  <si>
    <t>38 914</t>
  </si>
  <si>
    <t>73 077</t>
  </si>
  <si>
    <t>106 555</t>
  </si>
  <si>
    <t>90 198</t>
  </si>
  <si>
    <t>84 757</t>
  </si>
  <si>
    <t>103 906</t>
  </si>
  <si>
    <t>40 285</t>
  </si>
  <si>
    <t>47 115</t>
  </si>
  <si>
    <t>201.8</t>
  </si>
  <si>
    <t>14 818 181.4</t>
  </si>
  <si>
    <t>40 450 865.1</t>
  </si>
  <si>
    <t>9 883</t>
  </si>
  <si>
    <t>12 599,5</t>
  </si>
  <si>
    <t>331 240</t>
  </si>
  <si>
    <t>60 153</t>
  </si>
  <si>
    <t>61 863</t>
  </si>
  <si>
    <t>-1 710</t>
  </si>
  <si>
    <t>0.003</t>
  </si>
  <si>
    <t>34 682,94</t>
  </si>
  <si>
    <t>130 121,95</t>
  </si>
  <si>
    <t>126 419,62</t>
  </si>
  <si>
    <t>19 519</t>
  </si>
  <si>
    <t>58 580</t>
  </si>
  <si>
    <t>110 802</t>
  </si>
  <si>
    <t>143 763</t>
  </si>
  <si>
    <t>125 402</t>
  </si>
  <si>
    <t>997 236</t>
  </si>
  <si>
    <t>-258 473</t>
  </si>
  <si>
    <t>13 694</t>
  </si>
  <si>
    <t>90.5</t>
  </si>
  <si>
    <t xml:space="preserve">10 198 890.8
</t>
  </si>
  <si>
    <t>15 682 553.6</t>
  </si>
  <si>
    <t>12 016</t>
  </si>
  <si>
    <t>145 132</t>
  </si>
  <si>
    <t>19 777</t>
  </si>
  <si>
    <t>22 202</t>
  </si>
  <si>
    <t>-2 425</t>
  </si>
  <si>
    <t>0.004</t>
  </si>
  <si>
    <t>67 648,02</t>
  </si>
  <si>
    <t>151 589,14</t>
  </si>
  <si>
    <t>171 462,25</t>
  </si>
  <si>
    <t>118 938</t>
  </si>
  <si>
    <t>113 611</t>
  </si>
  <si>
    <t>95 678</t>
  </si>
  <si>
    <t>124 678</t>
  </si>
  <si>
    <t>51 120</t>
  </si>
  <si>
    <t>17 255</t>
  </si>
  <si>
    <t>19 077</t>
  </si>
  <si>
    <t>110.6</t>
  </si>
  <si>
    <t>13 250 011.1</t>
  </si>
  <si>
    <t>19 950 222.7</t>
  </si>
  <si>
    <t>10 969</t>
  </si>
  <si>
    <t>240 024</t>
  </si>
  <si>
    <t>2 546</t>
  </si>
  <si>
    <t>33 916</t>
  </si>
  <si>
    <t>35 951</t>
  </si>
  <si>
    <t>-2 035</t>
  </si>
  <si>
    <t>17 498,06</t>
  </si>
  <si>
    <t>88 289,00</t>
  </si>
  <si>
    <t>88 138,80</t>
  </si>
  <si>
    <t>17 075</t>
  </si>
  <si>
    <t>39 231</t>
  </si>
  <si>
    <t>78 396</t>
  </si>
  <si>
    <t>107 614</t>
  </si>
  <si>
    <t>72 172</t>
  </si>
  <si>
    <t>92 241</t>
  </si>
  <si>
    <t>189 243</t>
  </si>
  <si>
    <t>11 987</t>
  </si>
  <si>
    <t>14 243</t>
  </si>
  <si>
    <t>97.6</t>
  </si>
  <si>
    <t>4 263 353.1</t>
  </si>
  <si>
    <t>15 627 914.9</t>
  </si>
  <si>
    <t>8 357</t>
  </si>
  <si>
    <t>113 966</t>
  </si>
  <si>
    <t>20 383</t>
  </si>
  <si>
    <t>-2 355</t>
  </si>
  <si>
    <t>0.002</t>
  </si>
  <si>
    <t xml:space="preserve">                   77.8</t>
  </si>
  <si>
    <t>31 565,61</t>
  </si>
  <si>
    <t>198 004,97</t>
  </si>
  <si>
    <t>201 555,59</t>
  </si>
  <si>
    <t>19 119</t>
  </si>
  <si>
    <t>46 560</t>
  </si>
  <si>
    <t>87 299</t>
  </si>
  <si>
    <t>74 351</t>
  </si>
  <si>
    <t>140 761</t>
  </si>
  <si>
    <t>343 530</t>
  </si>
  <si>
    <t>26 351</t>
  </si>
  <si>
    <t>103.7</t>
  </si>
  <si>
    <t>16 098 739.2</t>
  </si>
  <si>
    <t>27 978 931.3</t>
  </si>
  <si>
    <t>8 199</t>
  </si>
  <si>
    <t>192 562,6</t>
  </si>
  <si>
    <t>397 938</t>
  </si>
  <si>
    <t>47 525</t>
  </si>
  <si>
    <t>51 174</t>
  </si>
  <si>
    <t>-3 649</t>
  </si>
  <si>
    <t>0.019</t>
  </si>
  <si>
    <t>0.001</t>
  </si>
  <si>
    <t xml:space="preserve">                   68.1</t>
  </si>
  <si>
    <t>14 028,93</t>
  </si>
  <si>
    <t>114 343,71</t>
  </si>
  <si>
    <t>110 407,32</t>
  </si>
  <si>
    <t>18 084</t>
  </si>
  <si>
    <t>73 725</t>
  </si>
  <si>
    <t>83 376</t>
  </si>
  <si>
    <t>65 801</t>
  </si>
  <si>
    <t>1 101,90</t>
  </si>
  <si>
    <t>82 039</t>
  </si>
  <si>
    <t>69 640</t>
  </si>
  <si>
    <t>14 724</t>
  </si>
  <si>
    <t>12 697</t>
  </si>
  <si>
    <t>156.99</t>
  </si>
  <si>
    <t>8 326 438.9</t>
  </si>
  <si>
    <t>20 330 470</t>
  </si>
  <si>
    <t>9 945</t>
  </si>
  <si>
    <t>31 258,2</t>
  </si>
  <si>
    <t>174 708</t>
  </si>
  <si>
    <t>28 248</t>
  </si>
  <si>
    <t>-1 588</t>
  </si>
  <si>
    <t>0.007</t>
  </si>
  <si>
    <t>14 017,27</t>
  </si>
  <si>
    <t>125 992,15</t>
  </si>
  <si>
    <t>123 366,85</t>
  </si>
  <si>
    <t>19 210</t>
  </si>
  <si>
    <t>82 779</t>
  </si>
  <si>
    <t>85 002</t>
  </si>
  <si>
    <t>88 649</t>
  </si>
  <si>
    <t>137 912</t>
  </si>
  <si>
    <t>115 169</t>
  </si>
  <si>
    <t>25 482</t>
  </si>
  <si>
    <t>67 801</t>
  </si>
  <si>
    <t>267.3</t>
  </si>
  <si>
    <t>11 499 760.6</t>
  </si>
  <si>
    <t>27 017 884.4</t>
  </si>
  <si>
    <t>8 916</t>
  </si>
  <si>
    <t>1 292</t>
  </si>
  <si>
    <t>34 654,1</t>
  </si>
  <si>
    <t>287 270</t>
  </si>
  <si>
    <t>27 489</t>
  </si>
  <si>
    <t>31 077</t>
  </si>
  <si>
    <t>-3 588</t>
  </si>
  <si>
    <t>0.021</t>
  </si>
  <si>
    <t>56 773,04</t>
  </si>
  <si>
    <t>198 238,79</t>
  </si>
  <si>
    <t>200 491,61</t>
  </si>
  <si>
    <t>18 292</t>
  </si>
  <si>
    <t>37 073</t>
  </si>
  <si>
    <t>76 005</t>
  </si>
  <si>
    <t>90 062</t>
  </si>
  <si>
    <t>70 721</t>
  </si>
  <si>
    <t>118 359</t>
  </si>
  <si>
    <t>129 372</t>
  </si>
  <si>
    <t>30 868</t>
  </si>
  <si>
    <t>38 959</t>
  </si>
  <si>
    <t>315.3</t>
  </si>
  <si>
    <t>25 192 530.3</t>
  </si>
  <si>
    <t>38 067 235.5</t>
  </si>
  <si>
    <t>1 641</t>
  </si>
  <si>
    <t>2 395</t>
  </si>
  <si>
    <t>54 629,1</t>
  </si>
  <si>
    <t>346 627</t>
  </si>
  <si>
    <t>55 248</t>
  </si>
  <si>
    <t>-1 328</t>
  </si>
  <si>
    <t>21 461,33</t>
  </si>
  <si>
    <t>163 954,81</t>
  </si>
  <si>
    <t>156 360,73</t>
  </si>
  <si>
    <t>20 273</t>
  </si>
  <si>
    <t>49 485</t>
  </si>
  <si>
    <t>101 168</t>
  </si>
  <si>
    <t>84 012</t>
  </si>
  <si>
    <t>72 788</t>
  </si>
  <si>
    <t>150 049</t>
  </si>
  <si>
    <t>622 017</t>
  </si>
  <si>
    <t>29 602</t>
  </si>
  <si>
    <t>154.1</t>
  </si>
  <si>
    <t>12 834 519.4</t>
  </si>
  <si>
    <t>22 868 250.2</t>
  </si>
  <si>
    <t>8 467</t>
  </si>
  <si>
    <t>49 051,6</t>
  </si>
  <si>
    <t>264 619</t>
  </si>
  <si>
    <t>19 277</t>
  </si>
  <si>
    <t>20 075</t>
  </si>
  <si>
    <t>27 813,78</t>
  </si>
  <si>
    <t>226 272,05</t>
  </si>
  <si>
    <t>223 780,89</t>
  </si>
  <si>
    <t>17 995</t>
  </si>
  <si>
    <t>44 954</t>
  </si>
  <si>
    <t>86 174</t>
  </si>
  <si>
    <t>95 854</t>
  </si>
  <si>
    <t>76 506</t>
  </si>
  <si>
    <t>1 195,00</t>
  </si>
  <si>
    <t>164 141</t>
  </si>
  <si>
    <t>151 186</t>
  </si>
  <si>
    <t>39 240</t>
  </si>
  <si>
    <t>377.98</t>
  </si>
  <si>
    <t>29 139 245.4</t>
  </si>
  <si>
    <t>40 942 458.6</t>
  </si>
  <si>
    <t>32 762,8</t>
  </si>
  <si>
    <t>536 089</t>
  </si>
  <si>
    <t>49 188</t>
  </si>
  <si>
    <t>4 392</t>
  </si>
  <si>
    <t>0.036</t>
  </si>
  <si>
    <t>0.015</t>
  </si>
  <si>
    <t>196 780,03</t>
  </si>
  <si>
    <t>4 228 414,09</t>
  </si>
  <si>
    <t>4 418 017,11</t>
  </si>
  <si>
    <t>20 709</t>
  </si>
  <si>
    <t>111 744</t>
  </si>
  <si>
    <t>204 065</t>
  </si>
  <si>
    <t>340 837</t>
  </si>
  <si>
    <t>328 064</t>
  </si>
  <si>
    <t>3 323</t>
  </si>
  <si>
    <t>514 759</t>
  </si>
  <si>
    <t>11 348 045</t>
  </si>
  <si>
    <t>601 810</t>
  </si>
  <si>
    <t>514 619</t>
  </si>
  <si>
    <t>1 488.9</t>
  </si>
  <si>
    <t>1 152 874 676.2</t>
  </si>
  <si>
    <t>278 898 540.1</t>
  </si>
  <si>
    <t>25 245</t>
  </si>
  <si>
    <t>1 256</t>
  </si>
  <si>
    <t>1 331</t>
  </si>
  <si>
    <t>1 358 949,5</t>
  </si>
  <si>
    <t>26 720 115</t>
  </si>
  <si>
    <t>319 601</t>
  </si>
  <si>
    <t>278 595</t>
  </si>
  <si>
    <t>41 006</t>
  </si>
  <si>
    <t>7 968,28</t>
  </si>
  <si>
    <t>24 725,90</t>
  </si>
  <si>
    <t>28 766,30</t>
  </si>
  <si>
    <t>18 820</t>
  </si>
  <si>
    <t>51 258</t>
  </si>
  <si>
    <t>106 167</t>
  </si>
  <si>
    <t>100 072</t>
  </si>
  <si>
    <t>77 025</t>
  </si>
  <si>
    <t>200 005</t>
  </si>
  <si>
    <t>-1 653</t>
  </si>
  <si>
    <t>2 224</t>
  </si>
  <si>
    <t>139 000</t>
  </si>
  <si>
    <t>16.47</t>
  </si>
  <si>
    <t>1 900 536.1</t>
  </si>
  <si>
    <t>3 111 950.7</t>
  </si>
  <si>
    <t>7 705</t>
  </si>
  <si>
    <t>21 254</t>
  </si>
  <si>
    <t>3 261</t>
  </si>
  <si>
    <t>4 160</t>
  </si>
  <si>
    <t>0.03</t>
  </si>
  <si>
    <t>34 100,26</t>
  </si>
  <si>
    <t>145 511,72</t>
  </si>
  <si>
    <t>143 957,70</t>
  </si>
  <si>
    <t>18 071</t>
  </si>
  <si>
    <t>43 813</t>
  </si>
  <si>
    <t>92 282</t>
  </si>
  <si>
    <t>146 862</t>
  </si>
  <si>
    <t>101 743</t>
  </si>
  <si>
    <t>273 450</t>
  </si>
  <si>
    <t>100 683</t>
  </si>
  <si>
    <t>12 804</t>
  </si>
  <si>
    <t>67.4</t>
  </si>
  <si>
    <t>10 714 606.9</t>
  </si>
  <si>
    <t>16 838 315.9</t>
  </si>
  <si>
    <t>12 662</t>
  </si>
  <si>
    <t>116 345</t>
  </si>
  <si>
    <t>4 169</t>
  </si>
  <si>
    <t>21 613</t>
  </si>
  <si>
    <t>26 515</t>
  </si>
  <si>
    <t>-4 902</t>
  </si>
  <si>
    <t>13 179,14</t>
  </si>
  <si>
    <t>813 403,57</t>
  </si>
  <si>
    <t>79 149,23</t>
  </si>
  <si>
    <t>18 525</t>
  </si>
  <si>
    <t>62 689</t>
  </si>
  <si>
    <t>74 634</t>
  </si>
  <si>
    <t>75 537</t>
  </si>
  <si>
    <t>74 152</t>
  </si>
  <si>
    <t>28 573</t>
  </si>
  <si>
    <t>23 884</t>
  </si>
  <si>
    <t>163.8</t>
  </si>
  <si>
    <t>5 491 748</t>
  </si>
  <si>
    <t>17 879 882</t>
  </si>
  <si>
    <t>7 502</t>
  </si>
  <si>
    <t>13 668,9</t>
  </si>
  <si>
    <t>175 174</t>
  </si>
  <si>
    <t>24 096</t>
  </si>
  <si>
    <t>24 868</t>
  </si>
  <si>
    <t>0.020</t>
  </si>
  <si>
    <t>23 475,63</t>
  </si>
  <si>
    <t>326 416,60</t>
  </si>
  <si>
    <t>337 887,49</t>
  </si>
  <si>
    <t>19 886</t>
  </si>
  <si>
    <t>58 797</t>
  </si>
  <si>
    <t>114 598</t>
  </si>
  <si>
    <t>112 677</t>
  </si>
  <si>
    <t>98 732</t>
  </si>
  <si>
    <t>389 409</t>
  </si>
  <si>
    <t>431 697</t>
  </si>
  <si>
    <t>49 258</t>
  </si>
  <si>
    <t>220.7</t>
  </si>
  <si>
    <t>27 644 771.6</t>
  </si>
  <si>
    <t>37 069 717.5</t>
  </si>
  <si>
    <t>9 466</t>
  </si>
  <si>
    <t>1 037</t>
  </si>
  <si>
    <t>4 587,8</t>
  </si>
  <si>
    <t>439 819</t>
  </si>
  <si>
    <t>46 005</t>
  </si>
  <si>
    <t>52 056</t>
  </si>
  <si>
    <t>-6 051</t>
  </si>
  <si>
    <t>0.010</t>
  </si>
  <si>
    <t>7 739,85</t>
  </si>
  <si>
    <t>69 990,96</t>
  </si>
  <si>
    <t>70 096,23</t>
  </si>
  <si>
    <t>14 748</t>
  </si>
  <si>
    <t>34 322</t>
  </si>
  <si>
    <t>61 424</t>
  </si>
  <si>
    <t>33 235</t>
  </si>
  <si>
    <t>59 085</t>
  </si>
  <si>
    <t>75 566</t>
  </si>
  <si>
    <t>-2 044</t>
  </si>
  <si>
    <t>10 418</t>
  </si>
  <si>
    <t>21.51</t>
  </si>
  <si>
    <t>8 027 413.7</t>
  </si>
  <si>
    <t>13 560 084.1</t>
  </si>
  <si>
    <t>50 147</t>
  </si>
  <si>
    <t>10 551</t>
  </si>
  <si>
    <t>11 485</t>
  </si>
  <si>
    <t>33 887,78</t>
  </si>
  <si>
    <t>132 850,77</t>
  </si>
  <si>
    <t>146 632,26</t>
  </si>
  <si>
    <t>18 487</t>
  </si>
  <si>
    <t>46 260</t>
  </si>
  <si>
    <t>86 111</t>
  </si>
  <si>
    <t>100 922</t>
  </si>
  <si>
    <t>97 472</t>
  </si>
  <si>
    <t>189 689</t>
  </si>
  <si>
    <t>944 071</t>
  </si>
  <si>
    <t>32 962</t>
  </si>
  <si>
    <t>209 298</t>
  </si>
  <si>
    <t>94.7</t>
  </si>
  <si>
    <t>15 428 876.2</t>
  </si>
  <si>
    <t>18 053 191.1</t>
  </si>
  <si>
    <t>9 767</t>
  </si>
  <si>
    <t>2 318</t>
  </si>
  <si>
    <t>7 302,6</t>
  </si>
  <si>
    <t>257 618</t>
  </si>
  <si>
    <t>42 216</t>
  </si>
  <si>
    <t>35 989</t>
  </si>
  <si>
    <t>6 227</t>
  </si>
  <si>
    <t>31 356,47</t>
  </si>
  <si>
    <t>113 085,33</t>
  </si>
  <si>
    <t>111 996,48</t>
  </si>
  <si>
    <t>19 186</t>
  </si>
  <si>
    <t>49 013</t>
  </si>
  <si>
    <t>103 953</t>
  </si>
  <si>
    <t>104 467</t>
  </si>
  <si>
    <t>86 945</t>
  </si>
  <si>
    <t>117 541</t>
  </si>
  <si>
    <t>4 990</t>
  </si>
  <si>
    <t>21 701</t>
  </si>
  <si>
    <t>175.1</t>
  </si>
  <si>
    <t>5 452 091.3</t>
  </si>
  <si>
    <t>19 917 403.3</t>
  </si>
  <si>
    <t>31 182,3</t>
  </si>
  <si>
    <t>250 118</t>
  </si>
  <si>
    <t>47 660</t>
  </si>
  <si>
    <t>44 212</t>
  </si>
  <si>
    <t>3 448</t>
  </si>
  <si>
    <t>9 318,48</t>
  </si>
  <si>
    <t>130 852,89</t>
  </si>
  <si>
    <t>134 777,01</t>
  </si>
  <si>
    <t>27 966</t>
  </si>
  <si>
    <t>91 186</t>
  </si>
  <si>
    <t>191 085</t>
  </si>
  <si>
    <t>153 328</t>
  </si>
  <si>
    <t>121 365</t>
  </si>
  <si>
    <t>443 696</t>
  </si>
  <si>
    <t>40 239</t>
  </si>
  <si>
    <t>8 783</t>
  </si>
  <si>
    <t>71 508</t>
  </si>
  <si>
    <t>35.7</t>
  </si>
  <si>
    <t>6 826 637.5</t>
  </si>
  <si>
    <t>9 462 789.9</t>
  </si>
  <si>
    <t>17 072</t>
  </si>
  <si>
    <t>1 019,9</t>
  </si>
  <si>
    <t>116 431</t>
  </si>
  <si>
    <t>13 245</t>
  </si>
  <si>
    <t>12 558</t>
  </si>
  <si>
    <t>7 372,95</t>
  </si>
  <si>
    <t>39 901,27</t>
  </si>
  <si>
    <t>41 165,91</t>
  </si>
  <si>
    <t>15 880</t>
  </si>
  <si>
    <t>29 576</t>
  </si>
  <si>
    <t>60 969</t>
  </si>
  <si>
    <t>33 478</t>
  </si>
  <si>
    <t>85 430</t>
  </si>
  <si>
    <t>61 731</t>
  </si>
  <si>
    <t>-6 383</t>
  </si>
  <si>
    <t>5 596</t>
  </si>
  <si>
    <t>40 375</t>
  </si>
  <si>
    <t>12.96</t>
  </si>
  <si>
    <t>1 500 609.6</t>
  </si>
  <si>
    <t>5 795 018.2</t>
  </si>
  <si>
    <t>6 651</t>
  </si>
  <si>
    <t>21 550</t>
  </si>
  <si>
    <t>11 395</t>
  </si>
  <si>
    <t>11 998</t>
  </si>
  <si>
    <t>71 599,29</t>
  </si>
  <si>
    <t>321 860,41</t>
  </si>
  <si>
    <t>342 370,69</t>
  </si>
  <si>
    <t>19 410</t>
  </si>
  <si>
    <t>52 530</t>
  </si>
  <si>
    <t>106 332</t>
  </si>
  <si>
    <t>103 206</t>
  </si>
  <si>
    <t>95 381</t>
  </si>
  <si>
    <t>1 407,10</t>
  </si>
  <si>
    <t>162 127</t>
  </si>
  <si>
    <t>360 293</t>
  </si>
  <si>
    <t>34 245</t>
  </si>
  <si>
    <t>140 612</t>
  </si>
  <si>
    <t>293.4</t>
  </si>
  <si>
    <t>21 452 865.1</t>
  </si>
  <si>
    <t>40 703 727.8</t>
  </si>
  <si>
    <t>9 927</t>
  </si>
  <si>
    <t>1 429</t>
  </si>
  <si>
    <t>1 457</t>
  </si>
  <si>
    <t>12 107,5</t>
  </si>
  <si>
    <t>478 216</t>
  </si>
  <si>
    <t>3 115</t>
  </si>
  <si>
    <t>6 461</t>
  </si>
  <si>
    <t>53 753</t>
  </si>
  <si>
    <t>57 243</t>
  </si>
  <si>
    <t>-3 490</t>
  </si>
  <si>
    <t>0.026</t>
  </si>
  <si>
    <t>26 223,35</t>
  </si>
  <si>
    <t>111 042,99</t>
  </si>
  <si>
    <t>111 966,21</t>
  </si>
  <si>
    <t>19 313</t>
  </si>
  <si>
    <t>39 035</t>
  </si>
  <si>
    <t>76 268</t>
  </si>
  <si>
    <t>103 450</t>
  </si>
  <si>
    <t>73 857</t>
  </si>
  <si>
    <t>93 680</t>
  </si>
  <si>
    <t>37 338</t>
  </si>
  <si>
    <t>26 769</t>
  </si>
  <si>
    <t>126.2</t>
  </si>
  <si>
    <t>7 897 509.3</t>
  </si>
  <si>
    <t>21 513 583.9</t>
  </si>
  <si>
    <t>8 500</t>
  </si>
  <si>
    <t>23 752,8</t>
  </si>
  <si>
    <t>202 134</t>
  </si>
  <si>
    <t>42 456</t>
  </si>
  <si>
    <t>41 979</t>
  </si>
  <si>
    <t>0.005</t>
  </si>
  <si>
    <t>25 859,37</t>
  </si>
  <si>
    <t>63 093,40</t>
  </si>
  <si>
    <t>65 457,75</t>
  </si>
  <si>
    <t>18 548</t>
  </si>
  <si>
    <t>36 171</t>
  </si>
  <si>
    <t>73 943</t>
  </si>
  <si>
    <t>82 223</t>
  </si>
  <si>
    <t>60 561</t>
  </si>
  <si>
    <t>84 171</t>
  </si>
  <si>
    <t>18 604</t>
  </si>
  <si>
    <t>12 886</t>
  </si>
  <si>
    <t>46 943</t>
  </si>
  <si>
    <t>90.4</t>
  </si>
  <si>
    <t>4 148 709.1</t>
  </si>
  <si>
    <t>10 723 711.1</t>
  </si>
  <si>
    <t>10 136</t>
  </si>
  <si>
    <t>1 124</t>
  </si>
  <si>
    <t>3 868,4</t>
  </si>
  <si>
    <t>317 170</t>
  </si>
  <si>
    <t>15 242</t>
  </si>
  <si>
    <t>16 505</t>
  </si>
  <si>
    <t>-1 263</t>
  </si>
  <si>
    <t>117 641,40</t>
  </si>
  <si>
    <t>623 581,70</t>
  </si>
  <si>
    <t>622 714,80</t>
  </si>
  <si>
    <t>17 917</t>
  </si>
  <si>
    <t>44 586</t>
  </si>
  <si>
    <t>86 844</t>
  </si>
  <si>
    <t>134 436</t>
  </si>
  <si>
    <t>180 322</t>
  </si>
  <si>
    <t>1 083</t>
  </si>
  <si>
    <t>1 607,40</t>
  </si>
  <si>
    <t>147 718</t>
  </si>
  <si>
    <t>936 138</t>
  </si>
  <si>
    <t>102 927</t>
  </si>
  <si>
    <t>40 361</t>
  </si>
  <si>
    <t>739.2</t>
  </si>
  <si>
    <t>136 234 868.2</t>
  </si>
  <si>
    <t>133 401 788.4</t>
  </si>
  <si>
    <t>13 737</t>
  </si>
  <si>
    <t>33 826,9</t>
  </si>
  <si>
    <t>1 280 157</t>
  </si>
  <si>
    <t>165 994</t>
  </si>
  <si>
    <t>133 498</t>
  </si>
  <si>
    <t>32 496</t>
  </si>
  <si>
    <t>50 988,59</t>
  </si>
  <si>
    <t>511 056,47</t>
  </si>
  <si>
    <t>491 099,44</t>
  </si>
  <si>
    <t>20 619</t>
  </si>
  <si>
    <t>65 569</t>
  </si>
  <si>
    <t>127 968</t>
  </si>
  <si>
    <t>115 189</t>
  </si>
  <si>
    <t>91 112</t>
  </si>
  <si>
    <t>1 166,10</t>
  </si>
  <si>
    <t>1 896,10</t>
  </si>
  <si>
    <t>325 512</t>
  </si>
  <si>
    <t>1 147 040</t>
  </si>
  <si>
    <t>59 011</t>
  </si>
  <si>
    <t>310.8</t>
  </si>
  <si>
    <t>47 345 710.1</t>
  </si>
  <si>
    <t>60 982 402.8</t>
  </si>
  <si>
    <t>9 491</t>
  </si>
  <si>
    <t>2 489</t>
  </si>
  <si>
    <t>1 843</t>
  </si>
  <si>
    <t>103 905,6</t>
  </si>
  <si>
    <t>557 916</t>
  </si>
  <si>
    <t>129 292</t>
  </si>
  <si>
    <t>119 636</t>
  </si>
  <si>
    <t>9 656</t>
  </si>
  <si>
    <t>18 648,93</t>
  </si>
  <si>
    <t>83 628,78</t>
  </si>
  <si>
    <t>79 611,50</t>
  </si>
  <si>
    <t>18 170</t>
  </si>
  <si>
    <t>41 525</t>
  </si>
  <si>
    <t>88 623</t>
  </si>
  <si>
    <t>75 497</t>
  </si>
  <si>
    <t>66 966</t>
  </si>
  <si>
    <t>94 054</t>
  </si>
  <si>
    <t>31 728</t>
  </si>
  <si>
    <t>11 058</t>
  </si>
  <si>
    <t>82.99</t>
  </si>
  <si>
    <t>4 319 693.6</t>
  </si>
  <si>
    <t>10 841 428.5</t>
  </si>
  <si>
    <t>8 148</t>
  </si>
  <si>
    <t>7 029,6</t>
  </si>
  <si>
    <t>88 217</t>
  </si>
  <si>
    <t>23 816</t>
  </si>
  <si>
    <t>25 977</t>
  </si>
  <si>
    <t>-2 161</t>
  </si>
  <si>
    <t>0.008</t>
  </si>
  <si>
    <t>13 039,08</t>
  </si>
  <si>
    <t>123 017,44</t>
  </si>
  <si>
    <t>131 784,29</t>
  </si>
  <si>
    <t>17 747</t>
  </si>
  <si>
    <t>41 582</t>
  </si>
  <si>
    <t>79 340</t>
  </si>
  <si>
    <t>83 448</t>
  </si>
  <si>
    <t>75 315</t>
  </si>
  <si>
    <t>217 341</t>
  </si>
  <si>
    <t>108 944</t>
  </si>
  <si>
    <t>16 145</t>
  </si>
  <si>
    <t>66 078</t>
  </si>
  <si>
    <t>176.1</t>
  </si>
  <si>
    <t>10 099 241.3</t>
  </si>
  <si>
    <t>17 836 941.6</t>
  </si>
  <si>
    <t>36 368,8</t>
  </si>
  <si>
    <t>189 609</t>
  </si>
  <si>
    <t>30 331</t>
  </si>
  <si>
    <t>28 640</t>
  </si>
  <si>
    <t>9 400,75</t>
  </si>
  <si>
    <t>306 088,01</t>
  </si>
  <si>
    <t>265 048,00</t>
  </si>
  <si>
    <t>58 999</t>
  </si>
  <si>
    <t>104 159</t>
  </si>
  <si>
    <t>158 248</t>
  </si>
  <si>
    <t>124 211</t>
  </si>
  <si>
    <t>1 767,00</t>
  </si>
  <si>
    <t>337 765</t>
  </si>
  <si>
    <t>460 864</t>
  </si>
  <si>
    <t>34 466</t>
  </si>
  <si>
    <t>37 958</t>
  </si>
  <si>
    <t>374.1</t>
  </si>
  <si>
    <t>16 213 837.5</t>
  </si>
  <si>
    <t>48 516 634.5</t>
  </si>
  <si>
    <t>1 820</t>
  </si>
  <si>
    <t>3 403</t>
  </si>
  <si>
    <t>81 918,6</t>
  </si>
  <si>
    <t>248 848</t>
  </si>
  <si>
    <t>92 642</t>
  </si>
  <si>
    <t>69 543</t>
  </si>
  <si>
    <t>23 099</t>
  </si>
  <si>
    <t>15 673,36</t>
  </si>
  <si>
    <t>136 106,45</t>
  </si>
  <si>
    <t>127 628,48</t>
  </si>
  <si>
    <t>18 575</t>
  </si>
  <si>
    <t>42 455</t>
  </si>
  <si>
    <t>83 145</t>
  </si>
  <si>
    <t>81 814</t>
  </si>
  <si>
    <t>92 307</t>
  </si>
  <si>
    <t>1 233,70</t>
  </si>
  <si>
    <t>166 959</t>
  </si>
  <si>
    <t>358 586</t>
  </si>
  <si>
    <t>17 609</t>
  </si>
  <si>
    <t>145.2</t>
  </si>
  <si>
    <t>13 746 920.6</t>
  </si>
  <si>
    <t>21 284 226.7</t>
  </si>
  <si>
    <t>10 610</t>
  </si>
  <si>
    <t>68 970,5</t>
  </si>
  <si>
    <t>210 635</t>
  </si>
  <si>
    <t>22 205</t>
  </si>
  <si>
    <t>23 948</t>
  </si>
  <si>
    <t>-1 743</t>
  </si>
  <si>
    <t>0.029</t>
  </si>
  <si>
    <t>20 183,61</t>
  </si>
  <si>
    <t>63 336,36</t>
  </si>
  <si>
    <t>67 166,35</t>
  </si>
  <si>
    <t>27 883</t>
  </si>
  <si>
    <t>110 666</t>
  </si>
  <si>
    <t>221 088</t>
  </si>
  <si>
    <t>148 459</t>
  </si>
  <si>
    <t>112 062</t>
  </si>
  <si>
    <t>725 764</t>
  </si>
  <si>
    <t>76 489</t>
  </si>
  <si>
    <t>3 786</t>
  </si>
  <si>
    <t>22.17</t>
  </si>
  <si>
    <t>1 584 905.3</t>
  </si>
  <si>
    <t>5 375 631.5</t>
  </si>
  <si>
    <t>15 697</t>
  </si>
  <si>
    <t>в 5,0 р.</t>
  </si>
  <si>
    <t>80 731</t>
  </si>
  <si>
    <t>6 498</t>
  </si>
  <si>
    <t>6 910</t>
  </si>
  <si>
    <t>283 341,22</t>
  </si>
  <si>
    <t>1 247 540,94</t>
  </si>
  <si>
    <t>1 237 650,07</t>
  </si>
  <si>
    <t>20 505</t>
  </si>
  <si>
    <t>75 023</t>
  </si>
  <si>
    <t>127 612</t>
  </si>
  <si>
    <t>191 499</t>
  </si>
  <si>
    <t>117 842</t>
  </si>
  <si>
    <t>1 739</t>
  </si>
  <si>
    <t>5 275,20</t>
  </si>
  <si>
    <t>184 834</t>
  </si>
  <si>
    <t>1 707 059</t>
  </si>
  <si>
    <t>192 755</t>
  </si>
  <si>
    <t>1 889.6</t>
  </si>
  <si>
    <t>83 610 818.5</t>
  </si>
  <si>
    <t>255 258 404.8</t>
  </si>
  <si>
    <t>4 350</t>
  </si>
  <si>
    <t>657 305,5</t>
  </si>
  <si>
    <t>2 236 823</t>
  </si>
  <si>
    <t>340 889</t>
  </si>
  <si>
    <t>259 584</t>
  </si>
  <si>
    <t>81 305</t>
  </si>
  <si>
    <t>0.011</t>
  </si>
  <si>
    <t>22 329,75</t>
  </si>
  <si>
    <t>151 464,60</t>
  </si>
  <si>
    <t>152 501,52</t>
  </si>
  <si>
    <t>25 637</t>
  </si>
  <si>
    <t>82 782</t>
  </si>
  <si>
    <t>148 601</t>
  </si>
  <si>
    <t>96 845</t>
  </si>
  <si>
    <t>405 950</t>
  </si>
  <si>
    <t>297 051</t>
  </si>
  <si>
    <t>13 623</t>
  </si>
  <si>
    <t>141.1</t>
  </si>
  <si>
    <t>10 602 900.4</t>
  </si>
  <si>
    <t>23 370 369.5</t>
  </si>
  <si>
    <t>13 073</t>
  </si>
  <si>
    <t>1 586</t>
  </si>
  <si>
    <t>54 153,1</t>
  </si>
  <si>
    <t>236 513</t>
  </si>
  <si>
    <t>29 097</t>
  </si>
  <si>
    <t>28 433</t>
  </si>
  <si>
    <t>29 235,17</t>
  </si>
  <si>
    <t>30 030,04</t>
  </si>
  <si>
    <t>28 973</t>
  </si>
  <si>
    <t>99 658</t>
  </si>
  <si>
    <t>217 006</t>
  </si>
  <si>
    <t>93 223</t>
  </si>
  <si>
    <t>102 071</t>
  </si>
  <si>
    <t>2 063 216</t>
  </si>
  <si>
    <t>9 514</t>
  </si>
  <si>
    <t>244 000</t>
  </si>
  <si>
    <t>6.76</t>
  </si>
  <si>
    <t>635 043.6</t>
  </si>
  <si>
    <t>973 720.2</t>
  </si>
  <si>
    <t>4 753</t>
  </si>
  <si>
    <t>20 376</t>
  </si>
  <si>
    <t>2 844</t>
  </si>
  <si>
    <t>2 073</t>
  </si>
  <si>
    <t>155 215,99</t>
  </si>
  <si>
    <t>396 803,97</t>
  </si>
  <si>
    <t>405 244,25</t>
  </si>
  <si>
    <t>19 217</t>
  </si>
  <si>
    <t>47 219</t>
  </si>
  <si>
    <t>89 401</t>
  </si>
  <si>
    <t>140 245</t>
  </si>
  <si>
    <t>122 285</t>
  </si>
  <si>
    <t>1 935,50</t>
  </si>
  <si>
    <t>223 677</t>
  </si>
  <si>
    <t>557 444</t>
  </si>
  <si>
    <t>70 118</t>
  </si>
  <si>
    <t>39 917</t>
  </si>
  <si>
    <t>464.04</t>
  </si>
  <si>
    <t>23 189 423.4</t>
  </si>
  <si>
    <t>71 827 732.2</t>
  </si>
  <si>
    <t>9 350</t>
  </si>
  <si>
    <t>406 091,9</t>
  </si>
  <si>
    <t>833 170</t>
  </si>
  <si>
    <t>57 234</t>
  </si>
  <si>
    <t>57 082</t>
  </si>
  <si>
    <t>20 577,00</t>
  </si>
  <si>
    <t>77 528,09</t>
  </si>
  <si>
    <t>78 895,04</t>
  </si>
  <si>
    <t>19 299</t>
  </si>
  <si>
    <t>43 511</t>
  </si>
  <si>
    <t>87 763</t>
  </si>
  <si>
    <t>73 839</t>
  </si>
  <si>
    <t>71 198</t>
  </si>
  <si>
    <t>131 681</t>
  </si>
  <si>
    <t>65 900</t>
  </si>
  <si>
    <t>10 738</t>
  </si>
  <si>
    <t>90.2</t>
  </si>
  <si>
    <t>4 432 073.8</t>
  </si>
  <si>
    <t>11 154 165.9</t>
  </si>
  <si>
    <t>8 362</t>
  </si>
  <si>
    <t>2 200</t>
  </si>
  <si>
    <t>14 190,6</t>
  </si>
  <si>
    <t>100 087</t>
  </si>
  <si>
    <t>19 468</t>
  </si>
  <si>
    <t>18 685</t>
  </si>
  <si>
    <t>68 054,92</t>
  </si>
  <si>
    <t>325 640,63</t>
  </si>
  <si>
    <t>342 541,96</t>
  </si>
  <si>
    <t>18 976</t>
  </si>
  <si>
    <t>53 463</t>
  </si>
  <si>
    <t>109 723</t>
  </si>
  <si>
    <t>120 304</t>
  </si>
  <si>
    <t>103 190</t>
  </si>
  <si>
    <t>136 455</t>
  </si>
  <si>
    <t>291 160</t>
  </si>
  <si>
    <t>86 952</t>
  </si>
  <si>
    <t>72 500</t>
  </si>
  <si>
    <t>330.9</t>
  </si>
  <si>
    <t>37 910 497.4</t>
  </si>
  <si>
    <t>48 350 120.7</t>
  </si>
  <si>
    <t>11 143</t>
  </si>
  <si>
    <t>84 246,3</t>
  </si>
  <si>
    <t>679 533</t>
  </si>
  <si>
    <t>69 910</t>
  </si>
  <si>
    <t>4 959</t>
  </si>
  <si>
    <t>68 404,56</t>
  </si>
  <si>
    <t>171 720,21</t>
  </si>
  <si>
    <t>181 597,02</t>
  </si>
  <si>
    <t>18 220</t>
  </si>
  <si>
    <t>43 463</t>
  </si>
  <si>
    <t>83 477</t>
  </si>
  <si>
    <t>105 812</t>
  </si>
  <si>
    <t>94 627</t>
  </si>
  <si>
    <t>113 942</t>
  </si>
  <si>
    <t>94 434</t>
  </si>
  <si>
    <t>35 038</t>
  </si>
  <si>
    <t>175.5</t>
  </si>
  <si>
    <t>15 673 318.6</t>
  </si>
  <si>
    <t>32 332 198.5</t>
  </si>
  <si>
    <t>8 151</t>
  </si>
  <si>
    <t>75 959,6</t>
  </si>
  <si>
    <t>300 086</t>
  </si>
  <si>
    <t>36 585</t>
  </si>
  <si>
    <t>41 730</t>
  </si>
  <si>
    <t>-5 145</t>
  </si>
  <si>
    <t>23 034,34</t>
  </si>
  <si>
    <t>176 090,52</t>
  </si>
  <si>
    <t>173 666,55</t>
  </si>
  <si>
    <t>17 902</t>
  </si>
  <si>
    <t>43 839</t>
  </si>
  <si>
    <t>85 719</t>
  </si>
  <si>
    <t>71 917</t>
  </si>
  <si>
    <t>65 506</t>
  </si>
  <si>
    <t>159 895</t>
  </si>
  <si>
    <t>156 714</t>
  </si>
  <si>
    <t>26 974</t>
  </si>
  <si>
    <t>208.3</t>
  </si>
  <si>
    <t>18 060 134</t>
  </si>
  <si>
    <t>33 286 760.2</t>
  </si>
  <si>
    <t>8 928</t>
  </si>
  <si>
    <t>147 043,5</t>
  </si>
  <si>
    <t>289 898</t>
  </si>
  <si>
    <t>41 441</t>
  </si>
  <si>
    <t>45 046</t>
  </si>
  <si>
    <t>-3 605</t>
  </si>
  <si>
    <t>23 848,44</t>
  </si>
  <si>
    <t>65 516,91</t>
  </si>
  <si>
    <t>67 927,24</t>
  </si>
  <si>
    <t>18 755</t>
  </si>
  <si>
    <t>42 466</t>
  </si>
  <si>
    <t>76 439</t>
  </si>
  <si>
    <t>84 796</t>
  </si>
  <si>
    <t>66 242</t>
  </si>
  <si>
    <t>83 807</t>
  </si>
  <si>
    <t>58 286</t>
  </si>
  <si>
    <t>11 541</t>
  </si>
  <si>
    <t>99.98</t>
  </si>
  <si>
    <t>4 527 264.1</t>
  </si>
  <si>
    <t>12 374 138.2</t>
  </si>
  <si>
    <t>9 007</t>
  </si>
  <si>
    <t>3 881,2</t>
  </si>
  <si>
    <t>122 966</t>
  </si>
  <si>
    <t>12 088</t>
  </si>
  <si>
    <t>13 558</t>
  </si>
  <si>
    <t>-1 470</t>
  </si>
  <si>
    <t>27 382,90</t>
  </si>
  <si>
    <t>102 996,57</t>
  </si>
  <si>
    <t>104 356,59</t>
  </si>
  <si>
    <t>17 820</t>
  </si>
  <si>
    <t>38 797</t>
  </si>
  <si>
    <t>76 746</t>
  </si>
  <si>
    <t>96 037</t>
  </si>
  <si>
    <t>61 818</t>
  </si>
  <si>
    <t>59 520</t>
  </si>
  <si>
    <t>20 836</t>
  </si>
  <si>
    <t>153.6</t>
  </si>
  <si>
    <t>8 894 297.8</t>
  </si>
  <si>
    <t>22 127 336.7</t>
  </si>
  <si>
    <t>9 442</t>
  </si>
  <si>
    <t>29 470,6</t>
  </si>
  <si>
    <t>195 888</t>
  </si>
  <si>
    <t>23 880</t>
  </si>
  <si>
    <t>24 206</t>
  </si>
  <si>
    <t>27 657,16</t>
  </si>
  <si>
    <t>291 196,16</t>
  </si>
  <si>
    <t>292 370,65</t>
  </si>
  <si>
    <t>19 530</t>
  </si>
  <si>
    <t>48 416</t>
  </si>
  <si>
    <t>90 837</t>
  </si>
  <si>
    <t>111 648</t>
  </si>
  <si>
    <t>96 908</t>
  </si>
  <si>
    <t>1 385,90</t>
  </si>
  <si>
    <t>192 425</t>
  </si>
  <si>
    <t>320 610</t>
  </si>
  <si>
    <t>50 796</t>
  </si>
  <si>
    <t>372.01</t>
  </si>
  <si>
    <t>32 985 186.1</t>
  </si>
  <si>
    <t>44 652 137.4</t>
  </si>
  <si>
    <t>10 233</t>
  </si>
  <si>
    <t>186 460,6</t>
  </si>
  <si>
    <t>486 393</t>
  </si>
  <si>
    <t>61 608</t>
  </si>
  <si>
    <t>63 835</t>
  </si>
  <si>
    <t>-2 227</t>
  </si>
  <si>
    <t>19 661,45</t>
  </si>
  <si>
    <t>257 455,25</t>
  </si>
  <si>
    <t>255 201,41</t>
  </si>
  <si>
    <t>19 684</t>
  </si>
  <si>
    <t>64 079</t>
  </si>
  <si>
    <t>121 439</t>
  </si>
  <si>
    <t>159 838</t>
  </si>
  <si>
    <t>135 633</t>
  </si>
  <si>
    <t>220 922</t>
  </si>
  <si>
    <t>708 226</t>
  </si>
  <si>
    <t>51 433</t>
  </si>
  <si>
    <t>26 094</t>
  </si>
  <si>
    <t>198.8</t>
  </si>
  <si>
    <t>34 864 125.1</t>
  </si>
  <si>
    <t>45 475 454.3</t>
  </si>
  <si>
    <t>10 798</t>
  </si>
  <si>
    <t>35 429,1</t>
  </si>
  <si>
    <t>482 933</t>
  </si>
  <si>
    <t>60 136</t>
  </si>
  <si>
    <t>63 994</t>
  </si>
  <si>
    <t>-3 858</t>
  </si>
  <si>
    <t>20 769,05</t>
  </si>
  <si>
    <t>70 216,52</t>
  </si>
  <si>
    <t>70 636,10</t>
  </si>
  <si>
    <t>18 479</t>
  </si>
  <si>
    <t>35 746</t>
  </si>
  <si>
    <t>75 312</t>
  </si>
  <si>
    <t>66 961</t>
  </si>
  <si>
    <t>77 662</t>
  </si>
  <si>
    <t>81 445</t>
  </si>
  <si>
    <t>29 718</t>
  </si>
  <si>
    <t>11 005</t>
  </si>
  <si>
    <t>97.5</t>
  </si>
  <si>
    <t>5 081 198</t>
  </si>
  <si>
    <t>10 015 384.8</t>
  </si>
  <si>
    <t>7 801</t>
  </si>
  <si>
    <t>3 211</t>
  </si>
  <si>
    <t>2 950,2</t>
  </si>
  <si>
    <t>96 505</t>
  </si>
  <si>
    <t>21 804</t>
  </si>
  <si>
    <t>22 605</t>
  </si>
  <si>
    <t>6 172,49</t>
  </si>
  <si>
    <t>54 820,74</t>
  </si>
  <si>
    <t>58 635,95</t>
  </si>
  <si>
    <t>16 792</t>
  </si>
  <si>
    <t>38 342</t>
  </si>
  <si>
    <t>77 033</t>
  </si>
  <si>
    <t>100 126</t>
  </si>
  <si>
    <t>82 771</t>
  </si>
  <si>
    <t>123 466</t>
  </si>
  <si>
    <t>5 934</t>
  </si>
  <si>
    <t>366 000</t>
  </si>
  <si>
    <t>37.9</t>
  </si>
  <si>
    <t>1 610 798.7</t>
  </si>
  <si>
    <t>7 071 147</t>
  </si>
  <si>
    <t>6 684</t>
  </si>
  <si>
    <t>5 886,6</t>
  </si>
  <si>
    <t>33 839</t>
  </si>
  <si>
    <t>20 444</t>
  </si>
  <si>
    <t>16 919</t>
  </si>
  <si>
    <t>3 525</t>
  </si>
  <si>
    <t>0.009</t>
  </si>
  <si>
    <t>3 402,27</t>
  </si>
  <si>
    <t>37 732,92</t>
  </si>
  <si>
    <t>38 904,90</t>
  </si>
  <si>
    <t>16 992</t>
  </si>
  <si>
    <t>40 870</t>
  </si>
  <si>
    <t>87 815</t>
  </si>
  <si>
    <t>133 287</t>
  </si>
  <si>
    <t>129 267</t>
  </si>
  <si>
    <t>231 177</t>
  </si>
  <si>
    <t>4 544</t>
  </si>
  <si>
    <t>18.62</t>
  </si>
  <si>
    <t>952 226.5</t>
  </si>
  <si>
    <t>2 283 104.6</t>
  </si>
  <si>
    <t>6 709</t>
  </si>
  <si>
    <t>17 734</t>
  </si>
  <si>
    <t>10 570</t>
  </si>
  <si>
    <t>11 009</t>
  </si>
  <si>
    <t>58 765,10</t>
  </si>
  <si>
    <t>338 781,34</t>
  </si>
  <si>
    <t>355 509,68</t>
  </si>
  <si>
    <t>18 862</t>
  </si>
  <si>
    <t>43 408</t>
  </si>
  <si>
    <t>87 047</t>
  </si>
  <si>
    <t>122 292</t>
  </si>
  <si>
    <t>96 723</t>
  </si>
  <si>
    <t>1 748,90</t>
  </si>
  <si>
    <t>152 301</t>
  </si>
  <si>
    <t>425 856</t>
  </si>
  <si>
    <t>239.6</t>
  </si>
  <si>
    <t>30 500 715</t>
  </si>
  <si>
    <t>67 793 619</t>
  </si>
  <si>
    <t>9 844</t>
  </si>
  <si>
    <t>215 342,0</t>
  </si>
  <si>
    <t>580 505</t>
  </si>
  <si>
    <t>136 500</t>
  </si>
  <si>
    <t>137 426</t>
  </si>
  <si>
    <t>34 997,83</t>
  </si>
  <si>
    <t>132 326,43</t>
  </si>
  <si>
    <t>141 046,30</t>
  </si>
  <si>
    <t>18 162</t>
  </si>
  <si>
    <t>49 906</t>
  </si>
  <si>
    <t>94 952</t>
  </si>
  <si>
    <t>88 835</t>
  </si>
  <si>
    <t>100 049</t>
  </si>
  <si>
    <t>169 798</t>
  </si>
  <si>
    <t>52 294</t>
  </si>
  <si>
    <t>18 173</t>
  </si>
  <si>
    <t>41 140</t>
  </si>
  <si>
    <t>55.9</t>
  </si>
  <si>
    <t>8 692 006.4</t>
  </si>
  <si>
    <t>13 024 044.8</t>
  </si>
  <si>
    <t>1 048,0</t>
  </si>
  <si>
    <t>93 269</t>
  </si>
  <si>
    <t>3 538</t>
  </si>
  <si>
    <t>38 398</t>
  </si>
  <si>
    <t>39 840</t>
  </si>
  <si>
    <t>-1 442</t>
  </si>
  <si>
    <t>26 945,29</t>
  </si>
  <si>
    <t>193 829,64</t>
  </si>
  <si>
    <t>205 520,77</t>
  </si>
  <si>
    <t>14 380</t>
  </si>
  <si>
    <t>33 500</t>
  </si>
  <si>
    <t>63 434</t>
  </si>
  <si>
    <t>67 079</t>
  </si>
  <si>
    <t>86 275</t>
  </si>
  <si>
    <t>108 853</t>
  </si>
  <si>
    <t>-11 989</t>
  </si>
  <si>
    <t>29 136</t>
  </si>
  <si>
    <t>57 402</t>
  </si>
  <si>
    <t>36 452 733.5</t>
  </si>
  <si>
    <t>30 643 639.7</t>
  </si>
  <si>
    <t>6 459</t>
  </si>
  <si>
    <t>114 947</t>
  </si>
  <si>
    <t>40 413</t>
  </si>
  <si>
    <t>45 724</t>
  </si>
  <si>
    <t>-5 311</t>
  </si>
  <si>
    <t>2 956,52</t>
  </si>
  <si>
    <t>40 069,81</t>
  </si>
  <si>
    <t>41 717,60</t>
  </si>
  <si>
    <t>15 868</t>
  </si>
  <si>
    <t>25 959</t>
  </si>
  <si>
    <t>53 739</t>
  </si>
  <si>
    <t>48 905</t>
  </si>
  <si>
    <t>50 811</t>
  </si>
  <si>
    <t>44 397</t>
  </si>
  <si>
    <t>-1 889</t>
  </si>
  <si>
    <t>5 373</t>
  </si>
  <si>
    <t>86 008</t>
  </si>
  <si>
    <t>1.016</t>
  </si>
  <si>
    <t>2 606 455</t>
  </si>
  <si>
    <t>3 392 356.8</t>
  </si>
  <si>
    <t>8 498</t>
  </si>
  <si>
    <t>7 763</t>
  </si>
  <si>
    <t>5 838</t>
  </si>
  <si>
    <t>1 925</t>
  </si>
  <si>
    <t>8 730,20</t>
  </si>
  <si>
    <t>30 557,34</t>
  </si>
  <si>
    <t>30 772,53</t>
  </si>
  <si>
    <t>16 169</t>
  </si>
  <si>
    <t>35 090</t>
  </si>
  <si>
    <t>63 789</t>
  </si>
  <si>
    <t>62 752</t>
  </si>
  <si>
    <t>68 342</t>
  </si>
  <si>
    <t>52 062</t>
  </si>
  <si>
    <t>4 687</t>
  </si>
  <si>
    <t>90 082</t>
  </si>
  <si>
    <t>11.895</t>
  </si>
  <si>
    <t>825 161.7</t>
  </si>
  <si>
    <t>2 876 057.9</t>
  </si>
  <si>
    <t>13 940</t>
  </si>
  <si>
    <t>11 527</t>
  </si>
  <si>
    <t>2 413</t>
  </si>
  <si>
    <t>32 664,54</t>
  </si>
  <si>
    <t>87 564,54</t>
  </si>
  <si>
    <t>91 733,31</t>
  </si>
  <si>
    <t>23 817</t>
  </si>
  <si>
    <t>52 431</t>
  </si>
  <si>
    <t>105 193</t>
  </si>
  <si>
    <t>125 277</t>
  </si>
  <si>
    <t>89 171</t>
  </si>
  <si>
    <t>197 024</t>
  </si>
  <si>
    <t>35 405</t>
  </si>
  <si>
    <t>91.6</t>
  </si>
  <si>
    <t>6 229 689.7</t>
  </si>
  <si>
    <t>13 281 375.1</t>
  </si>
  <si>
    <t>11 288</t>
  </si>
  <si>
    <t>1 311</t>
  </si>
  <si>
    <t>3 824,8</t>
  </si>
  <si>
    <t>122 694</t>
  </si>
  <si>
    <t>15 683</t>
  </si>
  <si>
    <t>15 268</t>
  </si>
  <si>
    <t>30 357,75</t>
  </si>
  <si>
    <t>131 170,36</t>
  </si>
  <si>
    <t>135 258,67</t>
  </si>
  <si>
    <t>24 395</t>
  </si>
  <si>
    <t>61 950</t>
  </si>
  <si>
    <t>123 945</t>
  </si>
  <si>
    <t>106 771</t>
  </si>
  <si>
    <t>89 833</t>
  </si>
  <si>
    <t>177 728</t>
  </si>
  <si>
    <t>51 572</t>
  </si>
  <si>
    <t>12 977</t>
  </si>
  <si>
    <t>0.402</t>
  </si>
  <si>
    <t>6 474 305.4</t>
  </si>
  <si>
    <t>19 866 408.2</t>
  </si>
  <si>
    <t>10 324</t>
  </si>
  <si>
    <t>34 506,8</t>
  </si>
  <si>
    <t>175 337</t>
  </si>
  <si>
    <t>25 490</t>
  </si>
  <si>
    <t>27 909</t>
  </si>
  <si>
    <t>-2 419</t>
  </si>
  <si>
    <t>0.028</t>
  </si>
  <si>
    <t>13 266,98</t>
  </si>
  <si>
    <t>322 048,03</t>
  </si>
  <si>
    <t>321 784,30</t>
  </si>
  <si>
    <t>16 868</t>
  </si>
  <si>
    <t>35 162</t>
  </si>
  <si>
    <t>76 164</t>
  </si>
  <si>
    <t>122 523</t>
  </si>
  <si>
    <t>125 486</t>
  </si>
  <si>
    <t>141 814</t>
  </si>
  <si>
    <t>2 784</t>
  </si>
  <si>
    <t>31 025</t>
  </si>
  <si>
    <t>127 529</t>
  </si>
  <si>
    <t>338.3</t>
  </si>
  <si>
    <t>10 017 991.7</t>
  </si>
  <si>
    <t>28 485 132.3</t>
  </si>
  <si>
    <t>5 075</t>
  </si>
  <si>
    <t>3 076</t>
  </si>
  <si>
    <t>2 873,7</t>
  </si>
  <si>
    <t>177 527</t>
  </si>
  <si>
    <t>1 537</t>
  </si>
  <si>
    <t>2 219</t>
  </si>
  <si>
    <t>46 983</t>
  </si>
  <si>
    <t>3 327</t>
  </si>
  <si>
    <t>12 349,98</t>
  </si>
  <si>
    <t>63 615,60</t>
  </si>
  <si>
    <t>64 475,72</t>
  </si>
  <si>
    <t>17 566</t>
  </si>
  <si>
    <t>38 338</t>
  </si>
  <si>
    <t>76 232</t>
  </si>
  <si>
    <t>80 465</t>
  </si>
  <si>
    <t>68 708</t>
  </si>
  <si>
    <t>77 827</t>
  </si>
  <si>
    <t>38 808</t>
  </si>
  <si>
    <t>64.9</t>
  </si>
  <si>
    <t>1 729 880.2</t>
  </si>
  <si>
    <t>10 075 638.2</t>
  </si>
  <si>
    <t>7 291</t>
  </si>
  <si>
    <t>20 537,1</t>
  </si>
  <si>
    <t>100 335</t>
  </si>
  <si>
    <t>19 774</t>
  </si>
  <si>
    <t>19 246</t>
  </si>
  <si>
    <t>33 708,43</t>
  </si>
  <si>
    <t>70 231,45</t>
  </si>
  <si>
    <t>70 250,97</t>
  </si>
  <si>
    <t>31 888</t>
  </si>
  <si>
    <t>63 073</t>
  </si>
  <si>
    <t>76 322</t>
  </si>
  <si>
    <t>73 067</t>
  </si>
  <si>
    <t>96 397</t>
  </si>
  <si>
    <t>58 994</t>
  </si>
  <si>
    <t>11 307</t>
  </si>
  <si>
    <t>72.5</t>
  </si>
  <si>
    <t>3 480 814</t>
  </si>
  <si>
    <t>10 712 184.6</t>
  </si>
  <si>
    <t>6 335</t>
  </si>
  <si>
    <t>110 837,0</t>
  </si>
  <si>
    <t>101 183</t>
  </si>
  <si>
    <t>21 126</t>
  </si>
  <si>
    <t>20 981</t>
  </si>
  <si>
    <t>52 354,11</t>
  </si>
  <si>
    <t>389 273,36</t>
  </si>
  <si>
    <t>391 705,70</t>
  </si>
  <si>
    <t>25 005</t>
  </si>
  <si>
    <t>87 525</t>
  </si>
  <si>
    <t>137 721</t>
  </si>
  <si>
    <t>124 188</t>
  </si>
  <si>
    <t>1 821,50</t>
  </si>
  <si>
    <t>739 741</t>
  </si>
  <si>
    <t>355 773</t>
  </si>
  <si>
    <t>21 828</t>
  </si>
  <si>
    <t>45.4</t>
  </si>
  <si>
    <t>32 224 913.9</t>
  </si>
  <si>
    <t>20 093 049.6</t>
  </si>
  <si>
    <t>14 435</t>
  </si>
  <si>
    <t>1 856,8</t>
  </si>
  <si>
    <t>178 825</t>
  </si>
  <si>
    <t>54 069</t>
  </si>
  <si>
    <t>53 316</t>
  </si>
  <si>
    <t>11 011,44</t>
  </si>
  <si>
    <t>58 910,38</t>
  </si>
  <si>
    <t>61 627,86</t>
  </si>
  <si>
    <t>16 621</t>
  </si>
  <si>
    <t>30 991</t>
  </si>
  <si>
    <t>58 326</t>
  </si>
  <si>
    <t>65 278</t>
  </si>
  <si>
    <t>72 897</t>
  </si>
  <si>
    <t>63 987</t>
  </si>
  <si>
    <t>8 849</t>
  </si>
  <si>
    <t>23.409</t>
  </si>
  <si>
    <t>5 507 494</t>
  </si>
  <si>
    <t>9 544 020.2</t>
  </si>
  <si>
    <t>57 298</t>
  </si>
  <si>
    <t>10 055</t>
  </si>
  <si>
    <t>-2 372</t>
  </si>
  <si>
    <t>125 725,00</t>
  </si>
  <si>
    <t>565 706,36</t>
  </si>
  <si>
    <t>589 423,93</t>
  </si>
  <si>
    <t>19 138</t>
  </si>
  <si>
    <t>51 191</t>
  </si>
  <si>
    <t>101 757</t>
  </si>
  <si>
    <t>138 328</t>
  </si>
  <si>
    <t>132 248</t>
  </si>
  <si>
    <t>1 159,70</t>
  </si>
  <si>
    <t>3 509,70</t>
  </si>
  <si>
    <t>294 941</t>
  </si>
  <si>
    <t>1 320 174</t>
  </si>
  <si>
    <t>99 382</t>
  </si>
  <si>
    <t>331.9</t>
  </si>
  <si>
    <t>69 920 283.2</t>
  </si>
  <si>
    <t>76 103 773.8</t>
  </si>
  <si>
    <t>8 068</t>
  </si>
  <si>
    <t>1 126 201,7</t>
  </si>
  <si>
    <t>1 413 490</t>
  </si>
  <si>
    <t>3 070</t>
  </si>
  <si>
    <t>86 594</t>
  </si>
  <si>
    <t>78 509</t>
  </si>
  <si>
    <t>8 085</t>
  </si>
  <si>
    <t>5 302,70</t>
  </si>
  <si>
    <t>60 770,00</t>
  </si>
  <si>
    <t>62 326,14</t>
  </si>
  <si>
    <t>18 000</t>
  </si>
  <si>
    <t>46 337</t>
  </si>
  <si>
    <t>90 357</t>
  </si>
  <si>
    <t>117 904</t>
  </si>
  <si>
    <t>120 092</t>
  </si>
  <si>
    <t>75 191</t>
  </si>
  <si>
    <t>6 091</t>
  </si>
  <si>
    <t>9.93</t>
  </si>
  <si>
    <t>2 431 620.3</t>
  </si>
  <si>
    <t>3 046 682.1</t>
  </si>
  <si>
    <t>4 840</t>
  </si>
  <si>
    <t>15 052</t>
  </si>
  <si>
    <t>9 954</t>
  </si>
  <si>
    <t>12 446</t>
  </si>
  <si>
    <t>0.038</t>
  </si>
  <si>
    <t>25 193,09</t>
  </si>
  <si>
    <t>57 833,43</t>
  </si>
  <si>
    <t>64 401,99</t>
  </si>
  <si>
    <t>19 113</t>
  </si>
  <si>
    <t>50 246</t>
  </si>
  <si>
    <t>93 470</t>
  </si>
  <si>
    <t>92 936</t>
  </si>
  <si>
    <t>82 768</t>
  </si>
  <si>
    <t>113 120</t>
  </si>
  <si>
    <t>28 730</t>
  </si>
  <si>
    <t>7 822</t>
  </si>
  <si>
    <t>50.5</t>
  </si>
  <si>
    <t>2 338 166.6</t>
  </si>
  <si>
    <t>7 667 034.7</t>
  </si>
  <si>
    <t>9 354</t>
  </si>
  <si>
    <t>4 183,8</t>
  </si>
  <si>
    <t>57 592</t>
  </si>
  <si>
    <t>19 935</t>
  </si>
  <si>
    <t>20 067</t>
  </si>
  <si>
    <t>0.042</t>
  </si>
  <si>
    <t>44 808,13</t>
  </si>
  <si>
    <t>401 777,84</t>
  </si>
  <si>
    <t>391 620,54</t>
  </si>
  <si>
    <t>17 587</t>
  </si>
  <si>
    <t>40 951</t>
  </si>
  <si>
    <t>79 878</t>
  </si>
  <si>
    <t>108 108</t>
  </si>
  <si>
    <t>1 494,60</t>
  </si>
  <si>
    <t>154 793</t>
  </si>
  <si>
    <t>311 222</t>
  </si>
  <si>
    <t>65 600</t>
  </si>
  <si>
    <t>692.5</t>
  </si>
  <si>
    <t>53 292 635.5</t>
  </si>
  <si>
    <t>73 565 585.8</t>
  </si>
  <si>
    <t>9 502</t>
  </si>
  <si>
    <t>181 793,2</t>
  </si>
  <si>
    <t>772 697</t>
  </si>
  <si>
    <t>112 510</t>
  </si>
  <si>
    <t>102 598</t>
  </si>
  <si>
    <t>26 935,38</t>
  </si>
  <si>
    <t>115 699,50</t>
  </si>
  <si>
    <t>116 763,70</t>
  </si>
  <si>
    <t>18 555</t>
  </si>
  <si>
    <t>41 685</t>
  </si>
  <si>
    <t>83 374</t>
  </si>
  <si>
    <t>99 512</t>
  </si>
  <si>
    <t>79 222</t>
  </si>
  <si>
    <t>93 317</t>
  </si>
  <si>
    <t>78 787</t>
  </si>
  <si>
    <t>22 503</t>
  </si>
  <si>
    <t>94 444</t>
  </si>
  <si>
    <t>177.96</t>
  </si>
  <si>
    <t>4 644 792.9</t>
  </si>
  <si>
    <t>24 157 572.8</t>
  </si>
  <si>
    <t>10 424</t>
  </si>
  <si>
    <t>23 197,1</t>
  </si>
  <si>
    <t>228 581</t>
  </si>
  <si>
    <t>31 844</t>
  </si>
  <si>
    <t>28 944</t>
  </si>
  <si>
    <t>2 900</t>
  </si>
  <si>
    <t>65 674,18</t>
  </si>
  <si>
    <t>336 659,66</t>
  </si>
  <si>
    <t>326 255,45</t>
  </si>
  <si>
    <t>19 208</t>
  </si>
  <si>
    <t>45 303</t>
  </si>
  <si>
    <t>88 885</t>
  </si>
  <si>
    <t>108 742</t>
  </si>
  <si>
    <t>89 535</t>
  </si>
  <si>
    <t>1 572,40</t>
  </si>
  <si>
    <t>164 761</t>
  </si>
  <si>
    <t>505 525</t>
  </si>
  <si>
    <t>73 112</t>
  </si>
  <si>
    <t>435.8</t>
  </si>
  <si>
    <t>30 543 065.4</t>
  </si>
  <si>
    <t>67 993 775.2</t>
  </si>
  <si>
    <t>8 970</t>
  </si>
  <si>
    <t>335 142,8</t>
  </si>
  <si>
    <t>760 483</t>
  </si>
  <si>
    <t>63 938</t>
  </si>
  <si>
    <t>60 476</t>
  </si>
  <si>
    <t>3 462</t>
  </si>
  <si>
    <t>88 092,34</t>
  </si>
  <si>
    <t>1 149 928,66</t>
  </si>
  <si>
    <t>1 176 402,51</t>
  </si>
  <si>
    <t>20 854</t>
  </si>
  <si>
    <t>79 094</t>
  </si>
  <si>
    <t>157 974</t>
  </si>
  <si>
    <t>222 717</t>
  </si>
  <si>
    <t>178 340</t>
  </si>
  <si>
    <t>1 218</t>
  </si>
  <si>
    <t>5 340,60</t>
  </si>
  <si>
    <t>213 541</t>
  </si>
  <si>
    <t>2 888 158</t>
  </si>
  <si>
    <t>209 344</t>
  </si>
  <si>
    <t>97 057</t>
  </si>
  <si>
    <t>788.5</t>
  </si>
  <si>
    <t>179 057 054.5</t>
  </si>
  <si>
    <t>126 884 080.3</t>
  </si>
  <si>
    <t>18 639</t>
  </si>
  <si>
    <t>4 987</t>
  </si>
  <si>
    <t>499 661,7</t>
  </si>
  <si>
    <t>3 799 516</t>
  </si>
  <si>
    <t>3 018</t>
  </si>
  <si>
    <t>4 136</t>
  </si>
  <si>
    <t>2 332</t>
  </si>
  <si>
    <t>176 576</t>
  </si>
  <si>
    <t>166 791</t>
  </si>
  <si>
    <t>9 785</t>
  </si>
  <si>
    <t>62 515,48</t>
  </si>
  <si>
    <t>203 372,13</t>
  </si>
  <si>
    <t>206 119,14</t>
  </si>
  <si>
    <t>17 726</t>
  </si>
  <si>
    <t>43 163</t>
  </si>
  <si>
    <t>76 173</t>
  </si>
  <si>
    <t>80 203</t>
  </si>
  <si>
    <t>76 761</t>
  </si>
  <si>
    <t>119 638</t>
  </si>
  <si>
    <t>95 466</t>
  </si>
  <si>
    <t>38 484</t>
  </si>
  <si>
    <t>274.4</t>
  </si>
  <si>
    <t>15 256 323.1</t>
  </si>
  <si>
    <t>39 088 422.5</t>
  </si>
  <si>
    <t>8 399</t>
  </si>
  <si>
    <t>20 722,1</t>
  </si>
  <si>
    <t>404 133</t>
  </si>
  <si>
    <t>48 870</t>
  </si>
  <si>
    <t>51 857</t>
  </si>
  <si>
    <t>-2 987</t>
  </si>
  <si>
    <t>3 921,53</t>
  </si>
  <si>
    <t>265 284,20</t>
  </si>
  <si>
    <t>261 643,23</t>
  </si>
  <si>
    <t>25 120</t>
  </si>
  <si>
    <t>104 384</t>
  </si>
  <si>
    <t>188 971</t>
  </si>
  <si>
    <t>158 568</t>
  </si>
  <si>
    <t>141 533</t>
  </si>
  <si>
    <t>1 086,30</t>
  </si>
  <si>
    <t>665 203</t>
  </si>
  <si>
    <t>860 661</t>
  </si>
  <si>
    <t>12 828</t>
  </si>
  <si>
    <t>65.8</t>
  </si>
  <si>
    <t>10 994 326.7</t>
  </si>
  <si>
    <t>11 889 617</t>
  </si>
  <si>
    <t>13 653</t>
  </si>
  <si>
    <t>1 077</t>
  </si>
  <si>
    <t>223 662</t>
  </si>
  <si>
    <t>18 574</t>
  </si>
  <si>
    <t>19 895</t>
  </si>
  <si>
    <t>-1 321</t>
  </si>
  <si>
    <t>108 104,24</t>
  </si>
  <si>
    <t>537 255,24</t>
  </si>
  <si>
    <t>478 410,97</t>
  </si>
  <si>
    <t>20 143</t>
  </si>
  <si>
    <t>54 237</t>
  </si>
  <si>
    <t>105 335</t>
  </si>
  <si>
    <t>132 345</t>
  </si>
  <si>
    <t>94 036</t>
  </si>
  <si>
    <t>3 392,00</t>
  </si>
  <si>
    <t>170 260</t>
  </si>
  <si>
    <t>686 831</t>
  </si>
  <si>
    <t>115 234</t>
  </si>
  <si>
    <t>815.5</t>
  </si>
  <si>
    <t>193 939 044.5</t>
  </si>
  <si>
    <t>90 048 179.7</t>
  </si>
  <si>
    <t>10 550</t>
  </si>
  <si>
    <t>290 994,2</t>
  </si>
  <si>
    <t>1 099 257</t>
  </si>
  <si>
    <t>89 490</t>
  </si>
  <si>
    <t>88 337</t>
  </si>
  <si>
    <t>1 153</t>
  </si>
  <si>
    <t>84 722,00</t>
  </si>
  <si>
    <t>86 983,10</t>
  </si>
  <si>
    <t>18 303</t>
  </si>
  <si>
    <t>107 329</t>
  </si>
  <si>
    <t>133 553</t>
  </si>
  <si>
    <t>96 512</t>
  </si>
  <si>
    <t>11 344</t>
  </si>
  <si>
    <t>83 708</t>
  </si>
  <si>
    <t>77.6</t>
  </si>
  <si>
    <t>3 838 094.8</t>
  </si>
  <si>
    <t>8 136 263.4</t>
  </si>
  <si>
    <t>7 843</t>
  </si>
  <si>
    <t>1 536</t>
  </si>
  <si>
    <t>44 453</t>
  </si>
  <si>
    <t>26 288</t>
  </si>
  <si>
    <t>5 034</t>
  </si>
  <si>
    <t>25 294,89</t>
  </si>
  <si>
    <t>98 137,61</t>
  </si>
  <si>
    <t>88 739,54</t>
  </si>
  <si>
    <t>18 359</t>
  </si>
  <si>
    <t>37 559</t>
  </si>
  <si>
    <t>79 124</t>
  </si>
  <si>
    <t>76 487</t>
  </si>
  <si>
    <t>65 806</t>
  </si>
  <si>
    <t>108 973</t>
  </si>
  <si>
    <t>64 850</t>
  </si>
  <si>
    <t>24 430</t>
  </si>
  <si>
    <t>37 721</t>
  </si>
  <si>
    <t>136.3</t>
  </si>
  <si>
    <t>3 510 023.5</t>
  </si>
  <si>
    <t>15 505 432.8</t>
  </si>
  <si>
    <t>8 638</t>
  </si>
  <si>
    <t>35 836,7</t>
  </si>
  <si>
    <t>147 858</t>
  </si>
  <si>
    <t>28 315</t>
  </si>
  <si>
    <t>29 267</t>
  </si>
  <si>
    <t>0.031</t>
  </si>
  <si>
    <t>26 919,30</t>
  </si>
  <si>
    <t>217 925,97</t>
  </si>
  <si>
    <t>216 233,17</t>
  </si>
  <si>
    <t>17 268</t>
  </si>
  <si>
    <t>37 793</t>
  </si>
  <si>
    <t>73 513</t>
  </si>
  <si>
    <t>86 920</t>
  </si>
  <si>
    <t>83 123</t>
  </si>
  <si>
    <t>115 864</t>
  </si>
  <si>
    <t>167 540</t>
  </si>
  <si>
    <t>32 518</t>
  </si>
  <si>
    <t>157 740</t>
  </si>
  <si>
    <t>260.2</t>
  </si>
  <si>
    <t>32 016 716.7</t>
  </si>
  <si>
    <t>49 640 452.5</t>
  </si>
  <si>
    <t>7 977</t>
  </si>
  <si>
    <t>3 028</t>
  </si>
  <si>
    <t>59 725,9</t>
  </si>
  <si>
    <t>365 416</t>
  </si>
  <si>
    <t>70 780</t>
  </si>
  <si>
    <t>69 292</t>
  </si>
  <si>
    <t>20 237,89</t>
  </si>
  <si>
    <t>83 277,81</t>
  </si>
  <si>
    <t>82 812,20</t>
  </si>
  <si>
    <t>35 565</t>
  </si>
  <si>
    <t>73 143</t>
  </si>
  <si>
    <t>75 217</t>
  </si>
  <si>
    <t>69 194</t>
  </si>
  <si>
    <t>96 120</t>
  </si>
  <si>
    <t>83 107</t>
  </si>
  <si>
    <t>13 302</t>
  </si>
  <si>
    <t>136 593</t>
  </si>
  <si>
    <t>116.1</t>
  </si>
  <si>
    <t>10 196 240.3</t>
  </si>
  <si>
    <t>16 274 168</t>
  </si>
  <si>
    <t>7 614</t>
  </si>
  <si>
    <t>21 299,7</t>
  </si>
  <si>
    <t>142 490</t>
  </si>
  <si>
    <t>22 347</t>
  </si>
  <si>
    <t>23 728</t>
  </si>
  <si>
    <t>-1 381</t>
  </si>
  <si>
    <t>19 013,40</t>
  </si>
  <si>
    <t>134 191,78</t>
  </si>
  <si>
    <t>130 456,08</t>
  </si>
  <si>
    <t>18 930</t>
  </si>
  <si>
    <t>43 298</t>
  </si>
  <si>
    <t>87 356</t>
  </si>
  <si>
    <t>92 351</t>
  </si>
  <si>
    <t>86 674</t>
  </si>
  <si>
    <t>117 106</t>
  </si>
  <si>
    <t>48 948</t>
  </si>
  <si>
    <t>26 799</t>
  </si>
  <si>
    <t>209.2</t>
  </si>
  <si>
    <t>10 853 052.5</t>
  </si>
  <si>
    <t>22 703 448.6</t>
  </si>
  <si>
    <t>8 541</t>
  </si>
  <si>
    <t>52 463,6</t>
  </si>
  <si>
    <t>244 252</t>
  </si>
  <si>
    <t>32 818</t>
  </si>
  <si>
    <t>33 051</t>
  </si>
  <si>
    <t>48 125,08</t>
  </si>
  <si>
    <t>120 708,15</t>
  </si>
  <si>
    <t>120 130,03</t>
  </si>
  <si>
    <t>21 042</t>
  </si>
  <si>
    <t>50 689</t>
  </si>
  <si>
    <t>99 678</t>
  </si>
  <si>
    <t>113 830</t>
  </si>
  <si>
    <t>93 722</t>
  </si>
  <si>
    <t>141 750</t>
  </si>
  <si>
    <t>112 877</t>
  </si>
  <si>
    <t>22 984</t>
  </si>
  <si>
    <t>163 063</t>
  </si>
  <si>
    <t>96.8</t>
  </si>
  <si>
    <t>4 405 108.1</t>
  </si>
  <si>
    <t>18 898 953.3</t>
  </si>
  <si>
    <t>23 591,4</t>
  </si>
  <si>
    <t>205 935</t>
  </si>
  <si>
    <t>25 847</t>
  </si>
  <si>
    <t>30 707</t>
  </si>
  <si>
    <t>-4 860</t>
  </si>
  <si>
    <t>22 670,57</t>
  </si>
  <si>
    <t>153 385,56</t>
  </si>
  <si>
    <t>153 559,63</t>
  </si>
  <si>
    <t>19 124</t>
  </si>
  <si>
    <t>46 183</t>
  </si>
  <si>
    <t>90 423</t>
  </si>
  <si>
    <t>88 524</t>
  </si>
  <si>
    <t>96 642</t>
  </si>
  <si>
    <t>1 449,10</t>
  </si>
  <si>
    <t>159 216</t>
  </si>
  <si>
    <t>215 477</t>
  </si>
  <si>
    <t>24 262</t>
  </si>
  <si>
    <t>252.7</t>
  </si>
  <si>
    <t>11 961 420.3</t>
  </si>
  <si>
    <t>31 016 874.5</t>
  </si>
  <si>
    <t>8 860</t>
  </si>
  <si>
    <t>237 156,5</t>
  </si>
  <si>
    <t>312 547</t>
  </si>
  <si>
    <t>40 638</t>
  </si>
  <si>
    <t>38 034</t>
  </si>
  <si>
    <t>2 604</t>
  </si>
  <si>
    <t>8 428,40</t>
  </si>
  <si>
    <t>353 591,31</t>
  </si>
  <si>
    <t>328 788,17</t>
  </si>
  <si>
    <t>57 709</t>
  </si>
  <si>
    <t>114 568</t>
  </si>
  <si>
    <t>117 205</t>
  </si>
  <si>
    <t>105 979</t>
  </si>
  <si>
    <t>1 353,00</t>
  </si>
  <si>
    <t>204 417</t>
  </si>
  <si>
    <t>335 189</t>
  </si>
  <si>
    <t>36 497</t>
  </si>
  <si>
    <t>200.2</t>
  </si>
  <si>
    <t>38 587 512.2</t>
  </si>
  <si>
    <t>28 784 862.8</t>
  </si>
  <si>
    <t>11 548</t>
  </si>
  <si>
    <t>1 485</t>
  </si>
  <si>
    <t>73 866,1</t>
  </si>
  <si>
    <t>399 076</t>
  </si>
  <si>
    <t>1 970</t>
  </si>
  <si>
    <t>41 785</t>
  </si>
  <si>
    <t>5 742</t>
  </si>
  <si>
    <t>67 484,84</t>
  </si>
  <si>
    <t>130 947,57</t>
  </si>
  <si>
    <t>127 418,69</t>
  </si>
  <si>
    <t>19 282</t>
  </si>
  <si>
    <t>41 081</t>
  </si>
  <si>
    <t>83 154</t>
  </si>
  <si>
    <t>92 563</t>
  </si>
  <si>
    <t>78 047</t>
  </si>
  <si>
    <t>115 629</t>
  </si>
  <si>
    <t>89 894</t>
  </si>
  <si>
    <t>31 011</t>
  </si>
  <si>
    <t>25 200</t>
  </si>
  <si>
    <t>135.3</t>
  </si>
  <si>
    <t>13 658 365.5</t>
  </si>
  <si>
    <t>25 887 306.5</t>
  </si>
  <si>
    <t>110 808,0</t>
  </si>
  <si>
    <t>242 537</t>
  </si>
  <si>
    <t>36 744</t>
  </si>
  <si>
    <t>38 810</t>
  </si>
  <si>
    <t>-2 066</t>
  </si>
  <si>
    <t>50 032,93</t>
  </si>
  <si>
    <t>106 722,23</t>
  </si>
  <si>
    <t>110 424,52</t>
  </si>
  <si>
    <t>18 004</t>
  </si>
  <si>
    <t>36 914</t>
  </si>
  <si>
    <t>72 973</t>
  </si>
  <si>
    <t>93 201</t>
  </si>
  <si>
    <t>80 792</t>
  </si>
  <si>
    <t>102 621</t>
  </si>
  <si>
    <t>28 189</t>
  </si>
  <si>
    <t>22 579</t>
  </si>
  <si>
    <t>150.8</t>
  </si>
  <si>
    <t>10 065 109.1</t>
  </si>
  <si>
    <t>22 160 607.6</t>
  </si>
  <si>
    <t>8 001</t>
  </si>
  <si>
    <t>62 986,3</t>
  </si>
  <si>
    <t>190 126</t>
  </si>
  <si>
    <t>20 977</t>
  </si>
  <si>
    <t>21 470</t>
  </si>
  <si>
    <t>59 609,68</t>
  </si>
  <si>
    <t>194 812,89</t>
  </si>
  <si>
    <t>190 087,54</t>
  </si>
  <si>
    <t>56 603</t>
  </si>
  <si>
    <t>130 814</t>
  </si>
  <si>
    <t>105 410</t>
  </si>
  <si>
    <t>326 830</t>
  </si>
  <si>
    <t>97 889</t>
  </si>
  <si>
    <t>31 815</t>
  </si>
  <si>
    <t>149.99</t>
  </si>
  <si>
    <t>51 168 786.1</t>
  </si>
  <si>
    <t>28 798 228.3</t>
  </si>
  <si>
    <t>13 590</t>
  </si>
  <si>
    <t>105 808,1</t>
  </si>
  <si>
    <t>315 516</t>
  </si>
  <si>
    <t>50 146</t>
  </si>
  <si>
    <t>50 655</t>
  </si>
  <si>
    <t>10 187,68</t>
  </si>
  <si>
    <t>505 096,75</t>
  </si>
  <si>
    <t>466 674,28</t>
  </si>
  <si>
    <t>89 134</t>
  </si>
  <si>
    <t>173 478</t>
  </si>
  <si>
    <t>109 583</t>
  </si>
  <si>
    <t>103 548</t>
  </si>
  <si>
    <t>7 641,20</t>
  </si>
  <si>
    <t>1 016,50</t>
  </si>
  <si>
    <t>889 927</t>
  </si>
  <si>
    <t>2 269 961</t>
  </si>
  <si>
    <t>28 116</t>
  </si>
  <si>
    <t>207.1</t>
  </si>
  <si>
    <t>33 157 653</t>
  </si>
  <si>
    <t>33 520 239.9</t>
  </si>
  <si>
    <t>17 472</t>
  </si>
  <si>
    <t>1 193</t>
  </si>
  <si>
    <t>2 884</t>
  </si>
  <si>
    <t>67 670,0</t>
  </si>
  <si>
    <t>1 387 555</t>
  </si>
  <si>
    <t>1 659</t>
  </si>
  <si>
    <t>83 583</t>
  </si>
  <si>
    <t>62 543</t>
  </si>
  <si>
    <t>21 040</t>
  </si>
  <si>
    <t>52 690,38</t>
  </si>
  <si>
    <t>343 907,73</t>
  </si>
  <si>
    <t>336 401,08</t>
  </si>
  <si>
    <t>19 249</t>
  </si>
  <si>
    <t>45 703</t>
  </si>
  <si>
    <t>95 820</t>
  </si>
  <si>
    <t>100 971</t>
  </si>
  <si>
    <t>72 618</t>
  </si>
  <si>
    <t>2 468,30</t>
  </si>
  <si>
    <t>131 139</t>
  </si>
  <si>
    <t>448 871</t>
  </si>
  <si>
    <t>71 956</t>
  </si>
  <si>
    <t>506.4</t>
  </si>
  <si>
    <t>24 069 472</t>
  </si>
  <si>
    <t>63 532 195.4</t>
  </si>
  <si>
    <t>8 795</t>
  </si>
  <si>
    <t>432 180,1</t>
  </si>
  <si>
    <t>725 463</t>
  </si>
  <si>
    <t>83 569</t>
  </si>
  <si>
    <t>81 573</t>
  </si>
  <si>
    <t>1 996</t>
  </si>
  <si>
    <t>13 556,09</t>
  </si>
  <si>
    <t>155 026,25</t>
  </si>
  <si>
    <t>166 113,45</t>
  </si>
  <si>
    <t>29 784</t>
  </si>
  <si>
    <t>61 859</t>
  </si>
  <si>
    <t>59 518</t>
  </si>
  <si>
    <t>69 106</t>
  </si>
  <si>
    <t>-28 848</t>
  </si>
  <si>
    <t>10 211</t>
  </si>
  <si>
    <t>0.2</t>
  </si>
  <si>
    <t>14 412 180.1</t>
  </si>
  <si>
    <t>21 720 333.7</t>
  </si>
  <si>
    <t>6 317</t>
  </si>
  <si>
    <t>35 278</t>
  </si>
  <si>
    <t>12 625</t>
  </si>
  <si>
    <t>17 219</t>
  </si>
  <si>
    <t>-4 594</t>
  </si>
  <si>
    <t>17 268,76</t>
  </si>
  <si>
    <t>106 514,35</t>
  </si>
  <si>
    <t>106 370,61</t>
  </si>
  <si>
    <t>18 150</t>
  </si>
  <si>
    <t>38 842</t>
  </si>
  <si>
    <t>82 586</t>
  </si>
  <si>
    <t>100 421</t>
  </si>
  <si>
    <t>92 658</t>
  </si>
  <si>
    <t>105 438</t>
  </si>
  <si>
    <t>68 639</t>
  </si>
  <si>
    <t>19 225</t>
  </si>
  <si>
    <t>41 923</t>
  </si>
  <si>
    <t>144.95</t>
  </si>
  <si>
    <t>9 478 020.5</t>
  </si>
  <si>
    <t>17 207 212.6</t>
  </si>
  <si>
    <t>7 531</t>
  </si>
  <si>
    <t>44 641,8</t>
  </si>
  <si>
    <t>202 389</t>
  </si>
  <si>
    <t>2 032</t>
  </si>
  <si>
    <t>32 289</t>
  </si>
  <si>
    <t>33 231</t>
  </si>
  <si>
    <t>8 799,87</t>
  </si>
  <si>
    <t>59 321,08</t>
  </si>
  <si>
    <t>60 442,23</t>
  </si>
  <si>
    <t>31 377</t>
  </si>
  <si>
    <t>142 692</t>
  </si>
  <si>
    <t>268 806</t>
  </si>
  <si>
    <t>155 442</t>
  </si>
  <si>
    <t>1 839 454</t>
  </si>
  <si>
    <t>55 557</t>
  </si>
  <si>
    <t>5.93</t>
  </si>
  <si>
    <t>424 029</t>
  </si>
  <si>
    <t>1 053 219.7</t>
  </si>
  <si>
    <t>17 122</t>
  </si>
  <si>
    <t>—</t>
  </si>
  <si>
    <t>16 728</t>
  </si>
  <si>
    <t>5 086</t>
  </si>
  <si>
    <t>4 936</t>
  </si>
  <si>
    <t>10 271,84</t>
  </si>
  <si>
    <t>419 493,33</t>
  </si>
  <si>
    <t>428 352,44</t>
  </si>
  <si>
    <t>27 636</t>
  </si>
  <si>
    <t>128 014</t>
  </si>
  <si>
    <t>256 149</t>
  </si>
  <si>
    <t>132 550</t>
  </si>
  <si>
    <t>124 442</t>
  </si>
  <si>
    <t>4 430,60</t>
  </si>
  <si>
    <t>2 867 191</t>
  </si>
  <si>
    <t>1 077 517</t>
  </si>
  <si>
    <t>8 116</t>
  </si>
  <si>
    <t>81.4</t>
  </si>
  <si>
    <t>23 884 610.4</t>
  </si>
  <si>
    <t>11 337 324.2</t>
  </si>
  <si>
    <t>16 764</t>
  </si>
  <si>
    <t>2 198,3</t>
  </si>
  <si>
    <t>24 294</t>
  </si>
  <si>
    <t>53 159,56</t>
  </si>
  <si>
    <t>140 844,97</t>
  </si>
  <si>
    <t>145 360,11</t>
  </si>
  <si>
    <t>19 885</t>
  </si>
  <si>
    <t>43 635</t>
  </si>
  <si>
    <t>85 856</t>
  </si>
  <si>
    <t>95 041</t>
  </si>
  <si>
    <t>79 081</t>
  </si>
  <si>
    <t>114 030</t>
  </si>
  <si>
    <t>81 359</t>
  </si>
  <si>
    <t>31 064</t>
  </si>
  <si>
    <t>230.7</t>
  </si>
  <si>
    <t>7 184 731.4</t>
  </si>
  <si>
    <t>24 255 921.8</t>
  </si>
  <si>
    <t>46 506,9</t>
  </si>
  <si>
    <t>308 874</t>
  </si>
  <si>
    <t>29 934</t>
  </si>
  <si>
    <t>28 235</t>
  </si>
  <si>
    <t>1 699</t>
  </si>
  <si>
    <t>Кол-во протестных мероприятий</t>
  </si>
  <si>
    <t>3,4</t>
  </si>
  <si>
    <t>482 474,4</t>
  </si>
  <si>
    <t>202 238</t>
  </si>
  <si>
    <t>5 230</t>
  </si>
  <si>
    <t>2,4</t>
  </si>
  <si>
    <t>1 054 056,2</t>
  </si>
  <si>
    <t>92 160</t>
  </si>
  <si>
    <t>1 898</t>
  </si>
  <si>
    <t>5,5</t>
  </si>
  <si>
    <t>793 259,7</t>
  </si>
  <si>
    <t>162 767</t>
  </si>
  <si>
    <t>5 063</t>
  </si>
  <si>
    <t>4,4</t>
  </si>
  <si>
    <t>819 951,6</t>
  </si>
  <si>
    <t>93 686</t>
  </si>
  <si>
    <t>2 619</t>
  </si>
  <si>
    <t>3,6</t>
  </si>
  <si>
    <t>889 768,6</t>
  </si>
  <si>
    <t>178 516</t>
  </si>
  <si>
    <t>5 962</t>
  </si>
  <si>
    <t>2,6</t>
  </si>
  <si>
    <t>546 442,6</t>
  </si>
  <si>
    <t>112 020</t>
  </si>
  <si>
    <t>3 092</t>
  </si>
  <si>
    <t>2,0</t>
  </si>
  <si>
    <t>677 998,5</t>
  </si>
  <si>
    <t>163 472</t>
  </si>
  <si>
    <t>5 645</t>
  </si>
  <si>
    <t>2,9</t>
  </si>
  <si>
    <t>562 548,1</t>
  </si>
  <si>
    <t>228 461</t>
  </si>
  <si>
    <t>8 049</t>
  </si>
  <si>
    <t>3,1</t>
  </si>
  <si>
    <t>961 567,4</t>
  </si>
  <si>
    <t>132 551</t>
  </si>
  <si>
    <t>4 420</t>
  </si>
  <si>
    <t>3,2</t>
  </si>
  <si>
    <t>655 626,6</t>
  </si>
  <si>
    <t>319 004</t>
  </si>
  <si>
    <t>14 251</t>
  </si>
  <si>
    <t>1,8</t>
  </si>
  <si>
    <t>2 463 550,4</t>
  </si>
  <si>
    <t>3 791,3</t>
  </si>
  <si>
    <t>5 139 005</t>
  </si>
  <si>
    <t>833 902</t>
  </si>
  <si>
    <t>3,7</t>
  </si>
  <si>
    <t>697 096,5</t>
  </si>
  <si>
    <t>16 063</t>
  </si>
  <si>
    <t>6,9</t>
  </si>
  <si>
    <t>726 780,2</t>
  </si>
  <si>
    <t>102 120</t>
  </si>
  <si>
    <t>1 936</t>
  </si>
  <si>
    <t>478 107,8</t>
  </si>
  <si>
    <t>3 732</t>
  </si>
  <si>
    <t>1 086 391,6</t>
  </si>
  <si>
    <t>9 864</t>
  </si>
  <si>
    <t>9,1</t>
  </si>
  <si>
    <t>321 883,7</t>
  </si>
  <si>
    <t>40 966</t>
  </si>
  <si>
    <t>3,0</t>
  </si>
  <si>
    <t>760 027,0</t>
  </si>
  <si>
    <t>134 375</t>
  </si>
  <si>
    <t>8 433</t>
  </si>
  <si>
    <t>67 747</t>
  </si>
  <si>
    <t>740 704,7</t>
  </si>
  <si>
    <t>143 398</t>
  </si>
  <si>
    <t>5 651</t>
  </si>
  <si>
    <t>2,1</t>
  </si>
  <si>
    <t>1 523 849,9</t>
  </si>
  <si>
    <t>70 947</t>
  </si>
  <si>
    <t>7,4</t>
  </si>
  <si>
    <t>305 968,9</t>
  </si>
  <si>
    <t>22 895</t>
  </si>
  <si>
    <t>736 455,8</t>
  </si>
  <si>
    <t>254 350</t>
  </si>
  <si>
    <t>7 892</t>
  </si>
  <si>
    <t>534 306,1</t>
  </si>
  <si>
    <t>116 270</t>
  </si>
  <si>
    <t>2 996</t>
  </si>
  <si>
    <t>555 311,3</t>
  </si>
  <si>
    <t>62 586</t>
  </si>
  <si>
    <t>819 068,7</t>
  </si>
  <si>
    <t>721 376</t>
  </si>
  <si>
    <t>23 301</t>
  </si>
  <si>
    <t>1 307 050,7</t>
  </si>
  <si>
    <t>312 951</t>
  </si>
  <si>
    <t>8 227</t>
  </si>
  <si>
    <t>4,7</t>
  </si>
  <si>
    <t>502 403,0</t>
  </si>
  <si>
    <t>68 922</t>
  </si>
  <si>
    <t>1 680</t>
  </si>
  <si>
    <t>702 737,9</t>
  </si>
  <si>
    <t>99 137</t>
  </si>
  <si>
    <t>8 047</t>
  </si>
  <si>
    <t>2,8</t>
  </si>
  <si>
    <t>943 551,9</t>
  </si>
  <si>
    <t>202 861</t>
  </si>
  <si>
    <t>5 183</t>
  </si>
  <si>
    <t>847 501,2</t>
  </si>
  <si>
    <t>121 388</t>
  </si>
  <si>
    <t>5 224</t>
  </si>
  <si>
    <t>3 017 481,0</t>
  </si>
  <si>
    <t>44 594</t>
  </si>
  <si>
    <t>1 072 270,7</t>
  </si>
  <si>
    <t>1 362 895</t>
  </si>
  <si>
    <t>57 231</t>
  </si>
  <si>
    <t>1 714 647,5</t>
  </si>
  <si>
    <t>169 513</t>
  </si>
  <si>
    <t>162 638</t>
  </si>
  <si>
    <t>6 896</t>
  </si>
  <si>
    <t>6,3</t>
  </si>
  <si>
    <t>11 995 394,3</t>
  </si>
  <si>
    <t>22 677</t>
  </si>
  <si>
    <t>1,9</t>
  </si>
  <si>
    <t>870 132,1</t>
  </si>
  <si>
    <t>431 108</t>
  </si>
  <si>
    <t>18 285</t>
  </si>
  <si>
    <t>2,3</t>
  </si>
  <si>
    <t>712 876,7</t>
  </si>
  <si>
    <t>64 430</t>
  </si>
  <si>
    <t>793 881,2</t>
  </si>
  <si>
    <t>310 129</t>
  </si>
  <si>
    <t>11 044</t>
  </si>
  <si>
    <t>578 934,0</t>
  </si>
  <si>
    <t>165 770</t>
  </si>
  <si>
    <t>4 796</t>
  </si>
  <si>
    <t>148 648</t>
  </si>
  <si>
    <t>4 379</t>
  </si>
  <si>
    <t>3,3</t>
  </si>
  <si>
    <t>572 560,7</t>
  </si>
  <si>
    <t>81 762</t>
  </si>
  <si>
    <t>2 231</t>
  </si>
  <si>
    <t>530 871,2</t>
  </si>
  <si>
    <t>143 070</t>
  </si>
  <si>
    <t>3 202</t>
  </si>
  <si>
    <t>878 276,5</t>
  </si>
  <si>
    <t>316 058</t>
  </si>
  <si>
    <t>16 734</t>
  </si>
  <si>
    <t>1 027 409,8</t>
  </si>
  <si>
    <t>310 699</t>
  </si>
  <si>
    <t>10 930</t>
  </si>
  <si>
    <t>494 039,9</t>
  </si>
  <si>
    <t>66 460</t>
  </si>
  <si>
    <t>4,0</t>
  </si>
  <si>
    <t>446 662,0</t>
  </si>
  <si>
    <t>34 689</t>
  </si>
  <si>
    <t>8,9</t>
  </si>
  <si>
    <t>514 010,8</t>
  </si>
  <si>
    <t>14 314</t>
  </si>
  <si>
    <t>604 343,3</t>
  </si>
  <si>
    <t>351 596</t>
  </si>
  <si>
    <t>11 205</t>
  </si>
  <si>
    <t>5,7</t>
  </si>
  <si>
    <t>517 755,8</t>
  </si>
  <si>
    <t>79 063</t>
  </si>
  <si>
    <t>1 578</t>
  </si>
  <si>
    <t>11,9</t>
  </si>
  <si>
    <t>321 237,1</t>
  </si>
  <si>
    <t>116 436</t>
  </si>
  <si>
    <t>27,9</t>
  </si>
  <si>
    <t>182 203,7</t>
  </si>
  <si>
    <t>10 142</t>
  </si>
  <si>
    <t>6,5</t>
  </si>
  <si>
    <t>627 610,2</t>
  </si>
  <si>
    <t>17 722</t>
  </si>
  <si>
    <t>5,3</t>
  </si>
  <si>
    <t>825 855,7</t>
  </si>
  <si>
    <t>84 957</t>
  </si>
  <si>
    <t>1 450 357,4</t>
  </si>
  <si>
    <t>118 752</t>
  </si>
  <si>
    <t>5 434</t>
  </si>
  <si>
    <t>377 647,9</t>
  </si>
  <si>
    <t>8 949</t>
  </si>
  <si>
    <t>453 700,8</t>
  </si>
  <si>
    <t>58 420</t>
  </si>
  <si>
    <t>2,5</t>
  </si>
  <si>
    <t>516 284,8</t>
  </si>
  <si>
    <t>69 680</t>
  </si>
  <si>
    <t>2 416</t>
  </si>
  <si>
    <t>2 230 677,6</t>
  </si>
  <si>
    <t>122 696</t>
  </si>
  <si>
    <t>2 407</t>
  </si>
  <si>
    <t>10,1</t>
  </si>
  <si>
    <t>392 101,6</t>
  </si>
  <si>
    <t>56 925</t>
  </si>
  <si>
    <t>1 172</t>
  </si>
  <si>
    <t>1 145 173,9</t>
  </si>
  <si>
    <t>402 327</t>
  </si>
  <si>
    <t>22 218</t>
  </si>
  <si>
    <t>6,7</t>
  </si>
  <si>
    <t>363 158,2</t>
  </si>
  <si>
    <t>21 690</t>
  </si>
  <si>
    <t>715 322,5</t>
  </si>
  <si>
    <t>45 150</t>
  </si>
  <si>
    <t>3 437</t>
  </si>
  <si>
    <t>647 630,7</t>
  </si>
  <si>
    <t>484 173</t>
  </si>
  <si>
    <t>15 326</t>
  </si>
  <si>
    <t>638 081,5</t>
  </si>
  <si>
    <t>138 285</t>
  </si>
  <si>
    <t>4 528</t>
  </si>
  <si>
    <t>844 104,3</t>
  </si>
  <si>
    <t>433 113</t>
  </si>
  <si>
    <t>61 740</t>
  </si>
  <si>
    <t>1,6</t>
  </si>
  <si>
    <t>1 948 243,8</t>
  </si>
  <si>
    <t>1 239 059</t>
  </si>
  <si>
    <t>100 354</t>
  </si>
  <si>
    <t>2,7</t>
  </si>
  <si>
    <t>561 623,7</t>
  </si>
  <si>
    <t>215 819</t>
  </si>
  <si>
    <t>6 840</t>
  </si>
  <si>
    <t>3 538 862,2</t>
  </si>
  <si>
    <t>109 493</t>
  </si>
  <si>
    <t>4 020</t>
  </si>
  <si>
    <t>975 700,6</t>
  </si>
  <si>
    <t>569 939</t>
  </si>
  <si>
    <t>21 816</t>
  </si>
  <si>
    <t>452 269,9</t>
  </si>
  <si>
    <t>8 168</t>
  </si>
  <si>
    <t>640 810,6</t>
  </si>
  <si>
    <t>101 756</t>
  </si>
  <si>
    <t>4 799</t>
  </si>
  <si>
    <t>3,8</t>
  </si>
  <si>
    <t>464 154,3</t>
  </si>
  <si>
    <t>296 316</t>
  </si>
  <si>
    <t>9 938</t>
  </si>
  <si>
    <t>543 703,9</t>
  </si>
  <si>
    <t>102 819</t>
  </si>
  <si>
    <t>2 975</t>
  </si>
  <si>
    <t>622 862,0</t>
  </si>
  <si>
    <t>146 075</t>
  </si>
  <si>
    <t>6 247</t>
  </si>
  <si>
    <t>870 868,9</t>
  </si>
  <si>
    <t>97 665</t>
  </si>
  <si>
    <t>3 868</t>
  </si>
  <si>
    <t>778 402,9</t>
  </si>
  <si>
    <t>163 068</t>
  </si>
  <si>
    <t>4 930</t>
  </si>
  <si>
    <t>1 202 433,7</t>
  </si>
  <si>
    <t>191 207</t>
  </si>
  <si>
    <t>6 801</t>
  </si>
  <si>
    <t>766 752,8</t>
  </si>
  <si>
    <t>138 693</t>
  </si>
  <si>
    <t>4 644</t>
  </si>
  <si>
    <t>572 384,2</t>
  </si>
  <si>
    <t>126 190</t>
  </si>
  <si>
    <t>3 869</t>
  </si>
  <si>
    <t>985 369,8</t>
  </si>
  <si>
    <t>204 081</t>
  </si>
  <si>
    <t>5 598</t>
  </si>
  <si>
    <t>4 945 301,6</t>
  </si>
  <si>
    <t>240 887</t>
  </si>
  <si>
    <t>209 562</t>
  </si>
  <si>
    <t>761 165,9</t>
  </si>
  <si>
    <t>313 135</t>
  </si>
  <si>
    <t>12 090</t>
  </si>
  <si>
    <t>10,7</t>
  </si>
  <si>
    <t>257 429,5</t>
  </si>
  <si>
    <t>26 483</t>
  </si>
  <si>
    <t>513 893,6</t>
  </si>
  <si>
    <t>129 735</t>
  </si>
  <si>
    <t>3 292</t>
  </si>
  <si>
    <t>1,7</t>
  </si>
  <si>
    <t>164 548</t>
  </si>
  <si>
    <t>3 895 053,5</t>
  </si>
  <si>
    <t>15 220</t>
  </si>
  <si>
    <t>1,5</t>
  </si>
  <si>
    <t>10 462 220,5</t>
  </si>
  <si>
    <t>129 278</t>
  </si>
  <si>
    <t>3 099</t>
  </si>
  <si>
    <t>713 444,2</t>
  </si>
  <si>
    <t>171 572</t>
  </si>
  <si>
    <t>столбец H</t>
  </si>
  <si>
    <t>Последние данные за 2021 год</t>
  </si>
  <si>
    <t>столбцы I,J,K,L</t>
  </si>
  <si>
    <t>не опубликовано</t>
  </si>
  <si>
    <t>столбцы AK AL</t>
  </si>
  <si>
    <t>см. КОЛИЧЕСТВО МУНИЦИПАЛЬНЫХ ОБРАЗОВАНИЙ на 1 января 2024 г.</t>
  </si>
  <si>
    <t>столбцы AW, AX</t>
  </si>
  <si>
    <t>последние данные за 2022 год см КАДРЫ ГОСУДАРСТВЕННЫХ ОРГАНОВ И ОРГАНОВ МЕСТНОГО САМОУПРАВЛЕНИЯ</t>
  </si>
  <si>
    <t>столбец BH</t>
  </si>
  <si>
    <t xml:space="preserve">последние данные за 2022 год см СРЕДНЕМЕСЯЧНАЯ НАЧИСЛЕННАЯ ЗАРАБОТНАЯ ПЛАТА МУНИЦИПАЛЬНЫХ СЛУЖАЩИХ
</t>
  </si>
  <si>
    <t>столбец CA</t>
  </si>
  <si>
    <t>столбец CB</t>
  </si>
  <si>
    <t>опубликовано без разделения на регионы. последняя публикация за 2022 год</t>
  </si>
  <si>
    <t>столбец BI</t>
  </si>
  <si>
    <t>данные есть, но какая категория?</t>
  </si>
  <si>
    <t>столбец BQ</t>
  </si>
  <si>
    <t>по Мурманской области стоит троеточие. см СРЕДНИЕ ЦЕНЫ НА ПЕРВИЧНОМ РЫНКЕ ЖИЛЬЯ</t>
  </si>
  <si>
    <t>столбец CF, CG</t>
  </si>
  <si>
    <t>в Ненецком автономном округе прочерки</t>
  </si>
  <si>
    <t>столбец CH</t>
  </si>
  <si>
    <t>прочерки в этих местах</t>
  </si>
  <si>
    <t>столбец CQ</t>
  </si>
  <si>
    <t>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"Об официальном статистическом учете и системе государственной статистики в Российской Федерации" (п.5 ст.4, ч.1 ст.9).</t>
  </si>
  <si>
    <t>столбец CS</t>
  </si>
  <si>
    <t>Данных за Санкт-Петербург нет</t>
  </si>
  <si>
    <t>столбец CY</t>
  </si>
  <si>
    <t>столбец DP</t>
  </si>
  <si>
    <t>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(п. 5 ст. 4, ч. 1 ст. 9).</t>
  </si>
  <si>
    <t>столбец DQ</t>
  </si>
  <si>
    <t>стоит прочерк</t>
  </si>
  <si>
    <t>столбец EB</t>
  </si>
  <si>
    <t>как в BQ данных за Мурманскую область нет</t>
  </si>
  <si>
    <t>столбец EC</t>
  </si>
  <si>
    <t>стоит троеточие</t>
  </si>
  <si>
    <t>столбец EE</t>
  </si>
  <si>
    <t>Данных за Санкт-Петербург нет как в CS</t>
  </si>
  <si>
    <t>столбцы FB FC</t>
  </si>
  <si>
    <t>данные не публикуются по регионам</t>
  </si>
  <si>
    <t>столбцы FE FF</t>
  </si>
  <si>
    <t>столбец FI</t>
  </si>
  <si>
    <t>последние данные за 2022 год</t>
  </si>
  <si>
    <t>столбец EX</t>
  </si>
  <si>
    <t>есть топ по регионам, но не абсолютные значения</t>
  </si>
  <si>
    <t>столбец EI</t>
  </si>
  <si>
    <t>Данные не публикуются в целях обеспечения конфиденциальности первичных статистических данных, полученных от организаций в соответствии с Федеральным законом от 29 ноября 2007 г. № 282-ФЗ «Об официальном статистическом учете и системе государственной статистики в Российской Федерации» (п.5 ст.4, ч.1 ст.9).</t>
  </si>
  <si>
    <t>столбец EJ</t>
  </si>
  <si>
    <t>столбец EM</t>
  </si>
  <si>
    <t>Данные не публикуются в целях обеспечения конфиденциальности первичных статистических данных , полученных от организаций в соответствии с Федеральным законом от 29 ноября 2007 г. № 282-ФЗ «Об официальном статистическом учете и системе государственной статистики в Российской Федерации» (п.5 ст.4, ч.1 ст.9).</t>
  </si>
  <si>
    <t>и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</si>
  <si>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</si>
  <si>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</si>
  <si>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</si>
  <si>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</si>
  <si>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</si>
  <si>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</si>
  <si>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</si>
  <si>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</si>
  <si>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</si>
  <si>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метод полных связей</t>
  </si>
  <si>
    <t>взвешенный метод средней связи</t>
  </si>
  <si>
    <t>метод уорда</t>
  </si>
  <si>
    <t>Среднее по полю X1</t>
  </si>
  <si>
    <t>Среднее по полю X2</t>
  </si>
  <si>
    <t>Среднее по полю X3</t>
  </si>
  <si>
    <t>Среднее по полю X4</t>
  </si>
  <si>
    <t>Среднее по полю X5</t>
  </si>
  <si>
    <t>Среднее по полю X6</t>
  </si>
  <si>
    <t>Среднее по полю X7</t>
  </si>
  <si>
    <t>Среднее по полю X8</t>
  </si>
  <si>
    <t>Среднее по полю X9</t>
  </si>
  <si>
    <t>Значения</t>
  </si>
  <si>
    <t>K-means</t>
  </si>
  <si>
    <t>Clusters</t>
  </si>
  <si>
    <t>Ward</t>
  </si>
  <si>
    <t>K-Means</t>
  </si>
  <si>
    <t>Промежуточные итоги</t>
  </si>
  <si>
    <t>Метод Уорда</t>
  </si>
  <si>
    <t>Q</t>
  </si>
  <si>
    <t>Метод полной связи</t>
  </si>
  <si>
    <t>Взвешенной средней связи</t>
  </si>
  <si>
    <t>К-средних</t>
  </si>
  <si>
    <t>Clasters</t>
  </si>
  <si>
    <t>MSW</t>
  </si>
  <si>
    <t>Cluster</t>
  </si>
  <si>
    <t>К1</t>
  </si>
  <si>
    <t>К2</t>
  </si>
  <si>
    <t>К3</t>
  </si>
  <si>
    <t>К4</t>
  </si>
  <si>
    <t>К5</t>
  </si>
  <si>
    <t>К6</t>
  </si>
  <si>
    <t>K7</t>
  </si>
  <si>
    <t>Полная связь</t>
  </si>
  <si>
    <t>Средняя связь</t>
  </si>
  <si>
    <t>Уорд</t>
  </si>
  <si>
    <t xml:space="preserve">Квадрат расстояния </t>
  </si>
  <si>
    <t>Train</t>
  </si>
  <si>
    <t>ДА1</t>
  </si>
  <si>
    <t>ДА2</t>
  </si>
  <si>
    <t>ДА3</t>
  </si>
  <si>
    <t>ДА4</t>
  </si>
  <si>
    <t>ДА5</t>
  </si>
  <si>
    <t>ДА6</t>
  </si>
  <si>
    <t>ДА7</t>
  </si>
  <si>
    <t>G_3:3</t>
  </si>
  <si>
    <t>G_2:2</t>
  </si>
  <si>
    <t>G_1:1</t>
  </si>
  <si>
    <t>G_4:4</t>
  </si>
  <si>
    <t>G_5:5</t>
  </si>
  <si>
    <t>G_6:6</t>
  </si>
  <si>
    <t>G_7:7</t>
  </si>
  <si>
    <t>2_ДА_Мах</t>
  </si>
  <si>
    <t>3_ДА_Мах</t>
  </si>
  <si>
    <t>4_ДА_Мах</t>
  </si>
  <si>
    <t>5_ДА_Мах</t>
  </si>
  <si>
    <t>6_ДА_Мах</t>
  </si>
  <si>
    <t>7_ДА_Мах</t>
  </si>
  <si>
    <t>ДА_Мах_Итог</t>
  </si>
  <si>
    <t>Точность_ДА_Мах</t>
  </si>
  <si>
    <t>Совпадение_ДА_Мах</t>
  </si>
  <si>
    <t>1_ДА_Ап</t>
  </si>
  <si>
    <t>2_ДА_Ап</t>
  </si>
  <si>
    <t>3_ДА_Ап</t>
  </si>
  <si>
    <t>4_ДА_Ап</t>
  </si>
  <si>
    <t>5_ДА_Ап</t>
  </si>
  <si>
    <t>6_ДА_Ап</t>
  </si>
  <si>
    <t>7_ДА_Ап</t>
  </si>
  <si>
    <t>ДА_Ап_Итог</t>
  </si>
  <si>
    <t>Точность_ДА_Ап</t>
  </si>
  <si>
    <t>Совпадение_ДА_Ап</t>
  </si>
  <si>
    <t>ПДАсВ 1</t>
  </si>
  <si>
    <t>ПДАсВ 2</t>
  </si>
  <si>
    <t>ПДАсВ 3</t>
  </si>
  <si>
    <t>ПДАсВ 4</t>
  </si>
  <si>
    <t>ПДАсВ 5</t>
  </si>
  <si>
    <t>ПДАсВ 6</t>
  </si>
  <si>
    <t>ПДАсВ 7</t>
  </si>
  <si>
    <t>ПДАсВ Итог</t>
  </si>
  <si>
    <t xml:space="preserve">ПДАсВ Точность </t>
  </si>
  <si>
    <t>ПДАсВ Совпадение</t>
  </si>
  <si>
    <t>ПДАсВ Мах 1</t>
  </si>
  <si>
    <t>ПДАсВ Мах 2</t>
  </si>
  <si>
    <t>ПДАсВ Мах 3</t>
  </si>
  <si>
    <t>ПДАсВ Мах 4</t>
  </si>
  <si>
    <t>ПДАсВ Мах 5</t>
  </si>
  <si>
    <t>ПДАсВ Мах 6</t>
  </si>
  <si>
    <t>ПДАсВ Мах 7</t>
  </si>
  <si>
    <t>ПДАсВ Мах Итог</t>
  </si>
  <si>
    <t>ПДАсВ Мах Точность</t>
  </si>
  <si>
    <t>ПДАсВ Мах Совпадение</t>
  </si>
  <si>
    <t>ПДАсВ Ап 1</t>
  </si>
  <si>
    <t>ПДАсВ Ап 2</t>
  </si>
  <si>
    <t>ПДАсВ Ап 3</t>
  </si>
  <si>
    <t>ПДАсВ Ап 4</t>
  </si>
  <si>
    <t>ПДАсВ Ап 5</t>
  </si>
  <si>
    <t>ПДАсВ Ап 6</t>
  </si>
  <si>
    <t>ПДАсВ Ап 7</t>
  </si>
  <si>
    <t>ПДАсВ Ап Итог</t>
  </si>
  <si>
    <t>ПДАсВ Ап Точность</t>
  </si>
  <si>
    <t>ПДАсВ Ап Совпадение</t>
  </si>
  <si>
    <t>ПДАсИ 1</t>
  </si>
  <si>
    <t>ПДАсИ 2</t>
  </si>
  <si>
    <t>ПДАсИ 3</t>
  </si>
  <si>
    <t>ПДАсИ 4</t>
  </si>
  <si>
    <t>ПДАсИ 5</t>
  </si>
  <si>
    <t>ПДАсИ 6</t>
  </si>
  <si>
    <t>ПДАсИ 7</t>
  </si>
  <si>
    <t>ПДАсИ Итог</t>
  </si>
  <si>
    <t>ПДАсИ Точность</t>
  </si>
  <si>
    <t>ПДАсИ Совпадение</t>
  </si>
  <si>
    <t>ПДАсИ Мах 1</t>
  </si>
  <si>
    <t>ПДАсИ Мах 2</t>
  </si>
  <si>
    <t>ПДАсИ Мах 3</t>
  </si>
  <si>
    <t>ПДАсИ Мах 4</t>
  </si>
  <si>
    <t>ПДАсИ Мах 5</t>
  </si>
  <si>
    <t>ПДАсИ Мах 6</t>
  </si>
  <si>
    <t>ПДАсИ Мах 7</t>
  </si>
  <si>
    <t>ПДАсИ Мах Итог</t>
  </si>
  <si>
    <t>ПДАсИ Мах Точность</t>
  </si>
  <si>
    <t>ПДАсИ Мах Совпадение</t>
  </si>
  <si>
    <t>ПДАсИ Ап 1</t>
  </si>
  <si>
    <t>ПДАсИ Ап 2</t>
  </si>
  <si>
    <t>ПДАсИ Ап 3</t>
  </si>
  <si>
    <t>ПДАсИ Ап 4</t>
  </si>
  <si>
    <t>ПДАсИ Ап 5</t>
  </si>
  <si>
    <t>ПДАсИ Ап 6</t>
  </si>
  <si>
    <t>ПДАсИ Ап 7</t>
  </si>
  <si>
    <t>ПДАсИ Ап Итог</t>
  </si>
  <si>
    <t>ПДАсИ Ап Точность</t>
  </si>
  <si>
    <t>ПДАсИ Ап Совпадение</t>
  </si>
  <si>
    <t>сДА</t>
  </si>
  <si>
    <t>ПДАсВ</t>
  </si>
  <si>
    <t>ПДАсИ</t>
  </si>
  <si>
    <t>Численность населения на одну больничную койку, чел.</t>
  </si>
  <si>
    <t>Численность врачей всех специальностей (На 10000 человек населения, человек)</t>
  </si>
  <si>
    <t xml:space="preserve">Заболеваемость на 1000 человек населения, кол-во болезней </t>
  </si>
  <si>
    <t xml:space="preserve">Плотность автомобильных дорог общего пользования на 100000 человек населения </t>
  </si>
  <si>
    <t>Число автобусов общего пользования на 100 000 человек населения</t>
  </si>
  <si>
    <t>Число дорожно-транспортных происшествий и пострадавших в них на 100 000 человек населения</t>
  </si>
  <si>
    <t>ДА Итог</t>
  </si>
  <si>
    <t>ДА Мах Итог</t>
  </si>
  <si>
    <t>ДА Ап Итог</t>
  </si>
  <si>
    <t>Полных связей</t>
  </si>
  <si>
    <t>Взв.средней связи</t>
  </si>
  <si>
    <t>ДА Итог Копия</t>
  </si>
  <si>
    <t>ПДАсВ Итог Копия</t>
  </si>
  <si>
    <t>ПДАсИ Итог Копия</t>
  </si>
  <si>
    <t>#</t>
  </si>
  <si>
    <t>№</t>
  </si>
  <si>
    <t>Соб.знач.</t>
  </si>
  <si>
    <t>степени свободы</t>
  </si>
  <si>
    <t>Предел 1</t>
  </si>
  <si>
    <t>СЗ</t>
  </si>
  <si>
    <t>Предел 2</t>
  </si>
  <si>
    <t>&lt;</t>
  </si>
  <si>
    <t>П1 New</t>
  </si>
  <si>
    <t>П2 New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</si>
  <si>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</si>
  <si>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</si>
  <si>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</si>
  <si>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</si>
  <si>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</si>
  <si>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</si>
  <si>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</si>
  <si>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</si>
  <si>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</si>
  <si>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 xml:space="preserve"> Case</t>
  </si>
  <si>
    <t>Factor 1</t>
  </si>
  <si>
    <t>Factor 2</t>
  </si>
  <si>
    <t>МГК Уорд</t>
  </si>
  <si>
    <t>Гипотеза о кратности 2 и 3 ГК принимается, т.к. набл.значение в диапазоне.</t>
  </si>
  <si>
    <t>Точность ДА</t>
  </si>
  <si>
    <t>Совпадение ДА</t>
  </si>
  <si>
    <t>1 ДА Мах</t>
  </si>
  <si>
    <t>МГК К-средних</t>
  </si>
  <si>
    <t>К-средних МГК</t>
  </si>
  <si>
    <t>Y</t>
  </si>
  <si>
    <t>Субъект</t>
  </si>
  <si>
    <t>Factor 3</t>
  </si>
  <si>
    <t>ФА2 Уорд</t>
  </si>
  <si>
    <t>ФА2 К-средних</t>
  </si>
  <si>
    <t>ФА3 Уорд</t>
  </si>
  <si>
    <t>ФА3 К-средних</t>
  </si>
  <si>
    <t>МГК Уорд Python</t>
  </si>
  <si>
    <t>МГК К-средних Python</t>
  </si>
  <si>
    <t>ГК1</t>
  </si>
  <si>
    <t>ГК2</t>
  </si>
  <si>
    <t>Ф1</t>
  </si>
  <si>
    <t>Ф2</t>
  </si>
  <si>
    <t>Ф3</t>
  </si>
  <si>
    <t>Pred_class</t>
  </si>
  <si>
    <t>2</t>
  </si>
  <si>
    <t>3</t>
  </si>
  <si>
    <t>1</t>
  </si>
  <si>
    <t>4</t>
  </si>
  <si>
    <t>5</t>
  </si>
  <si>
    <t>Pred_train</t>
  </si>
  <si>
    <t>Точность</t>
  </si>
  <si>
    <t>НС</t>
  </si>
  <si>
    <t>Точность НС</t>
  </si>
  <si>
    <t>Совпадение 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</si>
</sst>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d/m"/>
    <numFmt numFmtId="165" formatCode="d\.m"/>
    <numFmt numFmtId="166" formatCode="#,##0.000"/>
    <numFmt numFmtId="167" formatCode="0.0"/>
    <numFmt numFmtId="168" formatCode="0.0000"/>
    <numFmt numFmtId="169" formatCode="0.000"/>
    <numFmt numFmtId="170" formatCode="0.000000"/>
    <numFmt numFmtId="171" formatCode="0.00000"/>
    <numFmt numFmtId="172" formatCode="_(* #,##0.00_);_(* \(#,##0.00\);_(* &quot;-&quot;??_);_(@_)"/>
  </numFmts>
  <fonts count="83">
    <font>
      <sz val="10"/>
      <color rgb="FF000000"/>
      <name val="Arial"/>
      <scheme val="minor"/>
    </font>
    <font>
      <b/>
      <sz val="16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u/>
      <sz val="16"/>
      <color rgb="FF000000"/>
      <name val="Calibri"/>
    </font>
    <font>
      <b/>
      <sz val="10"/>
      <color rgb="FF000000"/>
      <name val="Calibri"/>
    </font>
    <font>
      <u/>
      <sz val="12"/>
      <color rgb="FF0563C1"/>
      <name val="Calibri"/>
    </font>
    <font>
      <u/>
      <sz val="12"/>
      <color rgb="FF0563C1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sz val="10"/>
      <color rgb="FF000000"/>
      <name val="Roboto"/>
    </font>
    <font>
      <u/>
      <sz val="12"/>
      <color rgb="FF000000"/>
      <name val="Calibri"/>
    </font>
    <font>
      <sz val="13"/>
      <color rgb="FF000000"/>
      <name val="Times New Roman"/>
    </font>
    <font>
      <sz val="12"/>
      <color theme="1"/>
      <name val="Calibri"/>
    </font>
    <font>
      <sz val="7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u/>
      <sz val="12"/>
      <color rgb="FF0563C1"/>
      <name val="Calibri"/>
    </font>
    <font>
      <u/>
      <sz val="12"/>
      <color rgb="FF0563C1"/>
      <name val="Calibri"/>
    </font>
    <font>
      <u/>
      <sz val="12"/>
      <color rgb="FF000000"/>
      <name val="Calibri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Calibri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sz val="12"/>
      <color rgb="FF000000"/>
      <name val="Times New Roman"/>
    </font>
    <font>
      <sz val="7"/>
      <color theme="1"/>
      <name val="Arial"/>
    </font>
    <font>
      <sz val="12"/>
      <color rgb="FF000000"/>
      <name val="&quot;Times New Roman&quot;"/>
    </font>
    <font>
      <sz val="11"/>
      <color theme="1"/>
      <name val="&quot;Arial Narrow&quot;"/>
    </font>
    <font>
      <sz val="11"/>
      <color rgb="FF000000"/>
      <name val="Arial"/>
    </font>
    <font>
      <sz val="10"/>
      <color theme="1"/>
      <name val="Arial"/>
    </font>
    <font>
      <sz val="12"/>
      <color theme="1"/>
      <name val="Arial"/>
    </font>
    <font>
      <sz val="11"/>
      <color theme="1"/>
      <name val="Calibri"/>
    </font>
    <font>
      <sz val="11"/>
      <color theme="1"/>
      <name val="&quot;Times New Roman&quot;"/>
    </font>
    <font>
      <sz val="9"/>
      <color theme="1"/>
      <name val="Arial"/>
    </font>
    <font>
      <sz val="11"/>
      <color theme="1"/>
      <name val="Times New Roman"/>
    </font>
    <font>
      <sz val="11"/>
      <color rgb="FF0E1829"/>
      <name val="Times New Roman"/>
    </font>
    <font>
      <sz val="9"/>
      <color rgb="FF282A2E"/>
      <name val="Arial"/>
    </font>
    <font>
      <sz val="10"/>
      <color theme="1"/>
      <name val="&quot;Arial Cyr&quot;"/>
    </font>
    <font>
      <sz val="12"/>
      <color rgb="FF000000"/>
      <name val="&quot;Calibri Light&quot;"/>
    </font>
    <font>
      <sz val="12"/>
      <color theme="1"/>
      <name val="Arial"/>
      <scheme val="minor"/>
    </font>
    <font>
      <sz val="12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&quot;Times New Roman&quot;"/>
    </font>
    <font>
      <sz val="7"/>
      <color rgb="FF000000"/>
      <name val="Symbol"/>
    </font>
    <font>
      <sz val="6"/>
      <color rgb="FF000000"/>
      <name val="Arial"/>
    </font>
    <font>
      <sz val="11"/>
      <color rgb="FF000000"/>
      <name val="&quot;Aptos Narrow&quot;"/>
    </font>
    <font>
      <sz val="11"/>
      <color theme="1"/>
      <name val="Arial"/>
      <scheme val="minor"/>
    </font>
    <font>
      <sz val="10"/>
      <color rgb="FF333333"/>
      <name val="Arial"/>
    </font>
    <font>
      <sz val="10"/>
      <color rgb="FF3D3D3D"/>
      <name val="Arial"/>
    </font>
    <font>
      <sz val="7"/>
      <color rgb="FF000000"/>
      <name val="Calibri, sans-serif"/>
    </font>
    <font>
      <sz val="12"/>
      <color rgb="FF000000"/>
      <name val="Calibri, sans-serif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  <scheme val="minor"/>
    </font>
    <font>
      <sz val="8"/>
      <name val="Arial"/>
      <scheme val="minor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"/>
      <charset val="204"/>
    </font>
    <font>
      <sz val="10"/>
      <color indexed="8"/>
      <name val="Arial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0"/>
      <name val="Arial"/>
      <scheme val="minor"/>
    </font>
    <font>
      <i/>
      <sz val="11"/>
      <color rgb="FF7F7F7F"/>
      <name val="Arial"/>
      <family val="2"/>
      <charset val="204"/>
      <scheme val="minor"/>
    </font>
    <font>
      <sz val="10"/>
      <color rgb="FF000000"/>
      <name val="Arial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8"/>
      <color rgb="FF000000"/>
      <name val="Arial"/>
      <family val="2"/>
      <charset val="204"/>
      <scheme val="minor"/>
    </font>
    <font>
      <sz val="10"/>
      <color theme="2"/>
      <name val="Arial"/>
      <family val="2"/>
      <charset val="204"/>
    </font>
    <font>
      <b/>
      <sz val="10"/>
      <color theme="2"/>
      <name val="Arial"/>
      <family val="2"/>
      <charset val="204"/>
    </font>
    <font>
      <sz val="10"/>
      <color indexed="10"/>
      <name val="Arial"/>
      <charset val="204"/>
    </font>
    <font>
      <sz val="11"/>
      <color indexed="8"/>
      <name val="Times New Roman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EEEEEE"/>
        <bgColor rgb="FFEEEEEE"/>
      </patternFill>
    </fill>
    <fill>
      <patternFill patternType="solid">
        <fgColor theme="5"/>
        <bgColor theme="5"/>
      </patternFill>
    </fill>
    <fill>
      <patternFill patternType="solid">
        <fgColor rgb="FFC6E0B4"/>
        <bgColor rgb="FFC6E0B4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7FCFA"/>
        <bgColor rgb="FFF7FCFA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FFF2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7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6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indexed="64"/>
      </top>
      <bottom style="thin">
        <color theme="6"/>
      </bottom>
      <diagonal/>
    </border>
    <border>
      <left/>
      <right style="thin">
        <color theme="7"/>
      </right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4">
    <xf numFmtId="0" fontId="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6" fillId="0" borderId="0"/>
    <xf numFmtId="0" fontId="66" fillId="0" borderId="0"/>
    <xf numFmtId="0" fontId="73" fillId="0" borderId="0" applyNumberFormat="0" applyFill="0" applyBorder="0" applyAlignment="0" applyProtection="0"/>
    <xf numFmtId="0" fontId="66" fillId="0" borderId="0"/>
    <xf numFmtId="41" fontId="74" fillId="0" borderId="0" applyFont="0" applyFill="0" applyBorder="0" applyAlignment="0" applyProtection="0"/>
    <xf numFmtId="0" fontId="59" fillId="0" borderId="0"/>
    <xf numFmtId="0" fontId="66" fillId="0" borderId="0"/>
    <xf numFmtId="0" fontId="59" fillId="0" borderId="0"/>
    <xf numFmtId="0" fontId="66" fillId="0" borderId="0"/>
    <xf numFmtId="0" fontId="66" fillId="0" borderId="0"/>
    <xf numFmtId="0" fontId="59" fillId="0" borderId="0"/>
    <xf numFmtId="0" fontId="66" fillId="0" borderId="0"/>
    <xf numFmtId="0" fontId="66" fillId="0" borderId="0"/>
    <xf numFmtId="0" fontId="66" fillId="0" borderId="0"/>
    <xf numFmtId="172" fontId="66" fillId="0" borderId="0" applyFont="0" applyFill="0" applyBorder="0" applyAlignment="0" applyProtection="0"/>
    <xf numFmtId="0" fontId="66" fillId="0" borderId="0"/>
  </cellStyleXfs>
  <cellXfs count="3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3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10" fillId="4" borderId="0" xfId="0" applyFont="1" applyFill="1"/>
    <xf numFmtId="0" fontId="10" fillId="5" borderId="0" xfId="0" applyFont="1" applyFill="1"/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" fillId="7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2" fillId="8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/>
    <xf numFmtId="0" fontId="5" fillId="9" borderId="0" xfId="0" applyFont="1" applyFill="1" applyAlignment="1">
      <alignment horizontal="center"/>
    </xf>
    <xf numFmtId="0" fontId="15" fillId="0" borderId="0" xfId="0" applyFont="1"/>
    <xf numFmtId="0" fontId="5" fillId="7" borderId="0" xfId="0" applyFont="1" applyFill="1" applyAlignment="1">
      <alignment horizontal="center"/>
    </xf>
    <xf numFmtId="0" fontId="3" fillId="0" borderId="0" xfId="0" applyFont="1"/>
    <xf numFmtId="0" fontId="16" fillId="7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0" fontId="3" fillId="10" borderId="0" xfId="0" applyFont="1" applyFill="1" applyAlignment="1">
      <alignment horizontal="center"/>
    </xf>
    <xf numFmtId="165" fontId="2" fillId="0" borderId="0" xfId="0" applyNumberFormat="1" applyFont="1"/>
    <xf numFmtId="0" fontId="17" fillId="0" borderId="0" xfId="0" applyFont="1"/>
    <xf numFmtId="0" fontId="2" fillId="6" borderId="0" xfId="0" applyFont="1" applyFill="1"/>
    <xf numFmtId="0" fontId="16" fillId="3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0" fontId="16" fillId="9" borderId="0" xfId="0" applyFont="1" applyFill="1" applyAlignment="1">
      <alignment horizontal="center"/>
    </xf>
    <xf numFmtId="0" fontId="2" fillId="11" borderId="0" xfId="0" applyFont="1" applyFill="1"/>
    <xf numFmtId="0" fontId="16" fillId="0" borderId="0" xfId="0" applyFont="1" applyAlignment="1">
      <alignment horizontal="center"/>
    </xf>
    <xf numFmtId="0" fontId="16" fillId="11" borderId="0" xfId="0" applyFont="1" applyFill="1" applyAlignment="1">
      <alignment horizontal="center"/>
    </xf>
    <xf numFmtId="0" fontId="10" fillId="12" borderId="0" xfId="0" applyFont="1" applyFill="1"/>
    <xf numFmtId="0" fontId="2" fillId="0" borderId="0" xfId="0" applyFont="1" applyAlignment="1">
      <alignment horizontal="center" vertical="center" wrapText="1"/>
    </xf>
    <xf numFmtId="0" fontId="10" fillId="12" borderId="0" xfId="0" applyFont="1" applyFill="1" applyAlignment="1">
      <alignment horizontal="center" vertical="center" wrapText="1"/>
    </xf>
    <xf numFmtId="0" fontId="13" fillId="0" borderId="0" xfId="0" applyFont="1"/>
    <xf numFmtId="0" fontId="16" fillId="13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19" fillId="0" borderId="0" xfId="0" applyFont="1" applyAlignment="1">
      <alignment horizontal="left"/>
    </xf>
    <xf numFmtId="0" fontId="2" fillId="12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3" fillId="0" borderId="0" xfId="0" applyFont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4" fontId="23" fillId="0" borderId="0" xfId="0" applyNumberFormat="1" applyFont="1" applyAlignment="1">
      <alignment horizontal="left"/>
    </xf>
    <xf numFmtId="4" fontId="14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3" fillId="0" borderId="0" xfId="0" applyFont="1"/>
    <xf numFmtId="2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166" fontId="2" fillId="0" borderId="0" xfId="0" applyNumberFormat="1" applyFont="1" applyAlignment="1">
      <alignment horizontal="center" vertical="center" wrapText="1"/>
    </xf>
    <xf numFmtId="2" fontId="10" fillId="12" borderId="0" xfId="0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wrapText="1"/>
    </xf>
    <xf numFmtId="166" fontId="23" fillId="0" borderId="0" xfId="0" applyNumberFormat="1" applyFont="1"/>
    <xf numFmtId="0" fontId="15" fillId="12" borderId="0" xfId="0" applyFont="1" applyFill="1" applyAlignment="1">
      <alignment horizontal="right"/>
    </xf>
    <xf numFmtId="0" fontId="14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0" fontId="31" fillId="12" borderId="0" xfId="0" applyFont="1" applyFill="1" applyAlignment="1">
      <alignment horizontal="right"/>
    </xf>
    <xf numFmtId="0" fontId="32" fillId="0" borderId="0" xfId="0" applyFont="1" applyAlignment="1">
      <alignment horizontal="right"/>
    </xf>
    <xf numFmtId="0" fontId="20" fillId="0" borderId="0" xfId="0" applyFont="1" applyAlignment="1">
      <alignment horizontal="right" vertical="top"/>
    </xf>
    <xf numFmtId="0" fontId="33" fillId="0" borderId="0" xfId="0" applyFont="1" applyAlignment="1">
      <alignment horizontal="right"/>
    </xf>
    <xf numFmtId="4" fontId="21" fillId="0" borderId="0" xfId="0" applyNumberFormat="1" applyFont="1"/>
    <xf numFmtId="0" fontId="27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34" fillId="0" borderId="0" xfId="0" applyFont="1"/>
    <xf numFmtId="166" fontId="23" fillId="0" borderId="0" xfId="0" applyNumberFormat="1" applyFont="1" applyAlignment="1">
      <alignment horizontal="right"/>
    </xf>
    <xf numFmtId="166" fontId="35" fillId="0" borderId="0" xfId="0" applyNumberFormat="1" applyFont="1"/>
    <xf numFmtId="166" fontId="20" fillId="0" borderId="0" xfId="0" applyNumberFormat="1" applyFont="1"/>
    <xf numFmtId="2" fontId="21" fillId="0" borderId="0" xfId="0" applyNumberFormat="1" applyFont="1"/>
    <xf numFmtId="0" fontId="21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167" fontId="21" fillId="0" borderId="0" xfId="0" applyNumberFormat="1" applyFont="1"/>
    <xf numFmtId="0" fontId="38" fillId="0" borderId="0" xfId="0" applyFont="1" applyAlignment="1">
      <alignment horizontal="right"/>
    </xf>
    <xf numFmtId="0" fontId="39" fillId="0" borderId="0" xfId="0" applyFont="1" applyAlignment="1">
      <alignment horizontal="right"/>
    </xf>
    <xf numFmtId="1" fontId="2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45" fillId="0" borderId="0" xfId="0" applyFont="1" applyAlignment="1">
      <alignment horizontal="center"/>
    </xf>
    <xf numFmtId="0" fontId="2" fillId="15" borderId="0" xfId="0" applyFont="1" applyFill="1" applyAlignment="1">
      <alignment horizontal="center" vertical="center" wrapText="1"/>
    </xf>
    <xf numFmtId="0" fontId="21" fillId="14" borderId="0" xfId="0" applyFont="1" applyFill="1"/>
    <xf numFmtId="0" fontId="40" fillId="0" borderId="0" xfId="0" applyFont="1" applyAlignment="1">
      <alignment horizontal="right"/>
    </xf>
    <xf numFmtId="0" fontId="24" fillId="0" borderId="0" xfId="0" applyFont="1" applyAlignment="1">
      <alignment horizontal="left" vertical="top"/>
    </xf>
    <xf numFmtId="0" fontId="15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49" fontId="20" fillId="15" borderId="0" xfId="0" applyNumberFormat="1" applyFont="1" applyFill="1" applyAlignment="1">
      <alignment horizontal="right"/>
    </xf>
    <xf numFmtId="0" fontId="49" fillId="0" borderId="0" xfId="0" applyFont="1"/>
    <xf numFmtId="0" fontId="20" fillId="14" borderId="0" xfId="0" applyFont="1" applyFill="1"/>
    <xf numFmtId="2" fontId="14" fillId="0" borderId="0" xfId="0" applyNumberFormat="1" applyFont="1" applyAlignment="1">
      <alignment horizontal="right"/>
    </xf>
    <xf numFmtId="0" fontId="30" fillId="14" borderId="0" xfId="0" applyFont="1" applyFill="1" applyAlignment="1">
      <alignment horizontal="right"/>
    </xf>
    <xf numFmtId="0" fontId="32" fillId="0" borderId="0" xfId="0" applyFont="1" applyAlignment="1">
      <alignment horizontal="right" vertical="top"/>
    </xf>
    <xf numFmtId="1" fontId="32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top"/>
    </xf>
    <xf numFmtId="3" fontId="15" fillId="0" borderId="0" xfId="0" applyNumberFormat="1" applyFont="1" applyAlignment="1">
      <alignment horizontal="right"/>
    </xf>
    <xf numFmtId="4" fontId="41" fillId="0" borderId="0" xfId="0" applyNumberFormat="1" applyFont="1" applyAlignment="1">
      <alignment horizontal="right"/>
    </xf>
    <xf numFmtId="0" fontId="41" fillId="0" borderId="0" xfId="0" applyFont="1" applyAlignment="1">
      <alignment horizontal="right"/>
    </xf>
    <xf numFmtId="4" fontId="14" fillId="0" borderId="0" xfId="0" applyNumberFormat="1" applyFont="1" applyAlignment="1">
      <alignment horizontal="left"/>
    </xf>
    <xf numFmtId="0" fontId="0" fillId="12" borderId="0" xfId="0" applyFill="1"/>
    <xf numFmtId="0" fontId="36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3" fillId="0" borderId="0" xfId="0" applyFont="1" applyAlignment="1">
      <alignment horizontal="right"/>
    </xf>
    <xf numFmtId="1" fontId="21" fillId="0" borderId="0" xfId="0" applyNumberFormat="1" applyFont="1"/>
    <xf numFmtId="0" fontId="50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4" fillId="14" borderId="0" xfId="0" applyFont="1" applyFill="1" applyAlignment="1">
      <alignment horizontal="right"/>
    </xf>
    <xf numFmtId="167" fontId="32" fillId="0" borderId="0" xfId="0" applyNumberFormat="1" applyFont="1" applyAlignment="1">
      <alignment horizontal="right"/>
    </xf>
    <xf numFmtId="0" fontId="41" fillId="0" borderId="0" xfId="0" applyFont="1" applyAlignment="1">
      <alignment horizontal="right" vertical="top"/>
    </xf>
    <xf numFmtId="0" fontId="27" fillId="14" borderId="0" xfId="0" applyFont="1" applyFill="1" applyAlignment="1">
      <alignment horizontal="right"/>
    </xf>
    <xf numFmtId="0" fontId="43" fillId="0" borderId="0" xfId="0" applyFont="1"/>
    <xf numFmtId="0" fontId="44" fillId="0" borderId="0" xfId="0" applyFont="1" applyAlignment="1">
      <alignment horizontal="right"/>
    </xf>
    <xf numFmtId="0" fontId="23" fillId="0" borderId="0" xfId="0" applyFont="1" applyAlignment="1">
      <alignment horizontal="right" vertical="top"/>
    </xf>
    <xf numFmtId="167" fontId="32" fillId="0" borderId="0" xfId="0" applyNumberFormat="1" applyFont="1" applyAlignment="1">
      <alignment horizontal="right" vertical="top"/>
    </xf>
    <xf numFmtId="0" fontId="45" fillId="0" borderId="0" xfId="0" applyFont="1"/>
    <xf numFmtId="0" fontId="21" fillId="14" borderId="0" xfId="0" applyFont="1" applyFill="1" applyAlignment="1">
      <alignment horizontal="right"/>
    </xf>
    <xf numFmtId="0" fontId="15" fillId="14" borderId="0" xfId="0" applyFont="1" applyFill="1" applyAlignment="1">
      <alignment horizontal="right"/>
    </xf>
    <xf numFmtId="0" fontId="0" fillId="14" borderId="0" xfId="0" applyFill="1" applyAlignment="1">
      <alignment horizontal="right"/>
    </xf>
    <xf numFmtId="0" fontId="44" fillId="14" borderId="0" xfId="0" applyFont="1" applyFill="1" applyAlignment="1">
      <alignment horizontal="right"/>
    </xf>
    <xf numFmtId="4" fontId="34" fillId="0" borderId="0" xfId="0" applyNumberFormat="1" applyFont="1" applyAlignment="1">
      <alignment horizontal="right"/>
    </xf>
    <xf numFmtId="0" fontId="51" fillId="12" borderId="0" xfId="0" applyFont="1" applyFill="1" applyAlignment="1">
      <alignment horizontal="right"/>
    </xf>
    <xf numFmtId="0" fontId="33" fillId="14" borderId="0" xfId="0" applyFont="1" applyFill="1" applyAlignment="1">
      <alignment horizontal="right" vertical="top"/>
    </xf>
    <xf numFmtId="0" fontId="23" fillId="14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46" fillId="0" borderId="0" xfId="0" applyFont="1" applyAlignment="1">
      <alignment horizontal="right"/>
    </xf>
    <xf numFmtId="0" fontId="29" fillId="14" borderId="0" xfId="0" applyFont="1" applyFill="1" applyAlignment="1">
      <alignment horizontal="right"/>
    </xf>
    <xf numFmtId="0" fontId="52" fillId="12" borderId="0" xfId="0" applyFont="1" applyFill="1" applyAlignment="1">
      <alignment horizontal="right"/>
    </xf>
    <xf numFmtId="0" fontId="21" fillId="15" borderId="0" xfId="0" applyFont="1" applyFill="1"/>
    <xf numFmtId="0" fontId="47" fillId="0" borderId="0" xfId="0" applyFont="1"/>
    <xf numFmtId="0" fontId="48" fillId="0" borderId="0" xfId="0" applyFont="1"/>
    <xf numFmtId="0" fontId="55" fillId="0" borderId="0" xfId="0" applyFont="1" applyAlignment="1">
      <alignment horizontal="center" vertical="center" wrapText="1"/>
    </xf>
    <xf numFmtId="0" fontId="55" fillId="16" borderId="0" xfId="0" applyFont="1" applyFill="1" applyAlignment="1">
      <alignment horizontal="center" vertical="center" wrapText="1"/>
    </xf>
    <xf numFmtId="0" fontId="55" fillId="18" borderId="0" xfId="0" applyFont="1" applyFill="1" applyAlignment="1">
      <alignment horizontal="center" vertical="center" wrapText="1"/>
    </xf>
    <xf numFmtId="0" fontId="55" fillId="0" borderId="0" xfId="0" applyFont="1" applyAlignment="1">
      <alignment horizontal="left"/>
    </xf>
    <xf numFmtId="0" fontId="56" fillId="0" borderId="0" xfId="0" applyFont="1"/>
    <xf numFmtId="2" fontId="56" fillId="16" borderId="0" xfId="0" applyNumberFormat="1" applyFont="1" applyFill="1" applyAlignment="1">
      <alignment horizontal="right"/>
    </xf>
    <xf numFmtId="2" fontId="57" fillId="17" borderId="0" xfId="0" applyNumberFormat="1" applyFont="1" applyFill="1" applyAlignment="1">
      <alignment horizontal="right"/>
    </xf>
    <xf numFmtId="2" fontId="56" fillId="18" borderId="0" xfId="0" applyNumberFormat="1" applyFont="1" applyFill="1" applyAlignment="1">
      <alignment horizontal="right"/>
    </xf>
    <xf numFmtId="2" fontId="55" fillId="16" borderId="0" xfId="0" applyNumberFormat="1" applyFont="1" applyFill="1" applyAlignment="1">
      <alignment horizontal="center"/>
    </xf>
    <xf numFmtId="2" fontId="56" fillId="16" borderId="0" xfId="0" applyNumberFormat="1" applyFont="1" applyFill="1"/>
    <xf numFmtId="2" fontId="56" fillId="16" borderId="0" xfId="0" applyNumberFormat="1" applyFont="1" applyFill="1" applyAlignment="1">
      <alignment horizontal="center"/>
    </xf>
    <xf numFmtId="2" fontId="55" fillId="16" borderId="0" xfId="0" applyNumberFormat="1" applyFont="1" applyFill="1" applyAlignment="1">
      <alignment horizontal="right"/>
    </xf>
    <xf numFmtId="0" fontId="60" fillId="0" borderId="0" xfId="1" applyFont="1" applyAlignment="1">
      <alignment horizontal="right" vertical="center"/>
    </xf>
    <xf numFmtId="0" fontId="58" fillId="0" borderId="0" xfId="0" applyFont="1"/>
    <xf numFmtId="0" fontId="60" fillId="0" borderId="0" xfId="2" applyFont="1" applyAlignment="1">
      <alignment horizontal="right" vertical="center"/>
    </xf>
    <xf numFmtId="0" fontId="60" fillId="0" borderId="0" xfId="3" applyFont="1" applyAlignment="1">
      <alignment horizontal="right" vertical="center"/>
    </xf>
    <xf numFmtId="0" fontId="0" fillId="0" borderId="0" xfId="0" pivotButton="1"/>
    <xf numFmtId="0" fontId="60" fillId="0" borderId="0" xfId="4" applyFont="1"/>
    <xf numFmtId="0" fontId="0" fillId="0" borderId="0" xfId="0" applyAlignment="1">
      <alignment horizontal="left"/>
    </xf>
    <xf numFmtId="1" fontId="0" fillId="0" borderId="0" xfId="0" applyNumberFormat="1"/>
    <xf numFmtId="0" fontId="60" fillId="0" borderId="0" xfId="0" applyFont="1"/>
    <xf numFmtId="0" fontId="60" fillId="0" borderId="0" xfId="0" applyFont="1" applyAlignment="1">
      <alignment horizontal="right" vertical="center"/>
    </xf>
    <xf numFmtId="0" fontId="60" fillId="0" borderId="0" xfId="5" applyFont="1" applyAlignment="1">
      <alignment horizontal="right" vertical="center"/>
    </xf>
    <xf numFmtId="0" fontId="63" fillId="0" borderId="0" xfId="0" applyFont="1" applyAlignment="1">
      <alignment horizontal="center" vertical="center" wrapText="1"/>
    </xf>
    <xf numFmtId="0" fontId="64" fillId="0" borderId="7" xfId="0" applyFont="1" applyBorder="1" applyAlignment="1">
      <alignment horizontal="center" vertical="center"/>
    </xf>
    <xf numFmtId="0" fontId="64" fillId="0" borderId="9" xfId="0" applyFont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0" fontId="60" fillId="0" borderId="0" xfId="6" applyFont="1" applyAlignment="1">
      <alignment horizontal="right" vertical="center"/>
    </xf>
    <xf numFmtId="0" fontId="60" fillId="0" borderId="0" xfId="7" applyFont="1" applyAlignment="1">
      <alignment horizontal="right" vertical="center"/>
    </xf>
    <xf numFmtId="0" fontId="67" fillId="0" borderId="0" xfId="8" applyFont="1" applyAlignment="1">
      <alignment horizontal="right" vertical="center"/>
    </xf>
    <xf numFmtId="1" fontId="67" fillId="0" borderId="0" xfId="9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68" fillId="20" borderId="12" xfId="0" applyFont="1" applyFill="1" applyBorder="1" applyAlignment="1">
      <alignment horizontal="center" vertical="center" wrapText="1"/>
    </xf>
    <xf numFmtId="0" fontId="68" fillId="20" borderId="13" xfId="0" applyFont="1" applyFill="1" applyBorder="1" applyAlignment="1">
      <alignment horizontal="center" vertical="center" wrapText="1"/>
    </xf>
    <xf numFmtId="1" fontId="66" fillId="0" borderId="11" xfId="9" applyNumberFormat="1" applyBorder="1" applyAlignment="1">
      <alignment horizontal="center" vertical="center"/>
    </xf>
    <xf numFmtId="0" fontId="59" fillId="0" borderId="15" xfId="0" applyFont="1" applyBorder="1"/>
    <xf numFmtId="0" fontId="69" fillId="0" borderId="16" xfId="0" applyFont="1" applyBorder="1"/>
    <xf numFmtId="0" fontId="70" fillId="0" borderId="0" xfId="0" applyFont="1"/>
    <xf numFmtId="0" fontId="59" fillId="0" borderId="14" xfId="0" applyFont="1" applyBorder="1"/>
    <xf numFmtId="0" fontId="68" fillId="20" borderId="11" xfId="0" applyFont="1" applyFill="1" applyBorder="1" applyAlignment="1">
      <alignment horizontal="center" vertical="center" wrapText="1"/>
    </xf>
    <xf numFmtId="0" fontId="71" fillId="0" borderId="11" xfId="0" applyFont="1" applyBorder="1"/>
    <xf numFmtId="0" fontId="60" fillId="0" borderId="11" xfId="4" applyFont="1" applyBorder="1"/>
    <xf numFmtId="0" fontId="71" fillId="0" borderId="11" xfId="0" applyFont="1" applyBorder="1" applyAlignment="1">
      <alignment horizontal="left"/>
    </xf>
    <xf numFmtId="0" fontId="68" fillId="20" borderId="0" xfId="0" applyFont="1" applyFill="1" applyAlignment="1">
      <alignment horizontal="center" vertical="center" wrapText="1"/>
    </xf>
    <xf numFmtId="0" fontId="71" fillId="0" borderId="0" xfId="0" applyFont="1"/>
    <xf numFmtId="0" fontId="72" fillId="0" borderId="0" xfId="0" applyFont="1" applyAlignment="1">
      <alignment horizontal="center"/>
    </xf>
    <xf numFmtId="0" fontId="59" fillId="0" borderId="0" xfId="7" applyAlignment="1">
      <alignment horizontal="center" vertical="center"/>
    </xf>
    <xf numFmtId="1" fontId="66" fillId="0" borderId="0" xfId="9" applyNumberFormat="1" applyAlignment="1">
      <alignment horizontal="center" vertical="center"/>
    </xf>
    <xf numFmtId="0" fontId="72" fillId="0" borderId="0" xfId="0" applyFont="1"/>
    <xf numFmtId="0" fontId="71" fillId="0" borderId="0" xfId="0" applyFont="1" applyAlignment="1">
      <alignment horizontal="left"/>
    </xf>
    <xf numFmtId="0" fontId="59" fillId="0" borderId="0" xfId="0" applyFont="1" applyAlignment="1">
      <alignment horizontal="center" vertical="center"/>
    </xf>
    <xf numFmtId="0" fontId="59" fillId="0" borderId="0" xfId="0" applyFont="1"/>
    <xf numFmtId="0" fontId="59" fillId="0" borderId="0" xfId="10" applyFont="1" applyFill="1" applyAlignment="1"/>
    <xf numFmtId="0" fontId="59" fillId="0" borderId="0" xfId="10" applyNumberFormat="1" applyFont="1" applyFill="1" applyAlignment="1">
      <alignment horizontal="center"/>
    </xf>
    <xf numFmtId="0" fontId="59" fillId="0" borderId="15" xfId="0" applyFont="1" applyBorder="1" applyAlignment="1">
      <alignment horizontal="center"/>
    </xf>
    <xf numFmtId="168" fontId="67" fillId="0" borderId="0" xfId="11" applyNumberFormat="1" applyFont="1" applyAlignment="1">
      <alignment horizontal="right" vertical="center"/>
    </xf>
    <xf numFmtId="169" fontId="67" fillId="0" borderId="0" xfId="11" applyNumberFormat="1" applyFont="1" applyAlignment="1">
      <alignment horizontal="right" vertical="center"/>
    </xf>
    <xf numFmtId="41" fontId="59" fillId="0" borderId="0" xfId="12" applyFont="1" applyFill="1" applyAlignment="1"/>
    <xf numFmtId="0" fontId="59" fillId="0" borderId="0" xfId="12" applyNumberFormat="1" applyFont="1" applyFill="1" applyAlignment="1"/>
    <xf numFmtId="170" fontId="67" fillId="0" borderId="0" xfId="11" applyNumberFormat="1" applyFont="1" applyAlignment="1">
      <alignment horizontal="right" vertical="center"/>
    </xf>
    <xf numFmtId="0" fontId="75" fillId="0" borderId="0" xfId="10" applyFont="1" applyFill="1" applyAlignment="1"/>
    <xf numFmtId="0" fontId="76" fillId="0" borderId="0" xfId="0" applyFont="1" applyAlignment="1">
      <alignment horizontal="center"/>
    </xf>
    <xf numFmtId="0" fontId="76" fillId="0" borderId="0" xfId="0" applyFont="1"/>
    <xf numFmtId="41" fontId="59" fillId="0" borderId="0" xfId="0" applyNumberFormat="1" applyFont="1"/>
    <xf numFmtId="0" fontId="75" fillId="0" borderId="15" xfId="0" applyFont="1" applyBorder="1"/>
    <xf numFmtId="0" fontId="59" fillId="0" borderId="0" xfId="12" applyNumberFormat="1" applyFont="1" applyFill="1" applyAlignment="1">
      <alignment horizontal="center"/>
    </xf>
    <xf numFmtId="0" fontId="59" fillId="0" borderId="0" xfId="0" applyFont="1" applyAlignment="1">
      <alignment horizontal="center"/>
    </xf>
    <xf numFmtId="2" fontId="56" fillId="0" borderId="0" xfId="0" applyNumberFormat="1" applyFont="1" applyAlignment="1">
      <alignment horizontal="right"/>
    </xf>
    <xf numFmtId="2" fontId="55" fillId="0" borderId="0" xfId="0" applyNumberFormat="1" applyFont="1" applyAlignment="1">
      <alignment horizontal="center"/>
    </xf>
    <xf numFmtId="2" fontId="56" fillId="0" borderId="0" xfId="0" applyNumberFormat="1" applyFont="1"/>
    <xf numFmtId="2" fontId="56" fillId="0" borderId="0" xfId="0" applyNumberFormat="1" applyFont="1" applyAlignment="1">
      <alignment horizontal="center"/>
    </xf>
    <xf numFmtId="2" fontId="55" fillId="0" borderId="0" xfId="0" applyNumberFormat="1" applyFont="1" applyAlignment="1">
      <alignment horizontal="right"/>
    </xf>
    <xf numFmtId="2" fontId="57" fillId="0" borderId="0" xfId="0" applyNumberFormat="1" applyFont="1" applyAlignment="1">
      <alignment horizontal="right"/>
    </xf>
    <xf numFmtId="1" fontId="60" fillId="0" borderId="0" xfId="13" applyNumberFormat="1" applyFont="1" applyAlignment="1">
      <alignment horizontal="right" vertical="center"/>
    </xf>
    <xf numFmtId="168" fontId="60" fillId="0" borderId="0" xfId="13" applyNumberFormat="1" applyFont="1" applyAlignment="1">
      <alignment horizontal="right" vertical="center"/>
    </xf>
    <xf numFmtId="170" fontId="60" fillId="0" borderId="0" xfId="13" applyNumberFormat="1" applyFont="1" applyAlignment="1">
      <alignment horizontal="right" vertical="center"/>
    </xf>
    <xf numFmtId="168" fontId="67" fillId="0" borderId="0" xfId="14" applyNumberFormat="1" applyFont="1" applyAlignment="1">
      <alignment horizontal="right" vertical="center"/>
    </xf>
    <xf numFmtId="170" fontId="67" fillId="0" borderId="0" xfId="14" applyNumberFormat="1" applyFont="1" applyAlignment="1">
      <alignment horizontal="right" vertical="center"/>
    </xf>
    <xf numFmtId="1" fontId="67" fillId="0" borderId="0" xfId="14" applyNumberFormat="1" applyFont="1" applyAlignment="1">
      <alignment horizontal="right" vertical="center"/>
    </xf>
    <xf numFmtId="0" fontId="77" fillId="0" borderId="0" xfId="0" applyFont="1" applyAlignment="1">
      <alignment horizontal="center"/>
    </xf>
    <xf numFmtId="0" fontId="56" fillId="0" borderId="0" xfId="0" applyFont="1" applyAlignment="1">
      <alignment horizontal="right"/>
    </xf>
    <xf numFmtId="171" fontId="0" fillId="0" borderId="0" xfId="0" applyNumberFormat="1"/>
    <xf numFmtId="0" fontId="5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1" xfId="0" applyBorder="1"/>
    <xf numFmtId="0" fontId="0" fillId="21" borderId="17" xfId="0" applyFill="1" applyBorder="1" applyAlignment="1">
      <alignment horizontal="center" vertical="center"/>
    </xf>
    <xf numFmtId="0" fontId="0" fillId="21" borderId="18" xfId="0" applyFill="1" applyBorder="1" applyAlignment="1">
      <alignment horizontal="center" vertical="center"/>
    </xf>
    <xf numFmtId="0" fontId="78" fillId="21" borderId="18" xfId="0" applyFont="1" applyFill="1" applyBorder="1" applyAlignment="1">
      <alignment horizontal="center" vertical="center" wrapText="1"/>
    </xf>
    <xf numFmtId="0" fontId="58" fillId="21" borderId="14" xfId="0" applyFont="1" applyFill="1" applyBorder="1" applyAlignment="1">
      <alignment horizontal="center" vertical="center"/>
    </xf>
    <xf numFmtId="0" fontId="58" fillId="21" borderId="18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171" fontId="0" fillId="0" borderId="2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1" fontId="60" fillId="0" borderId="0" xfId="15" applyNumberFormat="1" applyFont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0" fontId="0" fillId="0" borderId="0" xfId="0" applyNumberFormat="1"/>
    <xf numFmtId="170" fontId="60" fillId="0" borderId="0" xfId="15" applyNumberFormat="1" applyFont="1" applyAlignment="1">
      <alignment horizontal="right" vertical="center"/>
    </xf>
    <xf numFmtId="0" fontId="60" fillId="0" borderId="0" xfId="15" applyFont="1" applyAlignment="1">
      <alignment horizontal="left" vertical="center"/>
    </xf>
    <xf numFmtId="0" fontId="60" fillId="23" borderId="0" xfId="15" applyFont="1" applyFill="1" applyAlignment="1">
      <alignment horizontal="left" vertical="center"/>
    </xf>
    <xf numFmtId="0" fontId="0" fillId="22" borderId="0" xfId="0" applyFill="1"/>
    <xf numFmtId="0" fontId="59" fillId="19" borderId="0" xfId="15" applyFill="1"/>
    <xf numFmtId="0" fontId="67" fillId="0" borderId="0" xfId="16" applyFont="1" applyAlignment="1">
      <alignment horizontal="center" vertical="top" wrapText="1"/>
    </xf>
    <xf numFmtId="0" fontId="67" fillId="0" borderId="0" xfId="16" applyFont="1" applyAlignment="1">
      <alignment horizontal="left" vertical="center"/>
    </xf>
    <xf numFmtId="171" fontId="67" fillId="0" borderId="0" xfId="16" applyNumberFormat="1" applyFont="1" applyAlignment="1">
      <alignment horizontal="right" vertical="center"/>
    </xf>
    <xf numFmtId="0" fontId="67" fillId="0" borderId="0" xfId="16" applyFont="1"/>
    <xf numFmtId="0" fontId="67" fillId="0" borderId="0" xfId="17" applyFont="1" applyAlignment="1">
      <alignment horizontal="center" vertical="center"/>
    </xf>
    <xf numFmtId="1" fontId="67" fillId="0" borderId="0" xfId="17" applyNumberFormat="1" applyFont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/>
    </xf>
    <xf numFmtId="0" fontId="65" fillId="0" borderId="10" xfId="0" applyFont="1" applyBorder="1" applyAlignment="1">
      <alignment horizontal="center" vertical="center"/>
    </xf>
    <xf numFmtId="0" fontId="64" fillId="22" borderId="8" xfId="0" applyFont="1" applyFill="1" applyBorder="1" applyAlignment="1">
      <alignment horizontal="center" vertical="center" wrapText="1"/>
    </xf>
    <xf numFmtId="0" fontId="55" fillId="22" borderId="10" xfId="0" applyFont="1" applyFill="1" applyBorder="1" applyAlignment="1">
      <alignment horizontal="center" vertical="center"/>
    </xf>
    <xf numFmtId="0" fontId="65" fillId="22" borderId="10" xfId="0" applyFont="1" applyFill="1" applyBorder="1" applyAlignment="1">
      <alignment horizontal="center" vertical="center"/>
    </xf>
    <xf numFmtId="0" fontId="68" fillId="20" borderId="23" xfId="0" applyFont="1" applyFill="1" applyBorder="1" applyAlignment="1">
      <alignment horizontal="center" vertical="center" wrapText="1"/>
    </xf>
    <xf numFmtId="0" fontId="79" fillId="0" borderId="0" xfId="16" applyFont="1"/>
    <xf numFmtId="0" fontId="79" fillId="0" borderId="0" xfId="16" applyFont="1" applyAlignment="1">
      <alignment horizontal="center" vertical="top" wrapText="1"/>
    </xf>
    <xf numFmtId="0" fontId="67" fillId="0" borderId="24" xfId="16" applyFont="1" applyBorder="1" applyAlignment="1">
      <alignment horizontal="left" vertical="center"/>
    </xf>
    <xf numFmtId="171" fontId="67" fillId="0" borderId="25" xfId="16" applyNumberFormat="1" applyFont="1" applyBorder="1" applyAlignment="1">
      <alignment horizontal="right" vertical="center"/>
    </xf>
    <xf numFmtId="0" fontId="67" fillId="0" borderId="28" xfId="16" applyFont="1" applyBorder="1" applyAlignment="1">
      <alignment horizontal="left" vertical="center"/>
    </xf>
    <xf numFmtId="171" fontId="67" fillId="0" borderId="29" xfId="16" applyNumberFormat="1" applyFont="1" applyBorder="1" applyAlignment="1">
      <alignment horizontal="right" vertical="center"/>
    </xf>
    <xf numFmtId="0" fontId="68" fillId="20" borderId="26" xfId="0" applyFont="1" applyFill="1" applyBorder="1" applyAlignment="1">
      <alignment horizontal="center" vertical="center" wrapText="1"/>
    </xf>
    <xf numFmtId="0" fontId="67" fillId="0" borderId="27" xfId="17" applyFont="1" applyBorder="1" applyAlignment="1">
      <alignment horizontal="center" vertical="center"/>
    </xf>
    <xf numFmtId="0" fontId="67" fillId="0" borderId="30" xfId="17" applyFont="1" applyBorder="1" applyAlignment="1">
      <alignment horizontal="center" vertical="center"/>
    </xf>
    <xf numFmtId="0" fontId="80" fillId="20" borderId="24" xfId="16" applyFont="1" applyFill="1" applyBorder="1" applyAlignment="1">
      <alignment horizontal="center" vertical="center"/>
    </xf>
    <xf numFmtId="0" fontId="80" fillId="20" borderId="25" xfId="16" applyFont="1" applyFill="1" applyBorder="1" applyAlignment="1">
      <alignment horizontal="center" vertical="center" wrapText="1"/>
    </xf>
    <xf numFmtId="0" fontId="60" fillId="0" borderId="0" xfId="18" applyFont="1"/>
    <xf numFmtId="0" fontId="60" fillId="0" borderId="24" xfId="16" applyFont="1" applyBorder="1" applyAlignment="1">
      <alignment horizontal="left" vertical="center"/>
    </xf>
    <xf numFmtId="0" fontId="60" fillId="0" borderId="28" xfId="16" applyFont="1" applyBorder="1" applyAlignment="1">
      <alignment horizontal="left" vertical="center"/>
    </xf>
    <xf numFmtId="171" fontId="60" fillId="0" borderId="25" xfId="16" applyNumberFormat="1" applyFont="1" applyBorder="1" applyAlignment="1">
      <alignment horizontal="center" vertical="center"/>
    </xf>
    <xf numFmtId="1" fontId="60" fillId="0" borderId="25" xfId="16" applyNumberFormat="1" applyFont="1" applyBorder="1" applyAlignment="1">
      <alignment horizontal="center" vertical="center"/>
    </xf>
    <xf numFmtId="171" fontId="60" fillId="0" borderId="29" xfId="16" applyNumberFormat="1" applyFont="1" applyBorder="1" applyAlignment="1">
      <alignment horizontal="center" vertical="center"/>
    </xf>
    <xf numFmtId="1" fontId="60" fillId="0" borderId="29" xfId="16" applyNumberFormat="1" applyFont="1" applyBorder="1" applyAlignment="1">
      <alignment horizontal="center" vertical="center"/>
    </xf>
    <xf numFmtId="0" fontId="80" fillId="20" borderId="24" xfId="16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0" fillId="0" borderId="0" xfId="16" applyFont="1"/>
    <xf numFmtId="171" fontId="67" fillId="0" borderId="0" xfId="19" applyNumberFormat="1" applyFont="1" applyAlignment="1">
      <alignment horizontal="right" vertical="center"/>
    </xf>
    <xf numFmtId="0" fontId="67" fillId="0" borderId="0" xfId="19" applyFont="1" applyAlignment="1">
      <alignment horizontal="center" vertical="top" wrapText="1"/>
    </xf>
    <xf numFmtId="0" fontId="67" fillId="0" borderId="0" xfId="19" applyFont="1" applyAlignment="1">
      <alignment horizontal="left" vertical="center"/>
    </xf>
    <xf numFmtId="0" fontId="67" fillId="0" borderId="0" xfId="19" applyFont="1"/>
    <xf numFmtId="0" fontId="67" fillId="0" borderId="0" xfId="19" applyFont="1" applyAlignment="1">
      <alignment horizontal="right" vertical="center"/>
    </xf>
    <xf numFmtId="1" fontId="67" fillId="0" borderId="0" xfId="19" applyNumberFormat="1" applyFont="1" applyAlignment="1">
      <alignment horizontal="right" vertical="center"/>
    </xf>
    <xf numFmtId="0" fontId="67" fillId="0" borderId="0" xfId="20" applyFont="1" applyAlignment="1">
      <alignment horizontal="center" vertical="top" wrapText="1"/>
    </xf>
    <xf numFmtId="0" fontId="67" fillId="0" borderId="0" xfId="20" applyFont="1" applyAlignment="1">
      <alignment horizontal="left" vertical="center"/>
    </xf>
    <xf numFmtId="171" fontId="67" fillId="0" borderId="0" xfId="20" applyNumberFormat="1" applyFont="1" applyAlignment="1">
      <alignment horizontal="right" vertical="center"/>
    </xf>
    <xf numFmtId="0" fontId="67" fillId="0" borderId="0" xfId="20" applyFont="1"/>
    <xf numFmtId="0" fontId="67" fillId="0" borderId="0" xfId="20" applyFont="1" applyAlignment="1">
      <alignment horizontal="center" vertical="center"/>
    </xf>
    <xf numFmtId="1" fontId="67" fillId="0" borderId="0" xfId="20" applyNumberFormat="1" applyFont="1" applyAlignment="1">
      <alignment horizontal="center" vertical="center"/>
    </xf>
    <xf numFmtId="1" fontId="67" fillId="0" borderId="0" xfId="19" applyNumberFormat="1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68" fillId="20" borderId="17" xfId="0" applyFont="1" applyFill="1" applyBorder="1" applyAlignment="1">
      <alignment horizontal="center" vertical="center" wrapText="1"/>
    </xf>
    <xf numFmtId="0" fontId="68" fillId="20" borderId="18" xfId="0" applyFont="1" applyFill="1" applyBorder="1" applyAlignment="1">
      <alignment horizontal="center" vertical="center" wrapText="1"/>
    </xf>
    <xf numFmtId="0" fontId="68" fillId="20" borderId="14" xfId="0" applyFont="1" applyFill="1" applyBorder="1" applyAlignment="1">
      <alignment horizontal="center" vertical="center" wrapText="1"/>
    </xf>
    <xf numFmtId="0" fontId="60" fillId="0" borderId="19" xfId="4" applyFont="1" applyBorder="1"/>
    <xf numFmtId="0" fontId="60" fillId="0" borderId="20" xfId="4" applyFont="1" applyBorder="1"/>
    <xf numFmtId="0" fontId="59" fillId="0" borderId="21" xfId="0" applyFont="1" applyBorder="1"/>
    <xf numFmtId="0" fontId="59" fillId="0" borderId="22" xfId="0" applyFont="1" applyBorder="1"/>
    <xf numFmtId="0" fontId="59" fillId="0" borderId="12" xfId="0" applyFont="1" applyBorder="1"/>
    <xf numFmtId="171" fontId="67" fillId="0" borderId="19" xfId="16" applyNumberFormat="1" applyFont="1" applyBorder="1" applyAlignment="1">
      <alignment horizontal="right" vertical="center"/>
    </xf>
    <xf numFmtId="171" fontId="67" fillId="0" borderId="20" xfId="16" applyNumberFormat="1" applyFont="1" applyBorder="1" applyAlignment="1">
      <alignment horizontal="right" vertical="center"/>
    </xf>
    <xf numFmtId="171" fontId="67" fillId="0" borderId="21" xfId="16" applyNumberFormat="1" applyFont="1" applyBorder="1" applyAlignment="1">
      <alignment horizontal="right" vertical="center"/>
    </xf>
    <xf numFmtId="171" fontId="67" fillId="0" borderId="12" xfId="16" applyNumberFormat="1" applyFont="1" applyBorder="1" applyAlignment="1">
      <alignment horizontal="right" vertical="center"/>
    </xf>
    <xf numFmtId="171" fontId="67" fillId="0" borderId="19" xfId="20" applyNumberFormat="1" applyFont="1" applyBorder="1" applyAlignment="1">
      <alignment horizontal="right" vertical="center"/>
    </xf>
    <xf numFmtId="171" fontId="67" fillId="0" borderId="20" xfId="20" applyNumberFormat="1" applyFont="1" applyBorder="1" applyAlignment="1">
      <alignment horizontal="right" vertical="center"/>
    </xf>
    <xf numFmtId="171" fontId="67" fillId="0" borderId="21" xfId="20" applyNumberFormat="1" applyFont="1" applyBorder="1" applyAlignment="1">
      <alignment horizontal="right" vertical="center"/>
    </xf>
    <xf numFmtId="171" fontId="67" fillId="0" borderId="22" xfId="20" applyNumberFormat="1" applyFont="1" applyBorder="1" applyAlignment="1">
      <alignment horizontal="right" vertical="center"/>
    </xf>
    <xf numFmtId="171" fontId="67" fillId="0" borderId="12" xfId="20" applyNumberFormat="1" applyFont="1" applyBorder="1" applyAlignment="1">
      <alignment horizontal="right" vertical="center"/>
    </xf>
    <xf numFmtId="0" fontId="68" fillId="20" borderId="31" xfId="0" applyFont="1" applyFill="1" applyBorder="1" applyAlignment="1">
      <alignment horizontal="center" vertical="center" wrapText="1"/>
    </xf>
    <xf numFmtId="1" fontId="67" fillId="0" borderId="0" xfId="21" applyNumberFormat="1" applyFont="1" applyAlignment="1">
      <alignment horizontal="right" vertical="center"/>
    </xf>
    <xf numFmtId="0" fontId="67" fillId="0" borderId="0" xfId="23" applyFont="1" applyAlignment="1">
      <alignment horizontal="right" vertical="center"/>
    </xf>
    <xf numFmtId="0" fontId="81" fillId="0" borderId="0" xfId="23" applyFont="1" applyAlignment="1">
      <alignment horizontal="right" vertical="center"/>
    </xf>
    <xf numFmtId="0" fontId="71" fillId="0" borderId="16" xfId="0" applyFont="1" applyBorder="1"/>
    <xf numFmtId="0" fontId="82" fillId="0" borderId="19" xfId="0" applyFont="1" applyBorder="1"/>
    <xf numFmtId="0" fontId="82" fillId="0" borderId="0" xfId="0" applyFont="1"/>
    <xf numFmtId="0" fontId="82" fillId="0" borderId="20" xfId="0" applyFont="1" applyBorder="1"/>
    <xf numFmtId="1" fontId="0" fillId="0" borderId="0" xfId="0" applyNumberFormat="1" applyAlignment="1">
      <alignment horizontal="center" vertical="center"/>
    </xf>
    <xf numFmtId="2" fontId="0" fillId="0" borderId="0" xfId="0" applyNumberFormat="1"/>
    <xf numFmtId="0" fontId="67" fillId="0" borderId="0" xfId="19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/>
    <xf numFmtId="0" fontId="1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3" fillId="0" borderId="0" xfId="0" applyFont="1" applyAlignment="1">
      <alignment horizontal="center" vertical="center" wrapText="1"/>
    </xf>
  </cellXfs>
  <cellStyles count="24">
    <cellStyle name="Обычный" xfId="0" builtinId="0"/>
    <cellStyle name="Обычный_All in One" xfId="11" xr:uid="{80AFD057-04E1-4860-A9B2-7DFB367DE771}"/>
    <cellStyle name="Обычный_Compl_new" xfId="6" xr:uid="{2DF1EAC2-138D-47EA-83FA-44CE092C47E7}"/>
    <cellStyle name="Обычный_K-means_new_1" xfId="9" xr:uid="{732575A6-5B96-4AC6-9395-49B2833EA2A6}"/>
    <cellStyle name="Обычный_pair_new" xfId="7" xr:uid="{21272C0E-FA90-4EEE-BF68-22399AEFDAAE}"/>
    <cellStyle name="Обычный_Test" xfId="21" xr:uid="{318E4705-69D1-4B70-AD3D-560ED32AC3EA}"/>
    <cellStyle name="Обычный_Train" xfId="23" xr:uid="{CEC0D3D4-42ED-42B2-BBF2-E5D667A3F51C}"/>
    <cellStyle name="Обычный_Ward_new" xfId="5" xr:uid="{56429C50-6A1D-4EE8-93E3-350086480B36}"/>
    <cellStyle name="Обычный_Ward_new_1" xfId="8" xr:uid="{243B75E0-164F-49A1-AC44-F73F87F6B21A}"/>
    <cellStyle name="Обычный_Все методы" xfId="17" xr:uid="{D14A2CC3-5603-4BF2-81F5-DA58FBD67812}"/>
    <cellStyle name="Обычный_ДА" xfId="13" xr:uid="{6D7B365B-96EA-4DF2-94EC-30A728B14D6A}"/>
    <cellStyle name="Обычный_ДА_1" xfId="14" xr:uid="{4667039D-0D83-4DCF-B245-0C1588BCAA33}"/>
    <cellStyle name="Обычный_Данные_без_выбр (2)" xfId="4" xr:uid="{6795A7E8-9DD2-4336-8B16-BD4B2C6FC7B7}"/>
    <cellStyle name="Обычный_данные_стандарт" xfId="1" xr:uid="{00EE09B7-941F-421E-AA1D-0F11348ACE6D}"/>
    <cellStyle name="Обычный_МГК" xfId="15" xr:uid="{3D0F5FD8-A29D-4ACC-A1B0-9518DC129807}"/>
    <cellStyle name="Обычный_МГК Data" xfId="16" xr:uid="{194DBCE3-A053-4072-8254-69C7F2CE00F3}"/>
    <cellStyle name="Обычный_МГК Data_1" xfId="18" xr:uid="{5494DBFE-40C2-44A6-81E5-9FEE03D442A2}"/>
    <cellStyle name="Обычный_метод полных связей (2)" xfId="2" xr:uid="{C2DEAE5F-92C1-4F49-8F51-590CC9C15CEC}"/>
    <cellStyle name="Обычный_метод уорда" xfId="3" xr:uid="{6E800E39-9A4F-45A4-8C4F-473ACC3BB6F4}"/>
    <cellStyle name="Обычный_ФА_Data" xfId="19" xr:uid="{19A1E833-40F8-4FF8-8177-DBC4B4E3E8CB}"/>
    <cellStyle name="Обычный_ФА_Data3" xfId="20" xr:uid="{95574928-C7D2-43FD-9968-D9FC4A32CD7B}"/>
    <cellStyle name="Пояснение" xfId="10" builtinId="53"/>
    <cellStyle name="Финансовый [0]" xfId="12" builtinId="6"/>
    <cellStyle name="Финансовый_Test" xfId="22" xr:uid="{B3CAE278-782A-4A51-967A-9267AD30628B}"/>
  </cellStyles>
  <dxfs count="44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</dxf>
    <dxf>
      <fill>
        <patternFill>
          <bgColor theme="4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fgColor theme="9" tint="0.39994506668294322"/>
          <bgColor rgb="FF00B050"/>
        </patternFill>
      </fill>
    </dxf>
    <dxf>
      <fill>
        <patternFill patternType="solid">
          <fgColor rgb="FFB7E1CD"/>
          <bgColor rgb="FFB7E1CD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numFmt numFmtId="2" formatCode="0.00"/>
    </dxf>
    <dxf>
      <numFmt numFmtId="2" formatCode="0.00"/>
    </dxf>
    <dxf>
      <numFmt numFmtId="1" formatCode="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4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3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1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таблица1</c:name>
    <c:fmtId val="1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средних'!$B$1:$B$2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средних'!$B$3:$B$11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D-4AAA-A2E0-604CFE413F98}"/>
            </c:ext>
          </c:extLst>
        </c:ser>
        <c:ser>
          <c:idx val="1"/>
          <c:order val="1"/>
          <c:tx>
            <c:strRef>
              <c:f>'графики средних'!$C$1:$C$2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средних'!$C$3:$C$11</c:f>
              <c:numCache>
                <c:formatCode>General</c:formatCode>
                <c:ptCount val="9"/>
                <c:pt idx="0">
                  <c:v>-0.25248812200000004</c:v>
                </c:pt>
                <c:pt idx="1">
                  <c:v>0.89314078893333326</c:v>
                </c:pt>
                <c:pt idx="2">
                  <c:v>0.92332712083333346</c:v>
                </c:pt>
                <c:pt idx="3">
                  <c:v>1.3739608726666666</c:v>
                </c:pt>
                <c:pt idx="4">
                  <c:v>-0.85355515466666665</c:v>
                </c:pt>
                <c:pt idx="5">
                  <c:v>-1.2552145235000001</c:v>
                </c:pt>
                <c:pt idx="6">
                  <c:v>1.0109030491666668</c:v>
                </c:pt>
                <c:pt idx="7">
                  <c:v>0.28079229348333334</c:v>
                </c:pt>
                <c:pt idx="8">
                  <c:v>-1.1951431578333334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D-4AAA-A2E0-604CFE413F98}"/>
            </c:ext>
          </c:extLst>
        </c:ser>
        <c:ser>
          <c:idx val="2"/>
          <c:order val="2"/>
          <c:tx>
            <c:strRef>
              <c:f>'графики средних'!$D$1:$D$2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средних'!$D$3:$D$11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D-4AAA-A2E0-604CFE413F98}"/>
            </c:ext>
          </c:extLst>
        </c:ser>
        <c:ser>
          <c:idx val="3"/>
          <c:order val="3"/>
          <c:tx>
            <c:strRef>
              <c:f>'графики средних'!$E$1:$E$2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средних'!$E$3:$E$11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BD-4AAA-A2E0-604CFE413F98}"/>
            </c:ext>
          </c:extLst>
        </c:ser>
        <c:ser>
          <c:idx val="4"/>
          <c:order val="4"/>
          <c:tx>
            <c:strRef>
              <c:f>'графики средних'!$F$1:$F$2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средних'!$F$3:$F$11</c:f>
              <c:numCache>
                <c:formatCode>General</c:formatCode>
                <c:ptCount val="9"/>
                <c:pt idx="0">
                  <c:v>1.2369846068000001</c:v>
                </c:pt>
                <c:pt idx="1">
                  <c:v>0.1231999252</c:v>
                </c:pt>
                <c:pt idx="2">
                  <c:v>0.62030470560000006</c:v>
                </c:pt>
                <c:pt idx="3">
                  <c:v>-1.2436240413999999</c:v>
                </c:pt>
                <c:pt idx="4">
                  <c:v>1.430455013</c:v>
                </c:pt>
                <c:pt idx="5">
                  <c:v>-0.3553100978</c:v>
                </c:pt>
                <c:pt idx="6">
                  <c:v>-0.36968888720000004</c:v>
                </c:pt>
                <c:pt idx="7">
                  <c:v>2.0081377472000002</c:v>
                </c:pt>
                <c:pt idx="8">
                  <c:v>0.49441532960000006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BD-4AAA-A2E0-604CFE413F98}"/>
            </c:ext>
          </c:extLst>
        </c:ser>
        <c:ser>
          <c:idx val="5"/>
          <c:order val="5"/>
          <c:tx>
            <c:strRef>
              <c:f>'графики средних'!$G$1:$G$2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средних'!$G$3:$G$11</c:f>
              <c:numCache>
                <c:formatCode>General</c:formatCode>
                <c:ptCount val="9"/>
                <c:pt idx="0">
                  <c:v>-0.27693320781911757</c:v>
                </c:pt>
                <c:pt idx="1">
                  <c:v>-0.1631519007352942</c:v>
                </c:pt>
                <c:pt idx="2">
                  <c:v>-0.13137723080588237</c:v>
                </c:pt>
                <c:pt idx="3">
                  <c:v>-0.10483055406661768</c:v>
                </c:pt>
                <c:pt idx="4">
                  <c:v>-0.18634500546308821</c:v>
                </c:pt>
                <c:pt idx="5">
                  <c:v>4.1577928943014722E-2</c:v>
                </c:pt>
                <c:pt idx="6">
                  <c:v>-0.2090286880968088</c:v>
                </c:pt>
                <c:pt idx="7">
                  <c:v>-0.10708361461911767</c:v>
                </c:pt>
                <c:pt idx="8">
                  <c:v>0.20828455512499996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BD-4AAA-A2E0-604CFE41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130352"/>
        <c:axId val="2082131184"/>
      </c:lineChart>
      <c:catAx>
        <c:axId val="208213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1184"/>
        <c:crosses val="autoZero"/>
        <c:auto val="1"/>
        <c:lblAlgn val="ctr"/>
        <c:lblOffset val="100"/>
        <c:noMultiLvlLbl val="0"/>
      </c:catAx>
      <c:valAx>
        <c:axId val="208213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Графики'!$AF$2:$AF$17</c:f>
              <c:numCache>
                <c:formatCode>0.00000</c:formatCode>
                <c:ptCount val="16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1.729940374128673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1.4395658363140249</c:v>
                </c:pt>
                <c:pt idx="7">
                  <c:v>0.89348547526359789</c:v>
                </c:pt>
                <c:pt idx="8">
                  <c:v>1.2934335741622118</c:v>
                </c:pt>
                <c:pt idx="9">
                  <c:v>1.8832580965494981</c:v>
                </c:pt>
                <c:pt idx="10">
                  <c:v>0.92312929691281453</c:v>
                </c:pt>
                <c:pt idx="11">
                  <c:v>0.89689255044671046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1.6056705170788306</c:v>
                </c:pt>
                <c:pt idx="15">
                  <c:v>0.8086103429632151</c:v>
                </c:pt>
              </c:numCache>
            </c:numRef>
          </c:xVal>
          <c:yVal>
            <c:numRef>
              <c:f>'МГК Графики'!$AG$2:$AG$17</c:f>
              <c:numCache>
                <c:formatCode>0.00000</c:formatCode>
                <c:ptCount val="16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-0.49850143467973385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-0.30848258554336028</c:v>
                </c:pt>
                <c:pt idx="7">
                  <c:v>2.704492275511363E-2</c:v>
                </c:pt>
                <c:pt idx="8">
                  <c:v>-1.7339610608620482</c:v>
                </c:pt>
                <c:pt idx="9">
                  <c:v>-0.61657227555087213</c:v>
                </c:pt>
                <c:pt idx="10">
                  <c:v>-9.8501531737235887E-2</c:v>
                </c:pt>
                <c:pt idx="11">
                  <c:v>-0.5564981783703693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-0.90518136094967316</c:v>
                </c:pt>
                <c:pt idx="15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71-4E7B-98B5-0C5C139CDC4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Графики'!$AF$18:$AF$40</c:f>
              <c:numCache>
                <c:formatCode>0.00000</c:formatCode>
                <c:ptCount val="23"/>
                <c:pt idx="0">
                  <c:v>-0.92614254749908309</c:v>
                </c:pt>
                <c:pt idx="1">
                  <c:v>1.2150067041600144E-2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-0.65945593580130513</c:v>
                </c:pt>
                <c:pt idx="8">
                  <c:v>-0.32426004968955108</c:v>
                </c:pt>
                <c:pt idx="9">
                  <c:v>-0.41375132862549491</c:v>
                </c:pt>
                <c:pt idx="10">
                  <c:v>0.16443121958165952</c:v>
                </c:pt>
                <c:pt idx="11">
                  <c:v>-1.0605544616470557</c:v>
                </c:pt>
                <c:pt idx="12">
                  <c:v>0.36891789994640045</c:v>
                </c:pt>
                <c:pt idx="13">
                  <c:v>0.31842677389158502</c:v>
                </c:pt>
                <c:pt idx="14">
                  <c:v>0.26247666877664366</c:v>
                </c:pt>
                <c:pt idx="15">
                  <c:v>1.2449821091177646</c:v>
                </c:pt>
                <c:pt idx="16">
                  <c:v>-1.1585940839303204</c:v>
                </c:pt>
                <c:pt idx="17">
                  <c:v>7.375141447159872E-2</c:v>
                </c:pt>
                <c:pt idx="18">
                  <c:v>-0.19496999628164027</c:v>
                </c:pt>
                <c:pt idx="19">
                  <c:v>-0.16317693096208374</c:v>
                </c:pt>
                <c:pt idx="20">
                  <c:v>-0.28672534970712132</c:v>
                </c:pt>
                <c:pt idx="21">
                  <c:v>0.32025018871457267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Графики'!$AG$18:$AG$40</c:f>
              <c:numCache>
                <c:formatCode>0.00000</c:formatCode>
                <c:ptCount val="23"/>
                <c:pt idx="0">
                  <c:v>0.77680176065732853</c:v>
                </c:pt>
                <c:pt idx="1">
                  <c:v>0.24194645938294049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0.53319119340522758</c:v>
                </c:pt>
                <c:pt idx="8">
                  <c:v>0.81512009778660988</c:v>
                </c:pt>
                <c:pt idx="9">
                  <c:v>1.1658020576053612</c:v>
                </c:pt>
                <c:pt idx="10">
                  <c:v>0.64391023856106</c:v>
                </c:pt>
                <c:pt idx="11">
                  <c:v>0.72872141224169495</c:v>
                </c:pt>
                <c:pt idx="12">
                  <c:v>0.92496213008077244</c:v>
                </c:pt>
                <c:pt idx="13">
                  <c:v>1.3568222239238188</c:v>
                </c:pt>
                <c:pt idx="14">
                  <c:v>1.0498866289616577</c:v>
                </c:pt>
                <c:pt idx="15">
                  <c:v>1.2500740127821388</c:v>
                </c:pt>
                <c:pt idx="16">
                  <c:v>0.52081779384099725</c:v>
                </c:pt>
                <c:pt idx="17">
                  <c:v>1.4939118607635409</c:v>
                </c:pt>
                <c:pt idx="18">
                  <c:v>0.48796129978427788</c:v>
                </c:pt>
                <c:pt idx="19">
                  <c:v>0.39977989433818162</c:v>
                </c:pt>
                <c:pt idx="20">
                  <c:v>0.56269526972261086</c:v>
                </c:pt>
                <c:pt idx="21">
                  <c:v>0.4606849685317011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71-4E7B-98B5-0C5C139CDC4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Графики'!$AF$41:$AF$68</c:f>
              <c:numCache>
                <c:formatCode>0.00000</c:formatCode>
                <c:ptCount val="28"/>
                <c:pt idx="0">
                  <c:v>-0.68302336053045276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-0.23684745505431254</c:v>
                </c:pt>
                <c:pt idx="4">
                  <c:v>-0.38826955751306025</c:v>
                </c:pt>
                <c:pt idx="5">
                  <c:v>0.29307343975629818</c:v>
                </c:pt>
                <c:pt idx="6">
                  <c:v>-0.318374362849288</c:v>
                </c:pt>
                <c:pt idx="7">
                  <c:v>5.4112778576927596E-2</c:v>
                </c:pt>
                <c:pt idx="8">
                  <c:v>-0.1854355341492282</c:v>
                </c:pt>
                <c:pt idx="9">
                  <c:v>-0.34986602269780964</c:v>
                </c:pt>
                <c:pt idx="10">
                  <c:v>-0.36269751175821474</c:v>
                </c:pt>
                <c:pt idx="11">
                  <c:v>0.25722699652217695</c:v>
                </c:pt>
                <c:pt idx="12">
                  <c:v>-0.39168033809985148</c:v>
                </c:pt>
                <c:pt idx="13">
                  <c:v>-0.21063761047768614</c:v>
                </c:pt>
                <c:pt idx="14">
                  <c:v>1.3010984636579551E-2</c:v>
                </c:pt>
                <c:pt idx="15">
                  <c:v>0.49726383204057012</c:v>
                </c:pt>
                <c:pt idx="16">
                  <c:v>0.41894522895485448</c:v>
                </c:pt>
                <c:pt idx="17">
                  <c:v>6.2759846586646545E-2</c:v>
                </c:pt>
                <c:pt idx="18">
                  <c:v>0.29698020447087331</c:v>
                </c:pt>
                <c:pt idx="19">
                  <c:v>-0.47194241629879347</c:v>
                </c:pt>
                <c:pt idx="20">
                  <c:v>0.37367298193518822</c:v>
                </c:pt>
                <c:pt idx="21">
                  <c:v>-0.65369065560722028</c:v>
                </c:pt>
                <c:pt idx="22">
                  <c:v>-0.16850937742986946</c:v>
                </c:pt>
                <c:pt idx="23">
                  <c:v>0.12634343449439428</c:v>
                </c:pt>
                <c:pt idx="24">
                  <c:v>-0.41174067825606686</c:v>
                </c:pt>
                <c:pt idx="25">
                  <c:v>-0.65843908115097327</c:v>
                </c:pt>
                <c:pt idx="26">
                  <c:v>0.22345815276371622</c:v>
                </c:pt>
                <c:pt idx="27">
                  <c:v>0.12703220156745973</c:v>
                </c:pt>
              </c:numCache>
            </c:numRef>
          </c:xVal>
          <c:yVal>
            <c:numRef>
              <c:f>'МГК Графики'!$AG$41:$AG$68</c:f>
              <c:numCache>
                <c:formatCode>0.00000</c:formatCode>
                <c:ptCount val="28"/>
                <c:pt idx="0">
                  <c:v>0.71050364226684515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0.7046265835101243</c:v>
                </c:pt>
                <c:pt idx="4">
                  <c:v>0.45112113830844014</c:v>
                </c:pt>
                <c:pt idx="5">
                  <c:v>-0.17038645980682604</c:v>
                </c:pt>
                <c:pt idx="6">
                  <c:v>-4.1097720157032044E-2</c:v>
                </c:pt>
                <c:pt idx="7">
                  <c:v>0.54066044290843662</c:v>
                </c:pt>
                <c:pt idx="8">
                  <c:v>0.17904171901853597</c:v>
                </c:pt>
                <c:pt idx="9">
                  <c:v>1.1177608079990411</c:v>
                </c:pt>
                <c:pt idx="10">
                  <c:v>-5.6497923201090594E-2</c:v>
                </c:pt>
                <c:pt idx="11">
                  <c:v>-0.20484082621392849</c:v>
                </c:pt>
                <c:pt idx="12">
                  <c:v>-3.4587405710614152E-2</c:v>
                </c:pt>
                <c:pt idx="13">
                  <c:v>-3.7812234363291536E-2</c:v>
                </c:pt>
                <c:pt idx="14">
                  <c:v>-7.1492088820078431E-2</c:v>
                </c:pt>
                <c:pt idx="15">
                  <c:v>0.34363529892959965</c:v>
                </c:pt>
                <c:pt idx="16">
                  <c:v>0.26928079732523602</c:v>
                </c:pt>
                <c:pt idx="17">
                  <c:v>-0.30337973464224988</c:v>
                </c:pt>
                <c:pt idx="18">
                  <c:v>0.27968024922970758</c:v>
                </c:pt>
                <c:pt idx="19">
                  <c:v>-5.7009175861415073E-2</c:v>
                </c:pt>
                <c:pt idx="20">
                  <c:v>0.12927702304242647</c:v>
                </c:pt>
                <c:pt idx="21">
                  <c:v>-0.25339290950272947</c:v>
                </c:pt>
                <c:pt idx="22">
                  <c:v>-0.16601203416391094</c:v>
                </c:pt>
                <c:pt idx="23">
                  <c:v>0.51442995585066453</c:v>
                </c:pt>
                <c:pt idx="24">
                  <c:v>7.8671901897058472E-2</c:v>
                </c:pt>
                <c:pt idx="25">
                  <c:v>-0.75454987332689494</c:v>
                </c:pt>
                <c:pt idx="26">
                  <c:v>0.17463465513735948</c:v>
                </c:pt>
                <c:pt idx="2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71-4E7B-98B5-0C5C139CDC4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Графики'!$AF$69:$AF$74</c:f>
              <c:numCache>
                <c:formatCode>0.00000</c:formatCode>
                <c:ptCount val="6"/>
                <c:pt idx="0">
                  <c:v>-1.2270999878536024</c:v>
                </c:pt>
                <c:pt idx="1">
                  <c:v>-1.4555521054958924</c:v>
                </c:pt>
                <c:pt idx="2">
                  <c:v>-1.7465284351683674</c:v>
                </c:pt>
                <c:pt idx="3">
                  <c:v>-0.74395023330978849</c:v>
                </c:pt>
                <c:pt idx="4">
                  <c:v>-3.9924950647161506</c:v>
                </c:pt>
                <c:pt idx="5">
                  <c:v>-2.3297418952120257</c:v>
                </c:pt>
              </c:numCache>
            </c:numRef>
          </c:xVal>
          <c:yVal>
            <c:numRef>
              <c:f>'МГК Графики'!$AG$69:$AG$74</c:f>
              <c:numCache>
                <c:formatCode>0.00000</c:formatCode>
                <c:ptCount val="6"/>
                <c:pt idx="0">
                  <c:v>-5.7894323128173497E-2</c:v>
                </c:pt>
                <c:pt idx="1">
                  <c:v>-1.6099056437636912</c:v>
                </c:pt>
                <c:pt idx="2">
                  <c:v>0.19250875829998629</c:v>
                </c:pt>
                <c:pt idx="3">
                  <c:v>-0.58694886640448163</c:v>
                </c:pt>
                <c:pt idx="4">
                  <c:v>-1.8635103694499162</c:v>
                </c:pt>
                <c:pt idx="5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471-4E7B-98B5-0C5C139CDC4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Графики'!$AF$75:$AF$80</c:f>
              <c:numCache>
                <c:formatCode>0.00000</c:formatCode>
                <c:ptCount val="6"/>
                <c:pt idx="0">
                  <c:v>-1.4449780679126303</c:v>
                </c:pt>
                <c:pt idx="1">
                  <c:v>-0.88911062369306804</c:v>
                </c:pt>
                <c:pt idx="2">
                  <c:v>-0.9231846783284714</c:v>
                </c:pt>
                <c:pt idx="3">
                  <c:v>0.79789907308724883</c:v>
                </c:pt>
                <c:pt idx="4">
                  <c:v>-1.5669879891515488</c:v>
                </c:pt>
                <c:pt idx="5">
                  <c:v>0.12979954898566595</c:v>
                </c:pt>
              </c:numCache>
            </c:numRef>
          </c:xVal>
          <c:yVal>
            <c:numRef>
              <c:f>'МГК Графики'!$AG$75:$AG$80</c:f>
              <c:numCache>
                <c:formatCode>0.00000</c:formatCode>
                <c:ptCount val="6"/>
                <c:pt idx="0">
                  <c:v>9.2604128562096821E-2</c:v>
                </c:pt>
                <c:pt idx="1">
                  <c:v>-0.54877663704302182</c:v>
                </c:pt>
                <c:pt idx="2">
                  <c:v>-0.1568985565660376</c:v>
                </c:pt>
                <c:pt idx="3">
                  <c:v>0.16747489543875849</c:v>
                </c:pt>
                <c:pt idx="4">
                  <c:v>-0.24929968874400013</c:v>
                </c:pt>
                <c:pt idx="5">
                  <c:v>0.80747881613885342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471-4E7B-98B5-0C5C139CDC4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Графики'!$AF$81:$AF$82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Графики'!$AG$81:$AG$82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471-4E7B-98B5-0C5C139CDC4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Графики'!$AF$83:$AF$85</c:f>
              <c:numCache>
                <c:formatCode>0.00000</c:formatCode>
                <c:ptCount val="3"/>
                <c:pt idx="0">
                  <c:v>2.1016928005327316</c:v>
                </c:pt>
                <c:pt idx="1">
                  <c:v>1.5900207776688355</c:v>
                </c:pt>
                <c:pt idx="2">
                  <c:v>2.8077601812150634</c:v>
                </c:pt>
              </c:numCache>
            </c:numRef>
          </c:xVal>
          <c:yVal>
            <c:numRef>
              <c:f>'МГК Графики'!$AG$83:$AG$85</c:f>
              <c:numCache>
                <c:formatCode>0.00000</c:formatCode>
                <c:ptCount val="3"/>
                <c:pt idx="0">
                  <c:v>-0.32784773230137498</c:v>
                </c:pt>
                <c:pt idx="1">
                  <c:v>-0.16828258056050027</c:v>
                </c:pt>
                <c:pt idx="2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471-4E7B-98B5-0C5C139C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 МГК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Графики'!$AU$2:$AU$17</c:f>
              <c:numCache>
                <c:formatCode>0.00000</c:formatCode>
                <c:ptCount val="16"/>
                <c:pt idx="0">
                  <c:v>-1.2270999878536024</c:v>
                </c:pt>
                <c:pt idx="1">
                  <c:v>-0.318374362849288</c:v>
                </c:pt>
                <c:pt idx="2">
                  <c:v>-1.4449780679126303</c:v>
                </c:pt>
                <c:pt idx="3">
                  <c:v>-0.88911062369306804</c:v>
                </c:pt>
                <c:pt idx="4">
                  <c:v>-0.9231846783284714</c:v>
                </c:pt>
                <c:pt idx="5">
                  <c:v>-0.36269751175821474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-1.7465284351683674</c:v>
                </c:pt>
                <c:pt idx="9">
                  <c:v>-0.74395023330978849</c:v>
                </c:pt>
                <c:pt idx="10">
                  <c:v>-1.5669879891515488</c:v>
                </c:pt>
                <c:pt idx="11">
                  <c:v>-0.47194241629879347</c:v>
                </c:pt>
                <c:pt idx="12">
                  <c:v>-0.65369065560722028</c:v>
                </c:pt>
                <c:pt idx="13">
                  <c:v>-0.16850937742986946</c:v>
                </c:pt>
                <c:pt idx="14">
                  <c:v>-0.41174067825606686</c:v>
                </c:pt>
                <c:pt idx="15">
                  <c:v>-0.65843908115097327</c:v>
                </c:pt>
              </c:numCache>
            </c:numRef>
          </c:xVal>
          <c:yVal>
            <c:numRef>
              <c:f>'МГК Графики'!$AV$2:$AV$17</c:f>
              <c:numCache>
                <c:formatCode>0.00000</c:formatCode>
                <c:ptCount val="16"/>
                <c:pt idx="0">
                  <c:v>-5.7894323128173497E-2</c:v>
                </c:pt>
                <c:pt idx="1">
                  <c:v>-4.1097720157032044E-2</c:v>
                </c:pt>
                <c:pt idx="2">
                  <c:v>9.2604128562096821E-2</c:v>
                </c:pt>
                <c:pt idx="3">
                  <c:v>-0.54877663704302182</c:v>
                </c:pt>
                <c:pt idx="4">
                  <c:v>-0.1568985565660376</c:v>
                </c:pt>
                <c:pt idx="5">
                  <c:v>-5.6497923201090594E-2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0.19250875829998629</c:v>
                </c:pt>
                <c:pt idx="9">
                  <c:v>-0.58694886640448163</c:v>
                </c:pt>
                <c:pt idx="10">
                  <c:v>-0.24929968874400013</c:v>
                </c:pt>
                <c:pt idx="11">
                  <c:v>-5.7009175861415073E-2</c:v>
                </c:pt>
                <c:pt idx="12">
                  <c:v>-0.25339290950272947</c:v>
                </c:pt>
                <c:pt idx="13">
                  <c:v>-0.16601203416391094</c:v>
                </c:pt>
                <c:pt idx="14">
                  <c:v>7.8671901897058472E-2</c:v>
                </c:pt>
                <c:pt idx="15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2E-41B7-A78D-32236DB0457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Графики'!$AU$18:$AU$36</c:f>
              <c:numCache>
                <c:formatCode>0.00000</c:formatCode>
                <c:ptCount val="19"/>
                <c:pt idx="0">
                  <c:v>1.2150067041600144E-2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5.4112778576927596E-2</c:v>
                </c:pt>
                <c:pt idx="4">
                  <c:v>-0.1854355341492282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0.41894522895485448</c:v>
                </c:pt>
                <c:pt idx="12">
                  <c:v>-0.19496999628164027</c:v>
                </c:pt>
                <c:pt idx="13">
                  <c:v>0.29698020447087331</c:v>
                </c:pt>
                <c:pt idx="14">
                  <c:v>-0.16317693096208374</c:v>
                </c:pt>
                <c:pt idx="15">
                  <c:v>0.32025018871457267</c:v>
                </c:pt>
                <c:pt idx="16">
                  <c:v>0.12979954898566595</c:v>
                </c:pt>
                <c:pt idx="17">
                  <c:v>0.12634343449439428</c:v>
                </c:pt>
                <c:pt idx="18">
                  <c:v>0.22345815276371622</c:v>
                </c:pt>
              </c:numCache>
            </c:numRef>
          </c:xVal>
          <c:yVal>
            <c:numRef>
              <c:f>'МГК Графики'!$AV$18:$AV$36</c:f>
              <c:numCache>
                <c:formatCode>0.00000</c:formatCode>
                <c:ptCount val="19"/>
                <c:pt idx="0">
                  <c:v>0.24194645938294049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0.54066044290843662</c:v>
                </c:pt>
                <c:pt idx="4">
                  <c:v>0.17904171901853597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0.26928079732523602</c:v>
                </c:pt>
                <c:pt idx="12">
                  <c:v>0.48796129978427788</c:v>
                </c:pt>
                <c:pt idx="13">
                  <c:v>0.27968024922970758</c:v>
                </c:pt>
                <c:pt idx="14">
                  <c:v>0.39977989433818162</c:v>
                </c:pt>
                <c:pt idx="15">
                  <c:v>0.4606849685317011</c:v>
                </c:pt>
                <c:pt idx="16">
                  <c:v>0.80747881613885342</c:v>
                </c:pt>
                <c:pt idx="17">
                  <c:v>0.51442995585066453</c:v>
                </c:pt>
                <c:pt idx="18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2E-41B7-A78D-32236DB0457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Графики'!$AU$37:$AU$54</c:f>
              <c:numCache>
                <c:formatCode>0.00000</c:formatCode>
                <c:ptCount val="18"/>
                <c:pt idx="0">
                  <c:v>-0.68302336053045276</c:v>
                </c:pt>
                <c:pt idx="1">
                  <c:v>-0.92614254749908309</c:v>
                </c:pt>
                <c:pt idx="2">
                  <c:v>-0.23684745505431254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-0.68467341977940421</c:v>
                </c:pt>
                <c:pt idx="8">
                  <c:v>-0.16729151751754429</c:v>
                </c:pt>
                <c:pt idx="9">
                  <c:v>-0.34986602269780964</c:v>
                </c:pt>
                <c:pt idx="10">
                  <c:v>-0.65945593580130513</c:v>
                </c:pt>
                <c:pt idx="11">
                  <c:v>-0.32426004968955108</c:v>
                </c:pt>
                <c:pt idx="12">
                  <c:v>-0.41375132862549491</c:v>
                </c:pt>
                <c:pt idx="13">
                  <c:v>-1.0605544616470557</c:v>
                </c:pt>
                <c:pt idx="14">
                  <c:v>-1.1585940839303204</c:v>
                </c:pt>
                <c:pt idx="15">
                  <c:v>7.375141447159872E-2</c:v>
                </c:pt>
                <c:pt idx="16">
                  <c:v>-0.28672534970712132</c:v>
                </c:pt>
                <c:pt idx="17">
                  <c:v>-0.62558043335484814</c:v>
                </c:pt>
              </c:numCache>
            </c:numRef>
          </c:xVal>
          <c:yVal>
            <c:numRef>
              <c:f>'МГК Графики'!$AV$37:$AV$54</c:f>
              <c:numCache>
                <c:formatCode>0.00000</c:formatCode>
                <c:ptCount val="18"/>
                <c:pt idx="0">
                  <c:v>0.71050364226684515</c:v>
                </c:pt>
                <c:pt idx="1">
                  <c:v>0.77680176065732853</c:v>
                </c:pt>
                <c:pt idx="2">
                  <c:v>0.7046265835101243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0.96444080885915162</c:v>
                </c:pt>
                <c:pt idx="8">
                  <c:v>1.2610593447827485</c:v>
                </c:pt>
                <c:pt idx="9">
                  <c:v>1.1177608079990411</c:v>
                </c:pt>
                <c:pt idx="10">
                  <c:v>0.53319119340522758</c:v>
                </c:pt>
                <c:pt idx="11">
                  <c:v>0.81512009778660988</c:v>
                </c:pt>
                <c:pt idx="12">
                  <c:v>1.1658020576053612</c:v>
                </c:pt>
                <c:pt idx="13">
                  <c:v>0.72872141224169495</c:v>
                </c:pt>
                <c:pt idx="14">
                  <c:v>0.52081779384099725</c:v>
                </c:pt>
                <c:pt idx="15">
                  <c:v>1.4939118607635409</c:v>
                </c:pt>
                <c:pt idx="16">
                  <c:v>0.56269526972261086</c:v>
                </c:pt>
                <c:pt idx="17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2E-41B7-A78D-32236DB0457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Графики'!$AU$55:$AU$72</c:f>
              <c:numCache>
                <c:formatCode>0.00000</c:formatCode>
                <c:ptCount val="18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0.29307343975629818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0.89348547526359789</c:v>
                </c:pt>
                <c:pt idx="7">
                  <c:v>0.25722699652217695</c:v>
                </c:pt>
                <c:pt idx="8">
                  <c:v>1.3010984636579551E-2</c:v>
                </c:pt>
                <c:pt idx="9">
                  <c:v>0.92312929691281453</c:v>
                </c:pt>
                <c:pt idx="10">
                  <c:v>0.89689255044671046</c:v>
                </c:pt>
                <c:pt idx="11">
                  <c:v>0.79789907308724883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6.2759846586646545E-2</c:v>
                </c:pt>
                <c:pt idx="15">
                  <c:v>0.37367298193518822</c:v>
                </c:pt>
                <c:pt idx="16">
                  <c:v>0.8086103429632151</c:v>
                </c:pt>
                <c:pt idx="17">
                  <c:v>0.12703220156745973</c:v>
                </c:pt>
              </c:numCache>
            </c:numRef>
          </c:xVal>
          <c:yVal>
            <c:numRef>
              <c:f>'МГК Графики'!$AV$55:$AV$72</c:f>
              <c:numCache>
                <c:formatCode>0.00000</c:formatCode>
                <c:ptCount val="18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-0.17038645980682604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2.704492275511363E-2</c:v>
                </c:pt>
                <c:pt idx="7">
                  <c:v>-0.20484082621392849</c:v>
                </c:pt>
                <c:pt idx="8">
                  <c:v>-7.1492088820078431E-2</c:v>
                </c:pt>
                <c:pt idx="9">
                  <c:v>-9.8501531737235887E-2</c:v>
                </c:pt>
                <c:pt idx="10">
                  <c:v>-0.5564981783703693</c:v>
                </c:pt>
                <c:pt idx="11">
                  <c:v>0.16747489543875849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-0.30337973464224988</c:v>
                </c:pt>
                <c:pt idx="15">
                  <c:v>0.12927702304242647</c:v>
                </c:pt>
                <c:pt idx="16">
                  <c:v>0.1112933883260542</c:v>
                </c:pt>
                <c:pt idx="1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02E-41B7-A78D-32236DB0457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Графики'!$AU$73:$AU$75</c:f>
              <c:numCache>
                <c:formatCode>0.00000</c:formatCode>
                <c:ptCount val="3"/>
                <c:pt idx="0">
                  <c:v>-1.4555521054958924</c:v>
                </c:pt>
                <c:pt idx="1">
                  <c:v>-3.9924950647161506</c:v>
                </c:pt>
                <c:pt idx="2">
                  <c:v>-2.3297418952120257</c:v>
                </c:pt>
              </c:numCache>
            </c:numRef>
          </c:xVal>
          <c:yVal>
            <c:numRef>
              <c:f>'МГК Графики'!$AV$73:$AV$75</c:f>
              <c:numCache>
                <c:formatCode>0.00000</c:formatCode>
                <c:ptCount val="3"/>
                <c:pt idx="0">
                  <c:v>-1.6099056437636912</c:v>
                </c:pt>
                <c:pt idx="1">
                  <c:v>-1.8635103694499162</c:v>
                </c:pt>
                <c:pt idx="2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02E-41B7-A78D-32236DB0457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Графики'!$AU$76:$AU$77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Графики'!$AV$76:$AV$77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02E-41B7-A78D-32236DB0457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Графики'!$AU$78:$AU$85</c:f>
              <c:numCache>
                <c:formatCode>0.00000</c:formatCode>
                <c:ptCount val="8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1.2934335741622118</c:v>
                </c:pt>
                <c:pt idx="4">
                  <c:v>1.8832580965494981</c:v>
                </c:pt>
                <c:pt idx="5">
                  <c:v>1.5900207776688355</c:v>
                </c:pt>
                <c:pt idx="6">
                  <c:v>1.6056705170788306</c:v>
                </c:pt>
                <c:pt idx="7">
                  <c:v>2.8077601812150634</c:v>
                </c:pt>
              </c:numCache>
            </c:numRef>
          </c:xVal>
          <c:yVal>
            <c:numRef>
              <c:f>'МГК Графики'!$AV$78:$AV$85</c:f>
              <c:numCache>
                <c:formatCode>0.00000</c:formatCode>
                <c:ptCount val="8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-1.7339610608620482</c:v>
                </c:pt>
                <c:pt idx="4">
                  <c:v>-0.61657227555087213</c:v>
                </c:pt>
                <c:pt idx="5">
                  <c:v>-0.16828258056050027</c:v>
                </c:pt>
                <c:pt idx="6">
                  <c:v>-0.90518136094967316</c:v>
                </c:pt>
                <c:pt idx="7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02E-41B7-A78D-32236DB0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 (ФА)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Графики!$AB$152:$AB$161</c:f>
              <c:numCache>
                <c:formatCode>0.00000</c:formatCode>
                <c:ptCount val="10"/>
                <c:pt idx="0">
                  <c:v>-8.9119810673757766E-2</c:v>
                </c:pt>
                <c:pt idx="1">
                  <c:v>0.11533952265455763</c:v>
                </c:pt>
                <c:pt idx="2">
                  <c:v>-5.5939346466515515E-2</c:v>
                </c:pt>
                <c:pt idx="3">
                  <c:v>0.2872563941386353</c:v>
                </c:pt>
                <c:pt idx="4">
                  <c:v>0.10380338291087092</c:v>
                </c:pt>
                <c:pt idx="5">
                  <c:v>2.6720359327504967E-2</c:v>
                </c:pt>
                <c:pt idx="6">
                  <c:v>-0.11211465116360947</c:v>
                </c:pt>
                <c:pt idx="7">
                  <c:v>0.15340828202585571</c:v>
                </c:pt>
                <c:pt idx="8">
                  <c:v>0.1018538299199819</c:v>
                </c:pt>
                <c:pt idx="9">
                  <c:v>0.23327541193028459</c:v>
                </c:pt>
              </c:numCache>
            </c:numRef>
          </c:xVal>
          <c:yVal>
            <c:numRef>
              <c:f>Графики!$AC$152:$AC$161</c:f>
              <c:numCache>
                <c:formatCode>0.00000</c:formatCode>
                <c:ptCount val="10"/>
                <c:pt idx="0">
                  <c:v>0.11179639989172215</c:v>
                </c:pt>
                <c:pt idx="1">
                  <c:v>-9.6234457451758598E-2</c:v>
                </c:pt>
                <c:pt idx="2">
                  <c:v>0.14808415904548797</c:v>
                </c:pt>
                <c:pt idx="3">
                  <c:v>0.25316770172592307</c:v>
                </c:pt>
                <c:pt idx="4">
                  <c:v>0.28923821759140128</c:v>
                </c:pt>
                <c:pt idx="5">
                  <c:v>5.1855904965029009E-2</c:v>
                </c:pt>
                <c:pt idx="6">
                  <c:v>0.19708823508447099</c:v>
                </c:pt>
                <c:pt idx="7">
                  <c:v>0.32951726359117373</c:v>
                </c:pt>
                <c:pt idx="8">
                  <c:v>2.6135792256813027E-2</c:v>
                </c:pt>
                <c:pt idx="9">
                  <c:v>0.28958655804007843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F1-4264-AB38-D82F3D0B478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Графики!$AB$162:$AB$169</c:f>
              <c:numCache>
                <c:formatCode>0.00000</c:formatCode>
                <c:ptCount val="8"/>
                <c:pt idx="0">
                  <c:v>-0.87079771322023269</c:v>
                </c:pt>
                <c:pt idx="1">
                  <c:v>-0.73306807779064387</c:v>
                </c:pt>
                <c:pt idx="2">
                  <c:v>-0.78657463201853839</c:v>
                </c:pt>
                <c:pt idx="3">
                  <c:v>0.15181174882733139</c:v>
                </c:pt>
                <c:pt idx="4">
                  <c:v>-0.79728429106607812</c:v>
                </c:pt>
                <c:pt idx="5">
                  <c:v>-0.7259052450957203</c:v>
                </c:pt>
                <c:pt idx="6">
                  <c:v>-0.43187961823046961</c:v>
                </c:pt>
                <c:pt idx="7">
                  <c:v>-1.17686586283827</c:v>
                </c:pt>
              </c:numCache>
            </c:numRef>
          </c:xVal>
          <c:yVal>
            <c:numRef>
              <c:f>Графики!$AC$162:$AC$169</c:f>
              <c:numCache>
                <c:formatCode>0.00000</c:formatCode>
                <c:ptCount val="8"/>
                <c:pt idx="0">
                  <c:v>-1.3575790268402448</c:v>
                </c:pt>
                <c:pt idx="1">
                  <c:v>-1.2326220708139033</c:v>
                </c:pt>
                <c:pt idx="2">
                  <c:v>-1.284946910306225</c:v>
                </c:pt>
                <c:pt idx="3">
                  <c:v>-1.7709981633448415</c:v>
                </c:pt>
                <c:pt idx="4">
                  <c:v>-1.464215058777294</c:v>
                </c:pt>
                <c:pt idx="5">
                  <c:v>-1.0358133860264127</c:v>
                </c:pt>
                <c:pt idx="6">
                  <c:v>-1.6351653933383339</c:v>
                </c:pt>
                <c:pt idx="7">
                  <c:v>-2.1431056667695443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F1-4264-AB38-D82F3D0B478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Графики!$AB$170:$AB$178</c:f>
              <c:numCache>
                <c:formatCode>0.00000</c:formatCode>
                <c:ptCount val="9"/>
                <c:pt idx="0">
                  <c:v>0.79058352877034876</c:v>
                </c:pt>
                <c:pt idx="1">
                  <c:v>1.0015406709965224</c:v>
                </c:pt>
                <c:pt idx="2">
                  <c:v>1.2400512669958057</c:v>
                </c:pt>
                <c:pt idx="3">
                  <c:v>0.72918590139698258</c:v>
                </c:pt>
                <c:pt idx="4">
                  <c:v>0.87762677608307582</c:v>
                </c:pt>
                <c:pt idx="5">
                  <c:v>0.88065318213145261</c:v>
                </c:pt>
                <c:pt idx="6">
                  <c:v>1.3144228074563784</c:v>
                </c:pt>
                <c:pt idx="7">
                  <c:v>0.47803147429678572</c:v>
                </c:pt>
                <c:pt idx="8">
                  <c:v>0.81028984568778351</c:v>
                </c:pt>
              </c:numCache>
            </c:numRef>
          </c:xVal>
          <c:yVal>
            <c:numRef>
              <c:f>Графики!$AC$170:$AC$178</c:f>
              <c:numCache>
                <c:formatCode>0.00000</c:formatCode>
                <c:ptCount val="9"/>
                <c:pt idx="0">
                  <c:v>0.74798878588910789</c:v>
                </c:pt>
                <c:pt idx="1">
                  <c:v>0.98006832302496982</c:v>
                </c:pt>
                <c:pt idx="2">
                  <c:v>0.28656942891912751</c:v>
                </c:pt>
                <c:pt idx="3">
                  <c:v>0.60203755166720763</c:v>
                </c:pt>
                <c:pt idx="4">
                  <c:v>1.0832102283588858</c:v>
                </c:pt>
                <c:pt idx="5">
                  <c:v>0.2338025479337949</c:v>
                </c:pt>
                <c:pt idx="6">
                  <c:v>0.83446588494493323</c:v>
                </c:pt>
                <c:pt idx="7">
                  <c:v>0.45363932430539305</c:v>
                </c:pt>
                <c:pt idx="8">
                  <c:v>-0.15672945775482311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9F1-4264-AB38-D82F3D0B478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Графики!$AB$179:$AB$191</c:f>
              <c:numCache>
                <c:formatCode>0.00000</c:formatCode>
                <c:ptCount val="13"/>
                <c:pt idx="0">
                  <c:v>-0.54185207836917237</c:v>
                </c:pt>
                <c:pt idx="1">
                  <c:v>-0.49589350567880308</c:v>
                </c:pt>
                <c:pt idx="2">
                  <c:v>-0.85026456640818671</c:v>
                </c:pt>
                <c:pt idx="3">
                  <c:v>-0.75655269664103209</c:v>
                </c:pt>
                <c:pt idx="4">
                  <c:v>-0.72892822121547196</c:v>
                </c:pt>
                <c:pt idx="5">
                  <c:v>-1.1620164067016108</c:v>
                </c:pt>
                <c:pt idx="6">
                  <c:v>-0.67360864374600249</c:v>
                </c:pt>
                <c:pt idx="7">
                  <c:v>-0.36298232173799749</c:v>
                </c:pt>
                <c:pt idx="8">
                  <c:v>-0.4066182503095459</c:v>
                </c:pt>
                <c:pt idx="9">
                  <c:v>-0.51610250166578775</c:v>
                </c:pt>
                <c:pt idx="10">
                  <c:v>-0.35499981984382156</c:v>
                </c:pt>
                <c:pt idx="11">
                  <c:v>-0.49876748996794334</c:v>
                </c:pt>
                <c:pt idx="12">
                  <c:v>-0.36682838037648707</c:v>
                </c:pt>
              </c:numCache>
            </c:numRef>
          </c:xVal>
          <c:yVal>
            <c:numRef>
              <c:f>Графики!$AC$179:$AC$191</c:f>
              <c:numCache>
                <c:formatCode>0.00000</c:formatCode>
                <c:ptCount val="13"/>
                <c:pt idx="0">
                  <c:v>0.15189894281162353</c:v>
                </c:pt>
                <c:pt idx="1">
                  <c:v>0.21738163977052516</c:v>
                </c:pt>
                <c:pt idx="2">
                  <c:v>0.39623852075782362</c:v>
                </c:pt>
                <c:pt idx="3">
                  <c:v>0.49300251609350881</c:v>
                </c:pt>
                <c:pt idx="4">
                  <c:v>0.39193431682269342</c:v>
                </c:pt>
                <c:pt idx="5">
                  <c:v>-6.6345486943133136E-2</c:v>
                </c:pt>
                <c:pt idx="6">
                  <c:v>1.493801203940251E-2</c:v>
                </c:pt>
                <c:pt idx="7">
                  <c:v>0.14481752289660785</c:v>
                </c:pt>
                <c:pt idx="8">
                  <c:v>-6.0400047882279789E-2</c:v>
                </c:pt>
                <c:pt idx="9">
                  <c:v>1.2553331004984375E-2</c:v>
                </c:pt>
                <c:pt idx="10">
                  <c:v>0.11730944566896107</c:v>
                </c:pt>
                <c:pt idx="11">
                  <c:v>0.19382803288830666</c:v>
                </c:pt>
                <c:pt idx="12">
                  <c:v>-8.5213244737700547E-2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F1-4264-AB38-D82F3D0B478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Графики!$AB$192:$AB$209</c:f>
              <c:numCache>
                <c:formatCode>0.00000</c:formatCode>
                <c:ptCount val="18"/>
                <c:pt idx="0">
                  <c:v>-0.17194133930383831</c:v>
                </c:pt>
                <c:pt idx="1">
                  <c:v>-0.38849176077921294</c:v>
                </c:pt>
                <c:pt idx="2">
                  <c:v>-0.15111573761358915</c:v>
                </c:pt>
                <c:pt idx="3">
                  <c:v>-0.11443173247445947</c:v>
                </c:pt>
                <c:pt idx="4">
                  <c:v>-0.18125232865637222</c:v>
                </c:pt>
                <c:pt idx="5">
                  <c:v>-0.24709135883320335</c:v>
                </c:pt>
                <c:pt idx="6">
                  <c:v>-0.56989889793253101</c:v>
                </c:pt>
                <c:pt idx="7">
                  <c:v>-0.22014196453994933</c:v>
                </c:pt>
                <c:pt idx="8">
                  <c:v>-0.16465997908068913</c:v>
                </c:pt>
                <c:pt idx="9">
                  <c:v>-0.55259005149687179</c:v>
                </c:pt>
                <c:pt idx="10">
                  <c:v>-0.29397361667948574</c:v>
                </c:pt>
                <c:pt idx="11">
                  <c:v>-0.15087741072062189</c:v>
                </c:pt>
                <c:pt idx="12">
                  <c:v>-3.5550638338124878E-2</c:v>
                </c:pt>
                <c:pt idx="13">
                  <c:v>-0.59840703031219089</c:v>
                </c:pt>
                <c:pt idx="14">
                  <c:v>-0.41930164612182774</c:v>
                </c:pt>
                <c:pt idx="15">
                  <c:v>1.7948078753961819E-2</c:v>
                </c:pt>
                <c:pt idx="16">
                  <c:v>-0.53921967522483771</c:v>
                </c:pt>
                <c:pt idx="17">
                  <c:v>1.2809539512048759E-2</c:v>
                </c:pt>
              </c:numCache>
            </c:numRef>
          </c:xVal>
          <c:yVal>
            <c:numRef>
              <c:f>Графики!$AC$192:$AC$209</c:f>
              <c:numCache>
                <c:formatCode>0.00000</c:formatCode>
                <c:ptCount val="18"/>
                <c:pt idx="0">
                  <c:v>-1.0012087352330716</c:v>
                </c:pt>
                <c:pt idx="1">
                  <c:v>-0.53253982233248742</c:v>
                </c:pt>
                <c:pt idx="2">
                  <c:v>-0.42197622310556893</c:v>
                </c:pt>
                <c:pt idx="3">
                  <c:v>-0.27850479167278203</c:v>
                </c:pt>
                <c:pt idx="4">
                  <c:v>-0.57956194601559274</c:v>
                </c:pt>
                <c:pt idx="5">
                  <c:v>-0.78129522214936309</c:v>
                </c:pt>
                <c:pt idx="6">
                  <c:v>-0.44314094694650352</c:v>
                </c:pt>
                <c:pt idx="7">
                  <c:v>-0.23223457413964091</c:v>
                </c:pt>
                <c:pt idx="8">
                  <c:v>-9.6974650045999103E-2</c:v>
                </c:pt>
                <c:pt idx="9">
                  <c:v>-0.48076065394553058</c:v>
                </c:pt>
                <c:pt idx="10">
                  <c:v>-0.78637416212332634</c:v>
                </c:pt>
                <c:pt idx="11">
                  <c:v>-0.33596317991568669</c:v>
                </c:pt>
                <c:pt idx="12">
                  <c:v>-1.0602908524109591</c:v>
                </c:pt>
                <c:pt idx="13">
                  <c:v>-0.27314833281500489</c:v>
                </c:pt>
                <c:pt idx="14">
                  <c:v>-0.35065073975896993</c:v>
                </c:pt>
                <c:pt idx="15">
                  <c:v>-0.30041965122295811</c:v>
                </c:pt>
                <c:pt idx="16">
                  <c:v>-0.3767139753160289</c:v>
                </c:pt>
                <c:pt idx="17">
                  <c:v>-0.28094001498696397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9F1-4264-AB38-D82F3D0B478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Графики!$AB$210:$AB$230</c:f>
              <c:numCache>
                <c:formatCode>0.00000</c:formatCode>
                <c:ptCount val="21"/>
                <c:pt idx="0">
                  <c:v>-0.13451451232488276</c:v>
                </c:pt>
                <c:pt idx="1">
                  <c:v>0.19932708745991812</c:v>
                </c:pt>
                <c:pt idx="2">
                  <c:v>-0.4724740896956573</c:v>
                </c:pt>
                <c:pt idx="3">
                  <c:v>-0.42827118311882084</c:v>
                </c:pt>
                <c:pt idx="4">
                  <c:v>-0.78152501018729892</c:v>
                </c:pt>
                <c:pt idx="5">
                  <c:v>-0.12671423524950598</c:v>
                </c:pt>
                <c:pt idx="6">
                  <c:v>-0.28619267566762907</c:v>
                </c:pt>
                <c:pt idx="7">
                  <c:v>-0.10394890266884078</c:v>
                </c:pt>
                <c:pt idx="8">
                  <c:v>-0.41784106204887256</c:v>
                </c:pt>
                <c:pt idx="9">
                  <c:v>-0.11736768132177426</c:v>
                </c:pt>
                <c:pt idx="10">
                  <c:v>-0.64775395089259924</c:v>
                </c:pt>
                <c:pt idx="11">
                  <c:v>-0.6293968689451459</c:v>
                </c:pt>
                <c:pt idx="12">
                  <c:v>8.6655908263776643E-2</c:v>
                </c:pt>
                <c:pt idx="13">
                  <c:v>-0.35944540310941886</c:v>
                </c:pt>
                <c:pt idx="14">
                  <c:v>-0.3557876883273583</c:v>
                </c:pt>
                <c:pt idx="15">
                  <c:v>0.23356751601829567</c:v>
                </c:pt>
                <c:pt idx="16">
                  <c:v>0.42417319543497206</c:v>
                </c:pt>
                <c:pt idx="17">
                  <c:v>-0.70205527369496579</c:v>
                </c:pt>
                <c:pt idx="18">
                  <c:v>-0.10555239348844631</c:v>
                </c:pt>
                <c:pt idx="19">
                  <c:v>-0.16915910797623473</c:v>
                </c:pt>
                <c:pt idx="20">
                  <c:v>0.15399538588792039</c:v>
                </c:pt>
              </c:numCache>
            </c:numRef>
          </c:xVal>
          <c:yVal>
            <c:numRef>
              <c:f>Графики!$AC$210:$AC$230</c:f>
              <c:numCache>
                <c:formatCode>0.00000</c:formatCode>
                <c:ptCount val="21"/>
                <c:pt idx="0">
                  <c:v>0.89377730053213045</c:v>
                </c:pt>
                <c:pt idx="1">
                  <c:v>0.93265110532370332</c:v>
                </c:pt>
                <c:pt idx="2">
                  <c:v>0.38255119173808305</c:v>
                </c:pt>
                <c:pt idx="3">
                  <c:v>0.48425112828308814</c:v>
                </c:pt>
                <c:pt idx="4">
                  <c:v>1.4836983388613088</c:v>
                </c:pt>
                <c:pt idx="5">
                  <c:v>0.89831443314952231</c:v>
                </c:pt>
                <c:pt idx="6">
                  <c:v>0.6358856912681573</c:v>
                </c:pt>
                <c:pt idx="7">
                  <c:v>0.52785114680889056</c:v>
                </c:pt>
                <c:pt idx="8">
                  <c:v>0.36104639685150308</c:v>
                </c:pt>
                <c:pt idx="9">
                  <c:v>0.96486952516322799</c:v>
                </c:pt>
                <c:pt idx="10">
                  <c:v>0.87515307946599441</c:v>
                </c:pt>
                <c:pt idx="11">
                  <c:v>0.93513214266637501</c:v>
                </c:pt>
                <c:pt idx="12">
                  <c:v>0.68421042878290372</c:v>
                </c:pt>
                <c:pt idx="13">
                  <c:v>0.59762510918128431</c:v>
                </c:pt>
                <c:pt idx="14">
                  <c:v>0.73045917804048932</c:v>
                </c:pt>
                <c:pt idx="15">
                  <c:v>0.97487622103112614</c:v>
                </c:pt>
                <c:pt idx="16">
                  <c:v>1.0988921216954144</c:v>
                </c:pt>
                <c:pt idx="17">
                  <c:v>0.93226822013875532</c:v>
                </c:pt>
                <c:pt idx="18">
                  <c:v>0.34960788327969616</c:v>
                </c:pt>
                <c:pt idx="19">
                  <c:v>0.54589800527810195</c:v>
                </c:pt>
                <c:pt idx="20">
                  <c:v>0.60521757756953565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F1-4264-AB38-D82F3D0B478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Графики!$AB$231:$AB$235</c:f>
              <c:numCache>
                <c:formatCode>0.00000</c:formatCode>
                <c:ptCount val="5"/>
                <c:pt idx="0">
                  <c:v>2.4824375559147982</c:v>
                </c:pt>
                <c:pt idx="1">
                  <c:v>1.902856985383709</c:v>
                </c:pt>
                <c:pt idx="2">
                  <c:v>2.7540978363047044</c:v>
                </c:pt>
                <c:pt idx="3">
                  <c:v>3.619696286195575</c:v>
                </c:pt>
                <c:pt idx="4">
                  <c:v>2.9484895773711197</c:v>
                </c:pt>
              </c:numCache>
            </c:numRef>
          </c:xVal>
          <c:yVal>
            <c:numRef>
              <c:f>Графики!$AC$231:$AC$235</c:f>
              <c:numCache>
                <c:formatCode>0.00000</c:formatCode>
                <c:ptCount val="5"/>
                <c:pt idx="0">
                  <c:v>-3.5038434894163402</c:v>
                </c:pt>
                <c:pt idx="1">
                  <c:v>-0.2082836011668015</c:v>
                </c:pt>
                <c:pt idx="2">
                  <c:v>-1.6333727458119061</c:v>
                </c:pt>
                <c:pt idx="3">
                  <c:v>1.4279839764762299</c:v>
                </c:pt>
                <c:pt idx="4">
                  <c:v>-2.6808108057498919E-2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9F1-4264-AB38-D82F3D0B4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5072"/>
        <c:axId val="1040869248"/>
      </c:scatterChart>
      <c:valAx>
        <c:axId val="1040875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0869248"/>
        <c:crosses val="autoZero"/>
        <c:crossBetween val="midCat"/>
      </c:valAx>
      <c:valAx>
        <c:axId val="104086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0875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k-means (</a:t>
            </a:r>
            <a:r>
              <a:rPr lang="ru-RU"/>
              <a:t>ФА)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Графики!$AH$152:$AH$177</c:f>
              <c:numCache>
                <c:formatCode>0.00000</c:formatCode>
                <c:ptCount val="26"/>
                <c:pt idx="0">
                  <c:v>-0.38849176077921294</c:v>
                </c:pt>
                <c:pt idx="1">
                  <c:v>-0.54185207836917237</c:v>
                </c:pt>
                <c:pt idx="2">
                  <c:v>-0.15111573761358915</c:v>
                </c:pt>
                <c:pt idx="3">
                  <c:v>-0.11443173247445947</c:v>
                </c:pt>
                <c:pt idx="4">
                  <c:v>-0.18125232865637222</c:v>
                </c:pt>
                <c:pt idx="5">
                  <c:v>-0.24709135883320335</c:v>
                </c:pt>
                <c:pt idx="6">
                  <c:v>-0.56989889793253101</c:v>
                </c:pt>
                <c:pt idx="7">
                  <c:v>-0.22014196453994933</c:v>
                </c:pt>
                <c:pt idx="8">
                  <c:v>-0.49589350567880308</c:v>
                </c:pt>
                <c:pt idx="9">
                  <c:v>-0.16465997908068913</c:v>
                </c:pt>
                <c:pt idx="10">
                  <c:v>-1.1620164067016108</c:v>
                </c:pt>
                <c:pt idx="11">
                  <c:v>-0.55259005149687179</c:v>
                </c:pt>
                <c:pt idx="12">
                  <c:v>-0.67360864374600249</c:v>
                </c:pt>
                <c:pt idx="13">
                  <c:v>-0.29397361667948574</c:v>
                </c:pt>
                <c:pt idx="14">
                  <c:v>-0.15087741072062189</c:v>
                </c:pt>
                <c:pt idx="15">
                  <c:v>-0.59840703031219089</c:v>
                </c:pt>
                <c:pt idx="16">
                  <c:v>-0.41930164612182774</c:v>
                </c:pt>
                <c:pt idx="17">
                  <c:v>1.7948078753961819E-2</c:v>
                </c:pt>
                <c:pt idx="18">
                  <c:v>-0.36298232173799749</c:v>
                </c:pt>
                <c:pt idx="19">
                  <c:v>-0.4066182503095459</c:v>
                </c:pt>
                <c:pt idx="20">
                  <c:v>-0.53921967522483771</c:v>
                </c:pt>
                <c:pt idx="21">
                  <c:v>-0.51610250166578775</c:v>
                </c:pt>
                <c:pt idx="22">
                  <c:v>-0.35499981984382156</c:v>
                </c:pt>
                <c:pt idx="23">
                  <c:v>-0.49876748996794334</c:v>
                </c:pt>
                <c:pt idx="24">
                  <c:v>-0.36682838037648707</c:v>
                </c:pt>
                <c:pt idx="25">
                  <c:v>1.2809539512048759E-2</c:v>
                </c:pt>
              </c:numCache>
            </c:numRef>
          </c:xVal>
          <c:yVal>
            <c:numRef>
              <c:f>Графики!$AI$152:$AI$177</c:f>
              <c:numCache>
                <c:formatCode>0.00000</c:formatCode>
                <c:ptCount val="26"/>
                <c:pt idx="0">
                  <c:v>-0.53253982233248742</c:v>
                </c:pt>
                <c:pt idx="1">
                  <c:v>0.15189894281162353</c:v>
                </c:pt>
                <c:pt idx="2">
                  <c:v>-0.42197622310556893</c:v>
                </c:pt>
                <c:pt idx="3">
                  <c:v>-0.27850479167278203</c:v>
                </c:pt>
                <c:pt idx="4">
                  <c:v>-0.57956194601559274</c:v>
                </c:pt>
                <c:pt idx="5">
                  <c:v>-0.78129522214936309</c:v>
                </c:pt>
                <c:pt idx="6">
                  <c:v>-0.44314094694650352</c:v>
                </c:pt>
                <c:pt idx="7">
                  <c:v>-0.23223457413964091</c:v>
                </c:pt>
                <c:pt idx="8">
                  <c:v>0.21738163977052516</c:v>
                </c:pt>
                <c:pt idx="9">
                  <c:v>-9.6974650045999103E-2</c:v>
                </c:pt>
                <c:pt idx="10">
                  <c:v>-6.6345486943133136E-2</c:v>
                </c:pt>
                <c:pt idx="11">
                  <c:v>-0.48076065394553058</c:v>
                </c:pt>
                <c:pt idx="12">
                  <c:v>1.493801203940251E-2</c:v>
                </c:pt>
                <c:pt idx="13">
                  <c:v>-0.78637416212332634</c:v>
                </c:pt>
                <c:pt idx="14">
                  <c:v>-0.33596317991568669</c:v>
                </c:pt>
                <c:pt idx="15">
                  <c:v>-0.27314833281500489</c:v>
                </c:pt>
                <c:pt idx="16">
                  <c:v>-0.35065073975896993</c:v>
                </c:pt>
                <c:pt idx="17">
                  <c:v>-0.30041965122295811</c:v>
                </c:pt>
                <c:pt idx="18">
                  <c:v>0.14481752289660785</c:v>
                </c:pt>
                <c:pt idx="19">
                  <c:v>-6.0400047882279789E-2</c:v>
                </c:pt>
                <c:pt idx="20">
                  <c:v>-0.3767139753160289</c:v>
                </c:pt>
                <c:pt idx="21">
                  <c:v>1.2553331004984375E-2</c:v>
                </c:pt>
                <c:pt idx="22">
                  <c:v>0.11730944566896107</c:v>
                </c:pt>
                <c:pt idx="23">
                  <c:v>0.19382803288830666</c:v>
                </c:pt>
                <c:pt idx="24">
                  <c:v>-8.5213244737700547E-2</c:v>
                </c:pt>
                <c:pt idx="25">
                  <c:v>-0.28094001498696397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C8-48D3-A54D-46C4C5F96F9E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Графики!$AH$178:$AH$193</c:f>
              <c:numCache>
                <c:formatCode>0.00000</c:formatCode>
                <c:ptCount val="16"/>
                <c:pt idx="0">
                  <c:v>-8.9119810673757766E-2</c:v>
                </c:pt>
                <c:pt idx="1">
                  <c:v>-0.10394890266884078</c:v>
                </c:pt>
                <c:pt idx="2">
                  <c:v>0.11533952265455763</c:v>
                </c:pt>
                <c:pt idx="3">
                  <c:v>-5.5939346466515515E-2</c:v>
                </c:pt>
                <c:pt idx="4">
                  <c:v>8.6655908263776643E-2</c:v>
                </c:pt>
                <c:pt idx="5">
                  <c:v>0.2872563941386353</c:v>
                </c:pt>
                <c:pt idx="6">
                  <c:v>0.10380338291087092</c:v>
                </c:pt>
                <c:pt idx="7">
                  <c:v>2.6720359327504967E-2</c:v>
                </c:pt>
                <c:pt idx="8">
                  <c:v>-0.11211465116360947</c:v>
                </c:pt>
                <c:pt idx="9">
                  <c:v>0.15340828202585571</c:v>
                </c:pt>
                <c:pt idx="10">
                  <c:v>-0.10555239348844631</c:v>
                </c:pt>
                <c:pt idx="11">
                  <c:v>0.47803147429678572</c:v>
                </c:pt>
                <c:pt idx="12">
                  <c:v>0.1018538299199819</c:v>
                </c:pt>
                <c:pt idx="13">
                  <c:v>0.23327541193028459</c:v>
                </c:pt>
                <c:pt idx="14">
                  <c:v>0.81028984568778351</c:v>
                </c:pt>
                <c:pt idx="15">
                  <c:v>0.15399538588792039</c:v>
                </c:pt>
              </c:numCache>
            </c:numRef>
          </c:xVal>
          <c:yVal>
            <c:numRef>
              <c:f>Графики!$AI$178:$AI$193</c:f>
              <c:numCache>
                <c:formatCode>0.00000</c:formatCode>
                <c:ptCount val="16"/>
                <c:pt idx="0">
                  <c:v>0.11179639989172215</c:v>
                </c:pt>
                <c:pt idx="1">
                  <c:v>0.52785114680889056</c:v>
                </c:pt>
                <c:pt idx="2">
                  <c:v>-9.6234457451758598E-2</c:v>
                </c:pt>
                <c:pt idx="3">
                  <c:v>0.14808415904548797</c:v>
                </c:pt>
                <c:pt idx="4">
                  <c:v>0.68421042878290372</c:v>
                </c:pt>
                <c:pt idx="5">
                  <c:v>0.25316770172592307</c:v>
                </c:pt>
                <c:pt idx="6">
                  <c:v>0.28923821759140128</c:v>
                </c:pt>
                <c:pt idx="7">
                  <c:v>5.1855904965029009E-2</c:v>
                </c:pt>
                <c:pt idx="8">
                  <c:v>0.19708823508447099</c:v>
                </c:pt>
                <c:pt idx="9">
                  <c:v>0.32951726359117373</c:v>
                </c:pt>
                <c:pt idx="10">
                  <c:v>0.34960788327969616</c:v>
                </c:pt>
                <c:pt idx="11">
                  <c:v>0.45363932430539305</c:v>
                </c:pt>
                <c:pt idx="12">
                  <c:v>2.6135792256813027E-2</c:v>
                </c:pt>
                <c:pt idx="13">
                  <c:v>0.28958655804007843</c:v>
                </c:pt>
                <c:pt idx="14">
                  <c:v>-0.15672945775482311</c:v>
                </c:pt>
                <c:pt idx="15">
                  <c:v>0.60521757756953565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7C8-48D3-A54D-46C4C5F96F9E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Графики!$AH$194:$AH$210</c:f>
              <c:numCache>
                <c:formatCode>0.00000</c:formatCode>
                <c:ptCount val="17"/>
                <c:pt idx="0">
                  <c:v>-0.13451451232488276</c:v>
                </c:pt>
                <c:pt idx="1">
                  <c:v>-0.4724740896956573</c:v>
                </c:pt>
                <c:pt idx="2">
                  <c:v>-0.42827118311882084</c:v>
                </c:pt>
                <c:pt idx="3">
                  <c:v>-0.78152501018729892</c:v>
                </c:pt>
                <c:pt idx="4">
                  <c:v>-0.12671423524950598</c:v>
                </c:pt>
                <c:pt idx="5">
                  <c:v>-0.28619267566762907</c:v>
                </c:pt>
                <c:pt idx="6">
                  <c:v>-0.41784106204887256</c:v>
                </c:pt>
                <c:pt idx="7">
                  <c:v>-0.11736768132177426</c:v>
                </c:pt>
                <c:pt idx="8">
                  <c:v>-0.64775395089259924</c:v>
                </c:pt>
                <c:pt idx="9">
                  <c:v>-0.6293968689451459</c:v>
                </c:pt>
                <c:pt idx="10">
                  <c:v>-0.35944540310941886</c:v>
                </c:pt>
                <c:pt idx="11">
                  <c:v>-0.3557876883273583</c:v>
                </c:pt>
                <c:pt idx="12">
                  <c:v>-0.85026456640818671</c:v>
                </c:pt>
                <c:pt idx="13">
                  <c:v>-0.75655269664103209</c:v>
                </c:pt>
                <c:pt idx="14">
                  <c:v>-0.72892822121547196</c:v>
                </c:pt>
                <c:pt idx="15">
                  <c:v>-0.70205527369496579</c:v>
                </c:pt>
                <c:pt idx="16">
                  <c:v>-0.16915910797623473</c:v>
                </c:pt>
              </c:numCache>
            </c:numRef>
          </c:xVal>
          <c:yVal>
            <c:numRef>
              <c:f>Графики!$AI$194:$AI$210</c:f>
              <c:numCache>
                <c:formatCode>0.00000</c:formatCode>
                <c:ptCount val="17"/>
                <c:pt idx="0">
                  <c:v>0.89377730053213045</c:v>
                </c:pt>
                <c:pt idx="1">
                  <c:v>0.38255119173808305</c:v>
                </c:pt>
                <c:pt idx="2">
                  <c:v>0.48425112828308814</c:v>
                </c:pt>
                <c:pt idx="3">
                  <c:v>1.4836983388613088</c:v>
                </c:pt>
                <c:pt idx="4">
                  <c:v>0.89831443314952231</c:v>
                </c:pt>
                <c:pt idx="5">
                  <c:v>0.6358856912681573</c:v>
                </c:pt>
                <c:pt idx="6">
                  <c:v>0.36104639685150308</c:v>
                </c:pt>
                <c:pt idx="7">
                  <c:v>0.96486952516322799</c:v>
                </c:pt>
                <c:pt idx="8">
                  <c:v>0.87515307946599441</c:v>
                </c:pt>
                <c:pt idx="9">
                  <c:v>0.93513214266637501</c:v>
                </c:pt>
                <c:pt idx="10">
                  <c:v>0.59762510918128431</c:v>
                </c:pt>
                <c:pt idx="11">
                  <c:v>0.73045917804048932</c:v>
                </c:pt>
                <c:pt idx="12">
                  <c:v>0.39623852075782362</c:v>
                </c:pt>
                <c:pt idx="13">
                  <c:v>0.49300251609350881</c:v>
                </c:pt>
                <c:pt idx="14">
                  <c:v>0.39193431682269342</c:v>
                </c:pt>
                <c:pt idx="15">
                  <c:v>0.93226822013875532</c:v>
                </c:pt>
                <c:pt idx="16">
                  <c:v>0.54589800527810195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7C8-48D3-A54D-46C4C5F96F9E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Графики!$AH$211:$AH$213</c:f>
              <c:numCache>
                <c:formatCode>0.00000</c:formatCode>
                <c:ptCount val="3"/>
                <c:pt idx="0">
                  <c:v>1.902856985383709</c:v>
                </c:pt>
                <c:pt idx="1">
                  <c:v>3.619696286195575</c:v>
                </c:pt>
                <c:pt idx="2">
                  <c:v>2.9484895773711197</c:v>
                </c:pt>
              </c:numCache>
            </c:numRef>
          </c:xVal>
          <c:yVal>
            <c:numRef>
              <c:f>Графики!$AI$211:$AI$213</c:f>
              <c:numCache>
                <c:formatCode>0.00000</c:formatCode>
                <c:ptCount val="3"/>
                <c:pt idx="0">
                  <c:v>-0.2082836011668015</c:v>
                </c:pt>
                <c:pt idx="1">
                  <c:v>1.4279839764762299</c:v>
                </c:pt>
                <c:pt idx="2">
                  <c:v>-2.6808108057498919E-2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7C8-48D3-A54D-46C4C5F96F9E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Графики!$AH$214:$AH$223</c:f>
              <c:numCache>
                <c:formatCode>0.00000</c:formatCode>
                <c:ptCount val="10"/>
                <c:pt idx="0">
                  <c:v>-0.17194133930383831</c:v>
                </c:pt>
                <c:pt idx="1">
                  <c:v>-0.87079771322023269</c:v>
                </c:pt>
                <c:pt idx="2">
                  <c:v>-0.73306807779064387</c:v>
                </c:pt>
                <c:pt idx="3">
                  <c:v>-0.78657463201853839</c:v>
                </c:pt>
                <c:pt idx="4">
                  <c:v>0.15181174882733139</c:v>
                </c:pt>
                <c:pt idx="5">
                  <c:v>-0.79728429106607812</c:v>
                </c:pt>
                <c:pt idx="6">
                  <c:v>-0.7259052450957203</c:v>
                </c:pt>
                <c:pt idx="7">
                  <c:v>-3.5550638338124878E-2</c:v>
                </c:pt>
                <c:pt idx="8">
                  <c:v>-0.43187961823046961</c:v>
                </c:pt>
                <c:pt idx="9">
                  <c:v>-1.17686586283827</c:v>
                </c:pt>
              </c:numCache>
            </c:numRef>
          </c:xVal>
          <c:yVal>
            <c:numRef>
              <c:f>Графики!$AI$214:$AI$223</c:f>
              <c:numCache>
                <c:formatCode>0.00000</c:formatCode>
                <c:ptCount val="10"/>
                <c:pt idx="0">
                  <c:v>-1.0012087352330716</c:v>
                </c:pt>
                <c:pt idx="1">
                  <c:v>-1.3575790268402448</c:v>
                </c:pt>
                <c:pt idx="2">
                  <c:v>-1.2326220708139033</c:v>
                </c:pt>
                <c:pt idx="3">
                  <c:v>-1.284946910306225</c:v>
                </c:pt>
                <c:pt idx="4">
                  <c:v>-1.7709981633448415</c:v>
                </c:pt>
                <c:pt idx="5">
                  <c:v>-1.464215058777294</c:v>
                </c:pt>
                <c:pt idx="6">
                  <c:v>-1.0358133860264127</c:v>
                </c:pt>
                <c:pt idx="7">
                  <c:v>-1.0602908524109591</c:v>
                </c:pt>
                <c:pt idx="8">
                  <c:v>-1.6351653933383339</c:v>
                </c:pt>
                <c:pt idx="9">
                  <c:v>-2.1431056667695443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7C8-48D3-A54D-46C4C5F96F9E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Графики!$AH$224:$AH$233</c:f>
              <c:numCache>
                <c:formatCode>0.00000</c:formatCode>
                <c:ptCount val="10"/>
                <c:pt idx="0">
                  <c:v>0.19932708745991812</c:v>
                </c:pt>
                <c:pt idx="1">
                  <c:v>0.79058352877034876</c:v>
                </c:pt>
                <c:pt idx="2">
                  <c:v>1.0015406709965224</c:v>
                </c:pt>
                <c:pt idx="3">
                  <c:v>1.2400512669958057</c:v>
                </c:pt>
                <c:pt idx="4">
                  <c:v>0.72918590139698258</c:v>
                </c:pt>
                <c:pt idx="5">
                  <c:v>0.23356751601829567</c:v>
                </c:pt>
                <c:pt idx="6">
                  <c:v>0.87762677608307582</c:v>
                </c:pt>
                <c:pt idx="7">
                  <c:v>0.42417319543497206</c:v>
                </c:pt>
                <c:pt idx="8">
                  <c:v>0.88065318213145261</c:v>
                </c:pt>
                <c:pt idx="9">
                  <c:v>1.3144228074563784</c:v>
                </c:pt>
              </c:numCache>
            </c:numRef>
          </c:xVal>
          <c:yVal>
            <c:numRef>
              <c:f>Графики!$AI$224:$AI$233</c:f>
              <c:numCache>
                <c:formatCode>0.00000</c:formatCode>
                <c:ptCount val="10"/>
                <c:pt idx="0">
                  <c:v>0.93265110532370332</c:v>
                </c:pt>
                <c:pt idx="1">
                  <c:v>0.74798878588910789</c:v>
                </c:pt>
                <c:pt idx="2">
                  <c:v>0.98006832302496982</c:v>
                </c:pt>
                <c:pt idx="3">
                  <c:v>0.28656942891912751</c:v>
                </c:pt>
                <c:pt idx="4">
                  <c:v>0.60203755166720763</c:v>
                </c:pt>
                <c:pt idx="5">
                  <c:v>0.97487622103112614</c:v>
                </c:pt>
                <c:pt idx="6">
                  <c:v>1.0832102283588858</c:v>
                </c:pt>
                <c:pt idx="7">
                  <c:v>1.0988921216954144</c:v>
                </c:pt>
                <c:pt idx="8">
                  <c:v>0.2338025479337949</c:v>
                </c:pt>
                <c:pt idx="9">
                  <c:v>0.83446588494493323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7C8-48D3-A54D-46C4C5F96F9E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Графики!$AH$234:$AH$235</c:f>
              <c:numCache>
                <c:formatCode>0.00000</c:formatCode>
                <c:ptCount val="2"/>
                <c:pt idx="0">
                  <c:v>2.4824375559147982</c:v>
                </c:pt>
                <c:pt idx="1">
                  <c:v>2.7540978363047044</c:v>
                </c:pt>
              </c:numCache>
            </c:numRef>
          </c:xVal>
          <c:yVal>
            <c:numRef>
              <c:f>Графики!$AI$234:$AI$235</c:f>
              <c:numCache>
                <c:formatCode>0.00000</c:formatCode>
                <c:ptCount val="2"/>
                <c:pt idx="0">
                  <c:v>-3.5038434894163402</c:v>
                </c:pt>
                <c:pt idx="1">
                  <c:v>-1.6333727458119061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7C8-48D3-A54D-46C4C5F96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178096"/>
        <c:axId val="1036180592"/>
      </c:scatterChart>
      <c:valAx>
        <c:axId val="1036178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180592"/>
        <c:crosses val="autoZero"/>
        <c:crossBetween val="midCat"/>
      </c:valAx>
      <c:valAx>
        <c:axId val="103618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178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Графики'!$B$2:$B$4</c:f>
              <c:numCache>
                <c:formatCode>0.00000</c:formatCode>
                <c:ptCount val="3"/>
                <c:pt idx="0">
                  <c:v>-0.68302336053045276</c:v>
                </c:pt>
                <c:pt idx="1">
                  <c:v>-0.92614254749908309</c:v>
                </c:pt>
                <c:pt idx="2">
                  <c:v>-1.2270999878536024</c:v>
                </c:pt>
              </c:numCache>
            </c:numRef>
          </c:xVal>
          <c:yVal>
            <c:numRef>
              <c:f>'МГК Графики'!$C$2:$C$4</c:f>
              <c:numCache>
                <c:formatCode>0.00000</c:formatCode>
                <c:ptCount val="3"/>
                <c:pt idx="0">
                  <c:v>0.71050364226684515</c:v>
                </c:pt>
                <c:pt idx="1">
                  <c:v>0.77680176065732853</c:v>
                </c:pt>
                <c:pt idx="2">
                  <c:v>-5.7894323128173497E-2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F7-4699-B2F3-68F258AC9337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Графики'!$B$5:$B$6</c:f>
              <c:numCache>
                <c:formatCode>0.00000</c:formatCode>
                <c:ptCount val="2"/>
                <c:pt idx="0">
                  <c:v>1.2150067041600144E-2</c:v>
                </c:pt>
                <c:pt idx="1">
                  <c:v>0.95419538499667966</c:v>
                </c:pt>
              </c:numCache>
            </c:numRef>
          </c:xVal>
          <c:yVal>
            <c:numRef>
              <c:f>'МГК Графики'!$C$5:$C$6</c:f>
              <c:numCache>
                <c:formatCode>0.00000</c:formatCode>
                <c:ptCount val="2"/>
                <c:pt idx="0">
                  <c:v>0.24194645938294049</c:v>
                </c:pt>
                <c:pt idx="1">
                  <c:v>-0.8035224435647651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F7-4699-B2F3-68F258AC9337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Графики'!$B$7:$B$9</c:f>
              <c:numCache>
                <c:formatCode>0.00000</c:formatCode>
                <c:ptCount val="3"/>
                <c:pt idx="0">
                  <c:v>0.64016186034313138</c:v>
                </c:pt>
                <c:pt idx="1">
                  <c:v>-1.6078402545490693E-2</c:v>
                </c:pt>
                <c:pt idx="2">
                  <c:v>0.33820098691855244</c:v>
                </c:pt>
              </c:numCache>
            </c:numRef>
          </c:xVal>
          <c:yVal>
            <c:numRef>
              <c:f>'МГК Графики'!$C$7:$C$9</c:f>
              <c:numCache>
                <c:formatCode>0.00000</c:formatCode>
                <c:ptCount val="3"/>
                <c:pt idx="0">
                  <c:v>-0.37488435258881508</c:v>
                </c:pt>
                <c:pt idx="1">
                  <c:v>0.61365064390561352</c:v>
                </c:pt>
                <c:pt idx="2">
                  <c:v>0.49600666943754734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F7-4699-B2F3-68F258AC9337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Графики'!$B$10:$B$34</c:f>
              <c:numCache>
                <c:formatCode>0.00000</c:formatCode>
                <c:ptCount val="25"/>
                <c:pt idx="0">
                  <c:v>-0.23684745505431254</c:v>
                </c:pt>
                <c:pt idx="1">
                  <c:v>0.51170261896111424</c:v>
                </c:pt>
                <c:pt idx="2">
                  <c:v>0.96281979262049577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2.1016928005327316</c:v>
                </c:pt>
                <c:pt idx="8">
                  <c:v>0.29307343975629818</c:v>
                </c:pt>
                <c:pt idx="9">
                  <c:v>-0.318374362849288</c:v>
                </c:pt>
                <c:pt idx="10">
                  <c:v>-1.4449780679126303</c:v>
                </c:pt>
                <c:pt idx="11">
                  <c:v>1.729940374128673</c:v>
                </c:pt>
                <c:pt idx="12">
                  <c:v>5.4112778576927596E-2</c:v>
                </c:pt>
                <c:pt idx="13">
                  <c:v>-0.68467341977940421</c:v>
                </c:pt>
                <c:pt idx="14">
                  <c:v>-0.16729151751754429</c:v>
                </c:pt>
                <c:pt idx="15">
                  <c:v>0.57679327393605218</c:v>
                </c:pt>
                <c:pt idx="16">
                  <c:v>-0.1854355341492282</c:v>
                </c:pt>
                <c:pt idx="17">
                  <c:v>-0.34986602269780964</c:v>
                </c:pt>
                <c:pt idx="18">
                  <c:v>0.97493628898955165</c:v>
                </c:pt>
                <c:pt idx="19">
                  <c:v>1.4395658363140249</c:v>
                </c:pt>
                <c:pt idx="20">
                  <c:v>0.89348547526359789</c:v>
                </c:pt>
                <c:pt idx="21">
                  <c:v>-0.88911062369306804</c:v>
                </c:pt>
                <c:pt idx="22">
                  <c:v>1.2934335741622118</c:v>
                </c:pt>
                <c:pt idx="23">
                  <c:v>-0.9231846783284714</c:v>
                </c:pt>
                <c:pt idx="24">
                  <c:v>-1.4555521054958924</c:v>
                </c:pt>
              </c:numCache>
            </c:numRef>
          </c:xVal>
          <c:yVal>
            <c:numRef>
              <c:f>'МГК Графики'!$C$10:$C$34</c:f>
              <c:numCache>
                <c:formatCode>0.00000</c:formatCode>
                <c:ptCount val="25"/>
                <c:pt idx="0">
                  <c:v>0.7046265835101243</c:v>
                </c:pt>
                <c:pt idx="1">
                  <c:v>-0.10498910077533605</c:v>
                </c:pt>
                <c:pt idx="2">
                  <c:v>-4.7553611002280141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-0.32784773230137498</c:v>
                </c:pt>
                <c:pt idx="8">
                  <c:v>-0.17038645980682604</c:v>
                </c:pt>
                <c:pt idx="9">
                  <c:v>-4.1097720157032044E-2</c:v>
                </c:pt>
                <c:pt idx="10">
                  <c:v>9.2604128562096821E-2</c:v>
                </c:pt>
                <c:pt idx="11">
                  <c:v>-0.49850143467973385</c:v>
                </c:pt>
                <c:pt idx="12">
                  <c:v>0.54066044290843662</c:v>
                </c:pt>
                <c:pt idx="13">
                  <c:v>0.96444080885915162</c:v>
                </c:pt>
                <c:pt idx="14">
                  <c:v>1.2610593447827485</c:v>
                </c:pt>
                <c:pt idx="15">
                  <c:v>-0.30231808885321471</c:v>
                </c:pt>
                <c:pt idx="16">
                  <c:v>0.17904171901853597</c:v>
                </c:pt>
                <c:pt idx="17">
                  <c:v>1.1177608079990411</c:v>
                </c:pt>
                <c:pt idx="18">
                  <c:v>-0.52676090862852065</c:v>
                </c:pt>
                <c:pt idx="19">
                  <c:v>-0.30848258554336028</c:v>
                </c:pt>
                <c:pt idx="20">
                  <c:v>2.704492275511363E-2</c:v>
                </c:pt>
                <c:pt idx="21">
                  <c:v>-0.54877663704302182</c:v>
                </c:pt>
                <c:pt idx="22">
                  <c:v>-1.7339610608620482</c:v>
                </c:pt>
                <c:pt idx="23">
                  <c:v>-0.1568985565660376</c:v>
                </c:pt>
                <c:pt idx="24">
                  <c:v>-1.6099056437636912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9F7-4699-B2F3-68F258AC9337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Графики'!$B$35:$B$55</c:f>
              <c:numCache>
                <c:formatCode>0.00000</c:formatCode>
                <c:ptCount val="21"/>
                <c:pt idx="0">
                  <c:v>-0.65945593580130513</c:v>
                </c:pt>
                <c:pt idx="1">
                  <c:v>-0.32426004968955108</c:v>
                </c:pt>
                <c:pt idx="2">
                  <c:v>-0.36269751175821474</c:v>
                </c:pt>
                <c:pt idx="3">
                  <c:v>-0.41375132862549491</c:v>
                </c:pt>
                <c:pt idx="4">
                  <c:v>0.25722699652217695</c:v>
                </c:pt>
                <c:pt idx="5">
                  <c:v>-0.39168033809985148</c:v>
                </c:pt>
                <c:pt idx="6">
                  <c:v>0.16443121958165952</c:v>
                </c:pt>
                <c:pt idx="7">
                  <c:v>-0.21063761047768614</c:v>
                </c:pt>
                <c:pt idx="8">
                  <c:v>-1.0605544616470557</c:v>
                </c:pt>
                <c:pt idx="9">
                  <c:v>0.36891789994640045</c:v>
                </c:pt>
                <c:pt idx="10">
                  <c:v>1.8832580965494981</c:v>
                </c:pt>
                <c:pt idx="11">
                  <c:v>0.31842677389158502</c:v>
                </c:pt>
                <c:pt idx="12">
                  <c:v>1.3010984636579551E-2</c:v>
                </c:pt>
                <c:pt idx="13">
                  <c:v>0.26247666877664366</c:v>
                </c:pt>
                <c:pt idx="14">
                  <c:v>1.5900207776688355</c:v>
                </c:pt>
                <c:pt idx="15">
                  <c:v>1.2449821091177646</c:v>
                </c:pt>
                <c:pt idx="16">
                  <c:v>-1.7465284351683674</c:v>
                </c:pt>
                <c:pt idx="17">
                  <c:v>-1.1585940839303204</c:v>
                </c:pt>
                <c:pt idx="18">
                  <c:v>0.92312929691281453</c:v>
                </c:pt>
                <c:pt idx="19">
                  <c:v>0.49726383204057012</c:v>
                </c:pt>
                <c:pt idx="20">
                  <c:v>0.89689255044671046</c:v>
                </c:pt>
              </c:numCache>
            </c:numRef>
          </c:xVal>
          <c:yVal>
            <c:numRef>
              <c:f>'МГК Графики'!$C$35:$C$55</c:f>
              <c:numCache>
                <c:formatCode>0.00000</c:formatCode>
                <c:ptCount val="21"/>
                <c:pt idx="0">
                  <c:v>0.53319119340522758</c:v>
                </c:pt>
                <c:pt idx="1">
                  <c:v>0.81512009778660988</c:v>
                </c:pt>
                <c:pt idx="2">
                  <c:v>-5.6497923201090594E-2</c:v>
                </c:pt>
                <c:pt idx="3">
                  <c:v>1.1658020576053612</c:v>
                </c:pt>
                <c:pt idx="4">
                  <c:v>-0.20484082621392849</c:v>
                </c:pt>
                <c:pt idx="5">
                  <c:v>-3.4587405710614152E-2</c:v>
                </c:pt>
                <c:pt idx="6">
                  <c:v>0.64391023856106</c:v>
                </c:pt>
                <c:pt idx="7">
                  <c:v>-3.7812234363291536E-2</c:v>
                </c:pt>
                <c:pt idx="8">
                  <c:v>0.72872141224169495</c:v>
                </c:pt>
                <c:pt idx="9">
                  <c:v>0.92496213008077244</c:v>
                </c:pt>
                <c:pt idx="10">
                  <c:v>-0.61657227555087213</c:v>
                </c:pt>
                <c:pt idx="11">
                  <c:v>1.3568222239238188</c:v>
                </c:pt>
                <c:pt idx="12">
                  <c:v>-7.1492088820078431E-2</c:v>
                </c:pt>
                <c:pt idx="13">
                  <c:v>1.0498866289616577</c:v>
                </c:pt>
                <c:pt idx="14">
                  <c:v>-0.16828258056050027</c:v>
                </c:pt>
                <c:pt idx="15">
                  <c:v>1.2500740127821388</c:v>
                </c:pt>
                <c:pt idx="16">
                  <c:v>0.19250875829998629</c:v>
                </c:pt>
                <c:pt idx="17">
                  <c:v>0.52081779384099725</c:v>
                </c:pt>
                <c:pt idx="18">
                  <c:v>-9.8501531737235887E-2</c:v>
                </c:pt>
                <c:pt idx="19">
                  <c:v>0.34363529892959965</c:v>
                </c:pt>
                <c:pt idx="20">
                  <c:v>-0.5564981783703693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9F7-4699-B2F3-68F258AC9337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Графики'!$B$56:$B$62</c:f>
              <c:numCache>
                <c:formatCode>0.00000</c:formatCode>
                <c:ptCount val="7"/>
                <c:pt idx="0">
                  <c:v>-0.74395023330978849</c:v>
                </c:pt>
                <c:pt idx="1">
                  <c:v>0.79789907308724883</c:v>
                </c:pt>
                <c:pt idx="2">
                  <c:v>0.72322600461361142</c:v>
                </c:pt>
                <c:pt idx="3">
                  <c:v>7.375141447159872E-2</c:v>
                </c:pt>
                <c:pt idx="4">
                  <c:v>0.41894522895485448</c:v>
                </c:pt>
                <c:pt idx="5">
                  <c:v>0.64770436317676972</c:v>
                </c:pt>
                <c:pt idx="6">
                  <c:v>-0.19496999628164027</c:v>
                </c:pt>
              </c:numCache>
            </c:numRef>
          </c:xVal>
          <c:yVal>
            <c:numRef>
              <c:f>'МГК Графики'!$C$56:$C$62</c:f>
              <c:numCache>
                <c:formatCode>0.00000</c:formatCode>
                <c:ptCount val="7"/>
                <c:pt idx="0">
                  <c:v>-0.58694886640448163</c:v>
                </c:pt>
                <c:pt idx="1">
                  <c:v>0.16747489543875849</c:v>
                </c:pt>
                <c:pt idx="2">
                  <c:v>-0.8604536477137229</c:v>
                </c:pt>
                <c:pt idx="3">
                  <c:v>1.4939118607635409</c:v>
                </c:pt>
                <c:pt idx="4">
                  <c:v>0.26928079732523602</c:v>
                </c:pt>
                <c:pt idx="5">
                  <c:v>-0.17144126170212115</c:v>
                </c:pt>
                <c:pt idx="6">
                  <c:v>0.48796129978427788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9F7-4699-B2F3-68F258AC9337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Графики'!$B$63:$B$85</c:f>
              <c:numCache>
                <c:formatCode>0.00000</c:formatCode>
                <c:ptCount val="23"/>
                <c:pt idx="0">
                  <c:v>6.2759846586646545E-2</c:v>
                </c:pt>
                <c:pt idx="1">
                  <c:v>-0.88250914196138452</c:v>
                </c:pt>
                <c:pt idx="2">
                  <c:v>0.29698020447087331</c:v>
                </c:pt>
                <c:pt idx="3">
                  <c:v>-1.5669879891515488</c:v>
                </c:pt>
                <c:pt idx="4">
                  <c:v>-0.47194241629879347</c:v>
                </c:pt>
                <c:pt idx="5">
                  <c:v>1.6056705170788306</c:v>
                </c:pt>
                <c:pt idx="6">
                  <c:v>-0.16317693096208374</c:v>
                </c:pt>
                <c:pt idx="7">
                  <c:v>0.37367298193518822</c:v>
                </c:pt>
                <c:pt idx="8">
                  <c:v>0.8086103429632151</c:v>
                </c:pt>
                <c:pt idx="9">
                  <c:v>-0.28672534970712132</c:v>
                </c:pt>
                <c:pt idx="10">
                  <c:v>-0.65369065560722028</c:v>
                </c:pt>
                <c:pt idx="11">
                  <c:v>0.32025018871457267</c:v>
                </c:pt>
                <c:pt idx="12">
                  <c:v>0.12979954898566595</c:v>
                </c:pt>
                <c:pt idx="13">
                  <c:v>-0.16850937742986946</c:v>
                </c:pt>
                <c:pt idx="14">
                  <c:v>0.12634343449439428</c:v>
                </c:pt>
                <c:pt idx="15">
                  <c:v>-0.41174067825606686</c:v>
                </c:pt>
                <c:pt idx="16">
                  <c:v>-0.65843908115097327</c:v>
                </c:pt>
                <c:pt idx="17">
                  <c:v>0.22345815276371622</c:v>
                </c:pt>
                <c:pt idx="18">
                  <c:v>2.8077601812150634</c:v>
                </c:pt>
                <c:pt idx="19">
                  <c:v>0.12703220156745973</c:v>
                </c:pt>
                <c:pt idx="20">
                  <c:v>-3.9924950647161506</c:v>
                </c:pt>
                <c:pt idx="21">
                  <c:v>-2.3297418952120257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Графики'!$C$63:$C$85</c:f>
              <c:numCache>
                <c:formatCode>0.00000</c:formatCode>
                <c:ptCount val="23"/>
                <c:pt idx="0">
                  <c:v>-0.30337973464224988</c:v>
                </c:pt>
                <c:pt idx="1">
                  <c:v>-3.6558757888959916</c:v>
                </c:pt>
                <c:pt idx="2">
                  <c:v>0.27968024922970758</c:v>
                </c:pt>
                <c:pt idx="3">
                  <c:v>-0.24929968874400013</c:v>
                </c:pt>
                <c:pt idx="4">
                  <c:v>-5.7009175861415073E-2</c:v>
                </c:pt>
                <c:pt idx="5">
                  <c:v>-0.90518136094967316</c:v>
                </c:pt>
                <c:pt idx="6">
                  <c:v>0.39977989433818162</c:v>
                </c:pt>
                <c:pt idx="7">
                  <c:v>0.12927702304242647</c:v>
                </c:pt>
                <c:pt idx="8">
                  <c:v>0.1112933883260542</c:v>
                </c:pt>
                <c:pt idx="9">
                  <c:v>0.56269526972261086</c:v>
                </c:pt>
                <c:pt idx="10">
                  <c:v>-0.25339290950272947</c:v>
                </c:pt>
                <c:pt idx="11">
                  <c:v>0.4606849685317011</c:v>
                </c:pt>
                <c:pt idx="12">
                  <c:v>0.80747881613885342</c:v>
                </c:pt>
                <c:pt idx="13">
                  <c:v>-0.16601203416391094</c:v>
                </c:pt>
                <c:pt idx="14">
                  <c:v>0.51442995585066453</c:v>
                </c:pt>
                <c:pt idx="15">
                  <c:v>7.8671901897058472E-2</c:v>
                </c:pt>
                <c:pt idx="16">
                  <c:v>-0.75454987332689494</c:v>
                </c:pt>
                <c:pt idx="17">
                  <c:v>0.17463465513735948</c:v>
                </c:pt>
                <c:pt idx="18">
                  <c:v>-0.78229151501002225</c:v>
                </c:pt>
                <c:pt idx="19">
                  <c:v>-0.39426694099348869</c:v>
                </c:pt>
                <c:pt idx="20">
                  <c:v>-1.8635103694499162</c:v>
                </c:pt>
                <c:pt idx="21">
                  <c:v>-2.5343694858075905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9F7-4699-B2F3-68F258A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МГК 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Графики'!$Q$2:$Q$8</c:f>
              <c:numCache>
                <c:formatCode>0.00000</c:formatCode>
                <c:ptCount val="7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1.8832580965494981</c:v>
                </c:pt>
                <c:pt idx="4">
                  <c:v>1.5900207776688355</c:v>
                </c:pt>
                <c:pt idx="5">
                  <c:v>1.6056705170788306</c:v>
                </c:pt>
                <c:pt idx="6">
                  <c:v>2.8077601812150634</c:v>
                </c:pt>
              </c:numCache>
            </c:numRef>
          </c:xVal>
          <c:yVal>
            <c:numRef>
              <c:f>'МГК Графики'!$R$2:$R$8</c:f>
              <c:numCache>
                <c:formatCode>0.00000</c:formatCode>
                <c:ptCount val="7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-0.61657227555087213</c:v>
                </c:pt>
                <c:pt idx="4">
                  <c:v>-0.16828258056050027</c:v>
                </c:pt>
                <c:pt idx="5">
                  <c:v>-0.90518136094967316</c:v>
                </c:pt>
                <c:pt idx="6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9A-4ECB-A5A7-23A923A5B40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Графики'!$Q$9:$Q$22</c:f>
              <c:numCache>
                <c:formatCode>0.00000</c:formatCode>
                <c:ptCount val="14"/>
                <c:pt idx="0">
                  <c:v>1.2150067041600144E-2</c:v>
                </c:pt>
                <c:pt idx="1">
                  <c:v>0.29307343975629818</c:v>
                </c:pt>
                <c:pt idx="2">
                  <c:v>-0.318374362849288</c:v>
                </c:pt>
                <c:pt idx="3">
                  <c:v>-0.1854355341492282</c:v>
                </c:pt>
                <c:pt idx="4">
                  <c:v>-0.36269751175821474</c:v>
                </c:pt>
                <c:pt idx="5">
                  <c:v>0.25722699652217695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1.3010984636579551E-2</c:v>
                </c:pt>
                <c:pt idx="9">
                  <c:v>6.2759846586646545E-2</c:v>
                </c:pt>
                <c:pt idx="10">
                  <c:v>-0.47194241629879347</c:v>
                </c:pt>
                <c:pt idx="11">
                  <c:v>-0.16850937742986946</c:v>
                </c:pt>
                <c:pt idx="12">
                  <c:v>-0.41174067825606686</c:v>
                </c:pt>
                <c:pt idx="13">
                  <c:v>0.12703220156745973</c:v>
                </c:pt>
              </c:numCache>
            </c:numRef>
          </c:xVal>
          <c:yVal>
            <c:numRef>
              <c:f>'МГК Графики'!$R$9:$R$22</c:f>
              <c:numCache>
                <c:formatCode>0.00000</c:formatCode>
                <c:ptCount val="14"/>
                <c:pt idx="0">
                  <c:v>0.24194645938294049</c:v>
                </c:pt>
                <c:pt idx="1">
                  <c:v>-0.17038645980682604</c:v>
                </c:pt>
                <c:pt idx="2">
                  <c:v>-4.1097720157032044E-2</c:v>
                </c:pt>
                <c:pt idx="3">
                  <c:v>0.17904171901853597</c:v>
                </c:pt>
                <c:pt idx="4">
                  <c:v>-5.6497923201090594E-2</c:v>
                </c:pt>
                <c:pt idx="5">
                  <c:v>-0.20484082621392849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-7.1492088820078431E-2</c:v>
                </c:pt>
                <c:pt idx="9">
                  <c:v>-0.30337973464224988</c:v>
                </c:pt>
                <c:pt idx="10">
                  <c:v>-5.7009175861415073E-2</c:v>
                </c:pt>
                <c:pt idx="11">
                  <c:v>-0.16601203416391094</c:v>
                </c:pt>
                <c:pt idx="12">
                  <c:v>7.8671901897058472E-2</c:v>
                </c:pt>
                <c:pt idx="13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9A-4ECB-A5A7-23A923A5B40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Графики'!$Q$23:$Q$36</c:f>
              <c:numCache>
                <c:formatCode>0.00000</c:formatCode>
                <c:ptCount val="14"/>
                <c:pt idx="0">
                  <c:v>-0.68302336053045276</c:v>
                </c:pt>
                <c:pt idx="1">
                  <c:v>-0.92614254749908309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-0.34986602269780964</c:v>
                </c:pt>
                <c:pt idx="8">
                  <c:v>-0.65945593580130513</c:v>
                </c:pt>
                <c:pt idx="9">
                  <c:v>-0.32426004968955108</c:v>
                </c:pt>
                <c:pt idx="10">
                  <c:v>-0.41375132862549491</c:v>
                </c:pt>
                <c:pt idx="11">
                  <c:v>-1.0605544616470557</c:v>
                </c:pt>
                <c:pt idx="12">
                  <c:v>-1.1585940839303204</c:v>
                </c:pt>
                <c:pt idx="13">
                  <c:v>-0.62558043335484814</c:v>
                </c:pt>
              </c:numCache>
            </c:numRef>
          </c:xVal>
          <c:yVal>
            <c:numRef>
              <c:f>'МГК Графики'!$R$23:$R$36</c:f>
              <c:numCache>
                <c:formatCode>0.00000</c:formatCode>
                <c:ptCount val="14"/>
                <c:pt idx="0">
                  <c:v>0.71050364226684515</c:v>
                </c:pt>
                <c:pt idx="1">
                  <c:v>0.77680176065732853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1.1177608079990411</c:v>
                </c:pt>
                <c:pt idx="8">
                  <c:v>0.53319119340522758</c:v>
                </c:pt>
                <c:pt idx="9">
                  <c:v>0.81512009778660988</c:v>
                </c:pt>
                <c:pt idx="10">
                  <c:v>1.1658020576053612</c:v>
                </c:pt>
                <c:pt idx="11">
                  <c:v>0.72872141224169495</c:v>
                </c:pt>
                <c:pt idx="12">
                  <c:v>0.52081779384099725</c:v>
                </c:pt>
                <c:pt idx="13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9A-4ECB-A5A7-23A923A5B40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Графики'!$Q$37:$Q$45</c:f>
              <c:numCache>
                <c:formatCode>0.00000</c:formatCode>
                <c:ptCount val="9"/>
                <c:pt idx="0">
                  <c:v>-1.2270999878536024</c:v>
                </c:pt>
                <c:pt idx="1">
                  <c:v>-1.4449780679126303</c:v>
                </c:pt>
                <c:pt idx="2">
                  <c:v>-0.88911062369306804</c:v>
                </c:pt>
                <c:pt idx="3">
                  <c:v>-0.9231846783284714</c:v>
                </c:pt>
                <c:pt idx="4">
                  <c:v>-1.7465284351683674</c:v>
                </c:pt>
                <c:pt idx="5">
                  <c:v>-0.74395023330978849</c:v>
                </c:pt>
                <c:pt idx="6">
                  <c:v>-1.5669879891515488</c:v>
                </c:pt>
                <c:pt idx="7">
                  <c:v>-0.65369065560722028</c:v>
                </c:pt>
                <c:pt idx="8">
                  <c:v>-0.65843908115097327</c:v>
                </c:pt>
              </c:numCache>
            </c:numRef>
          </c:xVal>
          <c:yVal>
            <c:numRef>
              <c:f>'МГК Графики'!$R$37:$R$45</c:f>
              <c:numCache>
                <c:formatCode>0.00000</c:formatCode>
                <c:ptCount val="9"/>
                <c:pt idx="0">
                  <c:v>-5.7894323128173497E-2</c:v>
                </c:pt>
                <c:pt idx="1">
                  <c:v>9.2604128562096821E-2</c:v>
                </c:pt>
                <c:pt idx="2">
                  <c:v>-0.54877663704302182</c:v>
                </c:pt>
                <c:pt idx="3">
                  <c:v>-0.1568985565660376</c:v>
                </c:pt>
                <c:pt idx="4">
                  <c:v>0.19250875829998629</c:v>
                </c:pt>
                <c:pt idx="5">
                  <c:v>-0.58694886640448163</c:v>
                </c:pt>
                <c:pt idx="6">
                  <c:v>-0.24929968874400013</c:v>
                </c:pt>
                <c:pt idx="7">
                  <c:v>-0.25339290950272947</c:v>
                </c:pt>
                <c:pt idx="8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9A-4ECB-A5A7-23A923A5B40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Графики'!$Q$46:$Q$58</c:f>
              <c:numCache>
                <c:formatCode>0.00000</c:formatCode>
                <c:ptCount val="13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0.57679327393605218</c:v>
                </c:pt>
                <c:pt idx="4">
                  <c:v>0.97493628898955165</c:v>
                </c:pt>
                <c:pt idx="5">
                  <c:v>0.89348547526359789</c:v>
                </c:pt>
                <c:pt idx="6">
                  <c:v>1.2934335741622118</c:v>
                </c:pt>
                <c:pt idx="7">
                  <c:v>0.92312929691281453</c:v>
                </c:pt>
                <c:pt idx="8">
                  <c:v>0.89689255044671046</c:v>
                </c:pt>
                <c:pt idx="9">
                  <c:v>0.79789907308724883</c:v>
                </c:pt>
                <c:pt idx="10">
                  <c:v>0.72322600461361142</c:v>
                </c:pt>
                <c:pt idx="11">
                  <c:v>0.64770436317676972</c:v>
                </c:pt>
                <c:pt idx="12">
                  <c:v>0.8086103429632151</c:v>
                </c:pt>
              </c:numCache>
            </c:numRef>
          </c:xVal>
          <c:yVal>
            <c:numRef>
              <c:f>'МГК Графики'!$R$46:$R$58</c:f>
              <c:numCache>
                <c:formatCode>0.00000</c:formatCode>
                <c:ptCount val="13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-0.30231808885321471</c:v>
                </c:pt>
                <c:pt idx="4">
                  <c:v>-0.52676090862852065</c:v>
                </c:pt>
                <c:pt idx="5">
                  <c:v>2.704492275511363E-2</c:v>
                </c:pt>
                <c:pt idx="6">
                  <c:v>-1.7339610608620482</c:v>
                </c:pt>
                <c:pt idx="7">
                  <c:v>-9.8501531737235887E-2</c:v>
                </c:pt>
                <c:pt idx="8">
                  <c:v>-0.5564981783703693</c:v>
                </c:pt>
                <c:pt idx="9">
                  <c:v>0.16747489543875849</c:v>
                </c:pt>
                <c:pt idx="10">
                  <c:v>-0.8604536477137229</c:v>
                </c:pt>
                <c:pt idx="11">
                  <c:v>-0.17144126170212115</c:v>
                </c:pt>
                <c:pt idx="12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D9A-4ECB-A5A7-23A923A5B40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Графики'!$Q$59:$Q$80</c:f>
              <c:numCache>
                <c:formatCode>0.00000</c:formatCode>
                <c:ptCount val="22"/>
                <c:pt idx="0">
                  <c:v>-1.6078402545490693E-2</c:v>
                </c:pt>
                <c:pt idx="1">
                  <c:v>0.33820098691855244</c:v>
                </c:pt>
                <c:pt idx="2">
                  <c:v>-0.23684745505431254</c:v>
                </c:pt>
                <c:pt idx="3">
                  <c:v>-0.38826955751306025</c:v>
                </c:pt>
                <c:pt idx="4">
                  <c:v>5.4112778576927596E-2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7.375141447159872E-2</c:v>
                </c:pt>
                <c:pt idx="12">
                  <c:v>0.41894522895485448</c:v>
                </c:pt>
                <c:pt idx="13">
                  <c:v>-0.19496999628164027</c:v>
                </c:pt>
                <c:pt idx="14">
                  <c:v>0.29698020447087331</c:v>
                </c:pt>
                <c:pt idx="15">
                  <c:v>-0.16317693096208374</c:v>
                </c:pt>
                <c:pt idx="16">
                  <c:v>0.37367298193518822</c:v>
                </c:pt>
                <c:pt idx="17">
                  <c:v>-0.28672534970712132</c:v>
                </c:pt>
                <c:pt idx="18">
                  <c:v>0.32025018871457267</c:v>
                </c:pt>
                <c:pt idx="19">
                  <c:v>0.12979954898566595</c:v>
                </c:pt>
                <c:pt idx="20">
                  <c:v>0.12634343449439428</c:v>
                </c:pt>
                <c:pt idx="21">
                  <c:v>0.22345815276371622</c:v>
                </c:pt>
              </c:numCache>
            </c:numRef>
          </c:xVal>
          <c:yVal>
            <c:numRef>
              <c:f>'МГК Графики'!$R$59:$R$80</c:f>
              <c:numCache>
                <c:formatCode>0.00000</c:formatCode>
                <c:ptCount val="22"/>
                <c:pt idx="0">
                  <c:v>0.61365064390561352</c:v>
                </c:pt>
                <c:pt idx="1">
                  <c:v>0.49600666943754734</c:v>
                </c:pt>
                <c:pt idx="2">
                  <c:v>0.7046265835101243</c:v>
                </c:pt>
                <c:pt idx="3">
                  <c:v>0.45112113830844014</c:v>
                </c:pt>
                <c:pt idx="4">
                  <c:v>0.54066044290843662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1.4939118607635409</c:v>
                </c:pt>
                <c:pt idx="12">
                  <c:v>0.26928079732523602</c:v>
                </c:pt>
                <c:pt idx="13">
                  <c:v>0.48796129978427788</c:v>
                </c:pt>
                <c:pt idx="14">
                  <c:v>0.27968024922970758</c:v>
                </c:pt>
                <c:pt idx="15">
                  <c:v>0.39977989433818162</c:v>
                </c:pt>
                <c:pt idx="16">
                  <c:v>0.12927702304242647</c:v>
                </c:pt>
                <c:pt idx="17">
                  <c:v>0.56269526972261086</c:v>
                </c:pt>
                <c:pt idx="18">
                  <c:v>0.4606849685317011</c:v>
                </c:pt>
                <c:pt idx="19">
                  <c:v>0.80747881613885342</c:v>
                </c:pt>
                <c:pt idx="20">
                  <c:v>0.51442995585066453</c:v>
                </c:pt>
                <c:pt idx="21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D9A-4ECB-A5A7-23A923A5B40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Графики'!$Q$81:$Q$85</c:f>
              <c:numCache>
                <c:formatCode>0.00000</c:formatCode>
                <c:ptCount val="5"/>
                <c:pt idx="0">
                  <c:v>0.96281979262049577</c:v>
                </c:pt>
                <c:pt idx="1">
                  <c:v>-1.4555521054958924</c:v>
                </c:pt>
                <c:pt idx="2">
                  <c:v>-0.88250914196138452</c:v>
                </c:pt>
                <c:pt idx="3">
                  <c:v>-3.9924950647161506</c:v>
                </c:pt>
                <c:pt idx="4">
                  <c:v>-2.3297418952120257</c:v>
                </c:pt>
              </c:numCache>
            </c:numRef>
          </c:xVal>
          <c:yVal>
            <c:numRef>
              <c:f>'МГК Графики'!$R$81:$R$85</c:f>
              <c:numCache>
                <c:formatCode>0.00000</c:formatCode>
                <c:ptCount val="5"/>
                <c:pt idx="0">
                  <c:v>-4.7553611002280141</c:v>
                </c:pt>
                <c:pt idx="1">
                  <c:v>-1.6099056437636912</c:v>
                </c:pt>
                <c:pt idx="2">
                  <c:v>-3.6558757888959916</c:v>
                </c:pt>
                <c:pt idx="3">
                  <c:v>-1.8635103694499162</c:v>
                </c:pt>
                <c:pt idx="4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D9A-4ECB-A5A7-23A923A5B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Графики'!$AF$2:$AF$17</c:f>
              <c:numCache>
                <c:formatCode>0.00000</c:formatCode>
                <c:ptCount val="16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1.729940374128673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1.4395658363140249</c:v>
                </c:pt>
                <c:pt idx="7">
                  <c:v>0.89348547526359789</c:v>
                </c:pt>
                <c:pt idx="8">
                  <c:v>1.2934335741622118</c:v>
                </c:pt>
                <c:pt idx="9">
                  <c:v>1.8832580965494981</c:v>
                </c:pt>
                <c:pt idx="10">
                  <c:v>0.92312929691281453</c:v>
                </c:pt>
                <c:pt idx="11">
                  <c:v>0.89689255044671046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1.6056705170788306</c:v>
                </c:pt>
                <c:pt idx="15">
                  <c:v>0.8086103429632151</c:v>
                </c:pt>
              </c:numCache>
            </c:numRef>
          </c:xVal>
          <c:yVal>
            <c:numRef>
              <c:f>'МГК Графики'!$AG$2:$AG$17</c:f>
              <c:numCache>
                <c:formatCode>0.00000</c:formatCode>
                <c:ptCount val="16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-0.49850143467973385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-0.30848258554336028</c:v>
                </c:pt>
                <c:pt idx="7">
                  <c:v>2.704492275511363E-2</c:v>
                </c:pt>
                <c:pt idx="8">
                  <c:v>-1.7339610608620482</c:v>
                </c:pt>
                <c:pt idx="9">
                  <c:v>-0.61657227555087213</c:v>
                </c:pt>
                <c:pt idx="10">
                  <c:v>-9.8501531737235887E-2</c:v>
                </c:pt>
                <c:pt idx="11">
                  <c:v>-0.5564981783703693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-0.90518136094967316</c:v>
                </c:pt>
                <c:pt idx="15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B3-4589-83A3-A8B24987B14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Графики'!$AF$18:$AF$40</c:f>
              <c:numCache>
                <c:formatCode>0.00000</c:formatCode>
                <c:ptCount val="23"/>
                <c:pt idx="0">
                  <c:v>-0.92614254749908309</c:v>
                </c:pt>
                <c:pt idx="1">
                  <c:v>1.2150067041600144E-2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-0.65945593580130513</c:v>
                </c:pt>
                <c:pt idx="8">
                  <c:v>-0.32426004968955108</c:v>
                </c:pt>
                <c:pt idx="9">
                  <c:v>-0.41375132862549491</c:v>
                </c:pt>
                <c:pt idx="10">
                  <c:v>0.16443121958165952</c:v>
                </c:pt>
                <c:pt idx="11">
                  <c:v>-1.0605544616470557</c:v>
                </c:pt>
                <c:pt idx="12">
                  <c:v>0.36891789994640045</c:v>
                </c:pt>
                <c:pt idx="13">
                  <c:v>0.31842677389158502</c:v>
                </c:pt>
                <c:pt idx="14">
                  <c:v>0.26247666877664366</c:v>
                </c:pt>
                <c:pt idx="15">
                  <c:v>1.2449821091177646</c:v>
                </c:pt>
                <c:pt idx="16">
                  <c:v>-1.1585940839303204</c:v>
                </c:pt>
                <c:pt idx="17">
                  <c:v>7.375141447159872E-2</c:v>
                </c:pt>
                <c:pt idx="18">
                  <c:v>-0.19496999628164027</c:v>
                </c:pt>
                <c:pt idx="19">
                  <c:v>-0.16317693096208374</c:v>
                </c:pt>
                <c:pt idx="20">
                  <c:v>-0.28672534970712132</c:v>
                </c:pt>
                <c:pt idx="21">
                  <c:v>0.32025018871457267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Графики'!$AG$18:$AG$40</c:f>
              <c:numCache>
                <c:formatCode>0.00000</c:formatCode>
                <c:ptCount val="23"/>
                <c:pt idx="0">
                  <c:v>0.77680176065732853</c:v>
                </c:pt>
                <c:pt idx="1">
                  <c:v>0.24194645938294049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0.53319119340522758</c:v>
                </c:pt>
                <c:pt idx="8">
                  <c:v>0.81512009778660988</c:v>
                </c:pt>
                <c:pt idx="9">
                  <c:v>1.1658020576053612</c:v>
                </c:pt>
                <c:pt idx="10">
                  <c:v>0.64391023856106</c:v>
                </c:pt>
                <c:pt idx="11">
                  <c:v>0.72872141224169495</c:v>
                </c:pt>
                <c:pt idx="12">
                  <c:v>0.92496213008077244</c:v>
                </c:pt>
                <c:pt idx="13">
                  <c:v>1.3568222239238188</c:v>
                </c:pt>
                <c:pt idx="14">
                  <c:v>1.0498866289616577</c:v>
                </c:pt>
                <c:pt idx="15">
                  <c:v>1.2500740127821388</c:v>
                </c:pt>
                <c:pt idx="16">
                  <c:v>0.52081779384099725</c:v>
                </c:pt>
                <c:pt idx="17">
                  <c:v>1.4939118607635409</c:v>
                </c:pt>
                <c:pt idx="18">
                  <c:v>0.48796129978427788</c:v>
                </c:pt>
                <c:pt idx="19">
                  <c:v>0.39977989433818162</c:v>
                </c:pt>
                <c:pt idx="20">
                  <c:v>0.56269526972261086</c:v>
                </c:pt>
                <c:pt idx="21">
                  <c:v>0.4606849685317011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B3-4589-83A3-A8B24987B14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Графики'!$AF$41:$AF$68</c:f>
              <c:numCache>
                <c:formatCode>0.00000</c:formatCode>
                <c:ptCount val="28"/>
                <c:pt idx="0">
                  <c:v>-0.68302336053045276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-0.23684745505431254</c:v>
                </c:pt>
                <c:pt idx="4">
                  <c:v>-0.38826955751306025</c:v>
                </c:pt>
                <c:pt idx="5">
                  <c:v>0.29307343975629818</c:v>
                </c:pt>
                <c:pt idx="6">
                  <c:v>-0.318374362849288</c:v>
                </c:pt>
                <c:pt idx="7">
                  <c:v>5.4112778576927596E-2</c:v>
                </c:pt>
                <c:pt idx="8">
                  <c:v>-0.1854355341492282</c:v>
                </c:pt>
                <c:pt idx="9">
                  <c:v>-0.34986602269780964</c:v>
                </c:pt>
                <c:pt idx="10">
                  <c:v>-0.36269751175821474</c:v>
                </c:pt>
                <c:pt idx="11">
                  <c:v>0.25722699652217695</c:v>
                </c:pt>
                <c:pt idx="12">
                  <c:v>-0.39168033809985148</c:v>
                </c:pt>
                <c:pt idx="13">
                  <c:v>-0.21063761047768614</c:v>
                </c:pt>
                <c:pt idx="14">
                  <c:v>1.3010984636579551E-2</c:v>
                </c:pt>
                <c:pt idx="15">
                  <c:v>0.49726383204057012</c:v>
                </c:pt>
                <c:pt idx="16">
                  <c:v>0.41894522895485448</c:v>
                </c:pt>
                <c:pt idx="17">
                  <c:v>6.2759846586646545E-2</c:v>
                </c:pt>
                <c:pt idx="18">
                  <c:v>0.29698020447087331</c:v>
                </c:pt>
                <c:pt idx="19">
                  <c:v>-0.47194241629879347</c:v>
                </c:pt>
                <c:pt idx="20">
                  <c:v>0.37367298193518822</c:v>
                </c:pt>
                <c:pt idx="21">
                  <c:v>-0.65369065560722028</c:v>
                </c:pt>
                <c:pt idx="22">
                  <c:v>-0.16850937742986946</c:v>
                </c:pt>
                <c:pt idx="23">
                  <c:v>0.12634343449439428</c:v>
                </c:pt>
                <c:pt idx="24">
                  <c:v>-0.41174067825606686</c:v>
                </c:pt>
                <c:pt idx="25">
                  <c:v>-0.65843908115097327</c:v>
                </c:pt>
                <c:pt idx="26">
                  <c:v>0.22345815276371622</c:v>
                </c:pt>
                <c:pt idx="27">
                  <c:v>0.12703220156745973</c:v>
                </c:pt>
              </c:numCache>
            </c:numRef>
          </c:xVal>
          <c:yVal>
            <c:numRef>
              <c:f>'МГК Графики'!$AG$41:$AG$68</c:f>
              <c:numCache>
                <c:formatCode>0.00000</c:formatCode>
                <c:ptCount val="28"/>
                <c:pt idx="0">
                  <c:v>0.71050364226684515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0.7046265835101243</c:v>
                </c:pt>
                <c:pt idx="4">
                  <c:v>0.45112113830844014</c:v>
                </c:pt>
                <c:pt idx="5">
                  <c:v>-0.17038645980682604</c:v>
                </c:pt>
                <c:pt idx="6">
                  <c:v>-4.1097720157032044E-2</c:v>
                </c:pt>
                <c:pt idx="7">
                  <c:v>0.54066044290843662</c:v>
                </c:pt>
                <c:pt idx="8">
                  <c:v>0.17904171901853597</c:v>
                </c:pt>
                <c:pt idx="9">
                  <c:v>1.1177608079990411</c:v>
                </c:pt>
                <c:pt idx="10">
                  <c:v>-5.6497923201090594E-2</c:v>
                </c:pt>
                <c:pt idx="11">
                  <c:v>-0.20484082621392849</c:v>
                </c:pt>
                <c:pt idx="12">
                  <c:v>-3.4587405710614152E-2</c:v>
                </c:pt>
                <c:pt idx="13">
                  <c:v>-3.7812234363291536E-2</c:v>
                </c:pt>
                <c:pt idx="14">
                  <c:v>-7.1492088820078431E-2</c:v>
                </c:pt>
                <c:pt idx="15">
                  <c:v>0.34363529892959965</c:v>
                </c:pt>
                <c:pt idx="16">
                  <c:v>0.26928079732523602</c:v>
                </c:pt>
                <c:pt idx="17">
                  <c:v>-0.30337973464224988</c:v>
                </c:pt>
                <c:pt idx="18">
                  <c:v>0.27968024922970758</c:v>
                </c:pt>
                <c:pt idx="19">
                  <c:v>-5.7009175861415073E-2</c:v>
                </c:pt>
                <c:pt idx="20">
                  <c:v>0.12927702304242647</c:v>
                </c:pt>
                <c:pt idx="21">
                  <c:v>-0.25339290950272947</c:v>
                </c:pt>
                <c:pt idx="22">
                  <c:v>-0.16601203416391094</c:v>
                </c:pt>
                <c:pt idx="23">
                  <c:v>0.51442995585066453</c:v>
                </c:pt>
                <c:pt idx="24">
                  <c:v>7.8671901897058472E-2</c:v>
                </c:pt>
                <c:pt idx="25">
                  <c:v>-0.75454987332689494</c:v>
                </c:pt>
                <c:pt idx="26">
                  <c:v>0.17463465513735948</c:v>
                </c:pt>
                <c:pt idx="2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B3-4589-83A3-A8B24987B14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Графики'!$AF$69:$AF$74</c:f>
              <c:numCache>
                <c:formatCode>0.00000</c:formatCode>
                <c:ptCount val="6"/>
                <c:pt idx="0">
                  <c:v>-1.2270999878536024</c:v>
                </c:pt>
                <c:pt idx="1">
                  <c:v>-1.4555521054958924</c:v>
                </c:pt>
                <c:pt idx="2">
                  <c:v>-1.7465284351683674</c:v>
                </c:pt>
                <c:pt idx="3">
                  <c:v>-0.74395023330978849</c:v>
                </c:pt>
                <c:pt idx="4">
                  <c:v>-3.9924950647161506</c:v>
                </c:pt>
                <c:pt idx="5">
                  <c:v>-2.3297418952120257</c:v>
                </c:pt>
              </c:numCache>
            </c:numRef>
          </c:xVal>
          <c:yVal>
            <c:numRef>
              <c:f>'МГК Графики'!$AG$69:$AG$74</c:f>
              <c:numCache>
                <c:formatCode>0.00000</c:formatCode>
                <c:ptCount val="6"/>
                <c:pt idx="0">
                  <c:v>-5.7894323128173497E-2</c:v>
                </c:pt>
                <c:pt idx="1">
                  <c:v>-1.6099056437636912</c:v>
                </c:pt>
                <c:pt idx="2">
                  <c:v>0.19250875829998629</c:v>
                </c:pt>
                <c:pt idx="3">
                  <c:v>-0.58694886640448163</c:v>
                </c:pt>
                <c:pt idx="4">
                  <c:v>-1.8635103694499162</c:v>
                </c:pt>
                <c:pt idx="5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B3-4589-83A3-A8B24987B14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Графики'!$AF$75:$AF$80</c:f>
              <c:numCache>
                <c:formatCode>0.00000</c:formatCode>
                <c:ptCount val="6"/>
                <c:pt idx="0">
                  <c:v>-1.4449780679126303</c:v>
                </c:pt>
                <c:pt idx="1">
                  <c:v>-0.88911062369306804</c:v>
                </c:pt>
                <c:pt idx="2">
                  <c:v>-0.9231846783284714</c:v>
                </c:pt>
                <c:pt idx="3">
                  <c:v>0.79789907308724883</c:v>
                </c:pt>
                <c:pt idx="4">
                  <c:v>-1.5669879891515488</c:v>
                </c:pt>
                <c:pt idx="5">
                  <c:v>0.12979954898566595</c:v>
                </c:pt>
              </c:numCache>
            </c:numRef>
          </c:xVal>
          <c:yVal>
            <c:numRef>
              <c:f>'МГК Графики'!$AG$75:$AG$80</c:f>
              <c:numCache>
                <c:formatCode>0.00000</c:formatCode>
                <c:ptCount val="6"/>
                <c:pt idx="0">
                  <c:v>9.2604128562096821E-2</c:v>
                </c:pt>
                <c:pt idx="1">
                  <c:v>-0.54877663704302182</c:v>
                </c:pt>
                <c:pt idx="2">
                  <c:v>-0.1568985565660376</c:v>
                </c:pt>
                <c:pt idx="3">
                  <c:v>0.16747489543875849</c:v>
                </c:pt>
                <c:pt idx="4">
                  <c:v>-0.24929968874400013</c:v>
                </c:pt>
                <c:pt idx="5">
                  <c:v>0.80747881613885342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1B3-4589-83A3-A8B24987B14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Графики'!$AF$81:$AF$82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Графики'!$AG$81:$AG$82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1B3-4589-83A3-A8B24987B14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Графики'!$AF$83:$AF$85</c:f>
              <c:numCache>
                <c:formatCode>0.00000</c:formatCode>
                <c:ptCount val="3"/>
                <c:pt idx="0">
                  <c:v>2.1016928005327316</c:v>
                </c:pt>
                <c:pt idx="1">
                  <c:v>1.5900207776688355</c:v>
                </c:pt>
                <c:pt idx="2">
                  <c:v>2.8077601812150634</c:v>
                </c:pt>
              </c:numCache>
            </c:numRef>
          </c:xVal>
          <c:yVal>
            <c:numRef>
              <c:f>'МГК Графики'!$AG$83:$AG$85</c:f>
              <c:numCache>
                <c:formatCode>0.00000</c:formatCode>
                <c:ptCount val="3"/>
                <c:pt idx="0">
                  <c:v>-0.32784773230137498</c:v>
                </c:pt>
                <c:pt idx="1">
                  <c:v>-0.16828258056050027</c:v>
                </c:pt>
                <c:pt idx="2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1B3-4589-83A3-A8B24987B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 МГК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Графики'!$AU$2:$AU$17</c:f>
              <c:numCache>
                <c:formatCode>0.00000</c:formatCode>
                <c:ptCount val="16"/>
                <c:pt idx="0">
                  <c:v>-1.2270999878536024</c:v>
                </c:pt>
                <c:pt idx="1">
                  <c:v>-0.318374362849288</c:v>
                </c:pt>
                <c:pt idx="2">
                  <c:v>-1.4449780679126303</c:v>
                </c:pt>
                <c:pt idx="3">
                  <c:v>-0.88911062369306804</c:v>
                </c:pt>
                <c:pt idx="4">
                  <c:v>-0.9231846783284714</c:v>
                </c:pt>
                <c:pt idx="5">
                  <c:v>-0.36269751175821474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-1.7465284351683674</c:v>
                </c:pt>
                <c:pt idx="9">
                  <c:v>-0.74395023330978849</c:v>
                </c:pt>
                <c:pt idx="10">
                  <c:v>-1.5669879891515488</c:v>
                </c:pt>
                <c:pt idx="11">
                  <c:v>-0.47194241629879347</c:v>
                </c:pt>
                <c:pt idx="12">
                  <c:v>-0.65369065560722028</c:v>
                </c:pt>
                <c:pt idx="13">
                  <c:v>-0.16850937742986946</c:v>
                </c:pt>
                <c:pt idx="14">
                  <c:v>-0.41174067825606686</c:v>
                </c:pt>
                <c:pt idx="15">
                  <c:v>-0.65843908115097327</c:v>
                </c:pt>
              </c:numCache>
            </c:numRef>
          </c:xVal>
          <c:yVal>
            <c:numRef>
              <c:f>'МГК Графики'!$AV$2:$AV$17</c:f>
              <c:numCache>
                <c:formatCode>0.00000</c:formatCode>
                <c:ptCount val="16"/>
                <c:pt idx="0">
                  <c:v>-5.7894323128173497E-2</c:v>
                </c:pt>
                <c:pt idx="1">
                  <c:v>-4.1097720157032044E-2</c:v>
                </c:pt>
                <c:pt idx="2">
                  <c:v>9.2604128562096821E-2</c:v>
                </c:pt>
                <c:pt idx="3">
                  <c:v>-0.54877663704302182</c:v>
                </c:pt>
                <c:pt idx="4">
                  <c:v>-0.1568985565660376</c:v>
                </c:pt>
                <c:pt idx="5">
                  <c:v>-5.6497923201090594E-2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0.19250875829998629</c:v>
                </c:pt>
                <c:pt idx="9">
                  <c:v>-0.58694886640448163</c:v>
                </c:pt>
                <c:pt idx="10">
                  <c:v>-0.24929968874400013</c:v>
                </c:pt>
                <c:pt idx="11">
                  <c:v>-5.7009175861415073E-2</c:v>
                </c:pt>
                <c:pt idx="12">
                  <c:v>-0.25339290950272947</c:v>
                </c:pt>
                <c:pt idx="13">
                  <c:v>-0.16601203416391094</c:v>
                </c:pt>
                <c:pt idx="14">
                  <c:v>7.8671901897058472E-2</c:v>
                </c:pt>
                <c:pt idx="15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A3-4449-9F87-C1FBA315CF5D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Графики'!$AU$18:$AU$36</c:f>
              <c:numCache>
                <c:formatCode>0.00000</c:formatCode>
                <c:ptCount val="19"/>
                <c:pt idx="0">
                  <c:v>1.2150067041600144E-2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5.4112778576927596E-2</c:v>
                </c:pt>
                <c:pt idx="4">
                  <c:v>-0.1854355341492282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0.41894522895485448</c:v>
                </c:pt>
                <c:pt idx="12">
                  <c:v>-0.19496999628164027</c:v>
                </c:pt>
                <c:pt idx="13">
                  <c:v>0.29698020447087331</c:v>
                </c:pt>
                <c:pt idx="14">
                  <c:v>-0.16317693096208374</c:v>
                </c:pt>
                <c:pt idx="15">
                  <c:v>0.32025018871457267</c:v>
                </c:pt>
                <c:pt idx="16">
                  <c:v>0.12979954898566595</c:v>
                </c:pt>
                <c:pt idx="17">
                  <c:v>0.12634343449439428</c:v>
                </c:pt>
                <c:pt idx="18">
                  <c:v>0.22345815276371622</c:v>
                </c:pt>
              </c:numCache>
            </c:numRef>
          </c:xVal>
          <c:yVal>
            <c:numRef>
              <c:f>'МГК Графики'!$AV$18:$AV$36</c:f>
              <c:numCache>
                <c:formatCode>0.00000</c:formatCode>
                <c:ptCount val="19"/>
                <c:pt idx="0">
                  <c:v>0.24194645938294049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0.54066044290843662</c:v>
                </c:pt>
                <c:pt idx="4">
                  <c:v>0.17904171901853597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0.26928079732523602</c:v>
                </c:pt>
                <c:pt idx="12">
                  <c:v>0.48796129978427788</c:v>
                </c:pt>
                <c:pt idx="13">
                  <c:v>0.27968024922970758</c:v>
                </c:pt>
                <c:pt idx="14">
                  <c:v>0.39977989433818162</c:v>
                </c:pt>
                <c:pt idx="15">
                  <c:v>0.4606849685317011</c:v>
                </c:pt>
                <c:pt idx="16">
                  <c:v>0.80747881613885342</c:v>
                </c:pt>
                <c:pt idx="17">
                  <c:v>0.51442995585066453</c:v>
                </c:pt>
                <c:pt idx="18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A3-4449-9F87-C1FBA315CF5D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Графики'!$AU$37:$AU$54</c:f>
              <c:numCache>
                <c:formatCode>0.00000</c:formatCode>
                <c:ptCount val="18"/>
                <c:pt idx="0">
                  <c:v>-0.68302336053045276</c:v>
                </c:pt>
                <c:pt idx="1">
                  <c:v>-0.92614254749908309</c:v>
                </c:pt>
                <c:pt idx="2">
                  <c:v>-0.23684745505431254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-0.68467341977940421</c:v>
                </c:pt>
                <c:pt idx="8">
                  <c:v>-0.16729151751754429</c:v>
                </c:pt>
                <c:pt idx="9">
                  <c:v>-0.34986602269780964</c:v>
                </c:pt>
                <c:pt idx="10">
                  <c:v>-0.65945593580130513</c:v>
                </c:pt>
                <c:pt idx="11">
                  <c:v>-0.32426004968955108</c:v>
                </c:pt>
                <c:pt idx="12">
                  <c:v>-0.41375132862549491</c:v>
                </c:pt>
                <c:pt idx="13">
                  <c:v>-1.0605544616470557</c:v>
                </c:pt>
                <c:pt idx="14">
                  <c:v>-1.1585940839303204</c:v>
                </c:pt>
                <c:pt idx="15">
                  <c:v>7.375141447159872E-2</c:v>
                </c:pt>
                <c:pt idx="16">
                  <c:v>-0.28672534970712132</c:v>
                </c:pt>
                <c:pt idx="17">
                  <c:v>-0.62558043335484814</c:v>
                </c:pt>
              </c:numCache>
            </c:numRef>
          </c:xVal>
          <c:yVal>
            <c:numRef>
              <c:f>'МГК Графики'!$AV$37:$AV$54</c:f>
              <c:numCache>
                <c:formatCode>0.00000</c:formatCode>
                <c:ptCount val="18"/>
                <c:pt idx="0">
                  <c:v>0.71050364226684515</c:v>
                </c:pt>
                <c:pt idx="1">
                  <c:v>0.77680176065732853</c:v>
                </c:pt>
                <c:pt idx="2">
                  <c:v>0.7046265835101243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0.96444080885915162</c:v>
                </c:pt>
                <c:pt idx="8">
                  <c:v>1.2610593447827485</c:v>
                </c:pt>
                <c:pt idx="9">
                  <c:v>1.1177608079990411</c:v>
                </c:pt>
                <c:pt idx="10">
                  <c:v>0.53319119340522758</c:v>
                </c:pt>
                <c:pt idx="11">
                  <c:v>0.81512009778660988</c:v>
                </c:pt>
                <c:pt idx="12">
                  <c:v>1.1658020576053612</c:v>
                </c:pt>
                <c:pt idx="13">
                  <c:v>0.72872141224169495</c:v>
                </c:pt>
                <c:pt idx="14">
                  <c:v>0.52081779384099725</c:v>
                </c:pt>
                <c:pt idx="15">
                  <c:v>1.4939118607635409</c:v>
                </c:pt>
                <c:pt idx="16">
                  <c:v>0.56269526972261086</c:v>
                </c:pt>
                <c:pt idx="17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6A3-4449-9F87-C1FBA315CF5D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Графики'!$AU$55:$AU$72</c:f>
              <c:numCache>
                <c:formatCode>0.00000</c:formatCode>
                <c:ptCount val="18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0.29307343975629818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0.89348547526359789</c:v>
                </c:pt>
                <c:pt idx="7">
                  <c:v>0.25722699652217695</c:v>
                </c:pt>
                <c:pt idx="8">
                  <c:v>1.3010984636579551E-2</c:v>
                </c:pt>
                <c:pt idx="9">
                  <c:v>0.92312929691281453</c:v>
                </c:pt>
                <c:pt idx="10">
                  <c:v>0.89689255044671046</c:v>
                </c:pt>
                <c:pt idx="11">
                  <c:v>0.79789907308724883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6.2759846586646545E-2</c:v>
                </c:pt>
                <c:pt idx="15">
                  <c:v>0.37367298193518822</c:v>
                </c:pt>
                <c:pt idx="16">
                  <c:v>0.8086103429632151</c:v>
                </c:pt>
                <c:pt idx="17">
                  <c:v>0.12703220156745973</c:v>
                </c:pt>
              </c:numCache>
            </c:numRef>
          </c:xVal>
          <c:yVal>
            <c:numRef>
              <c:f>'МГК Графики'!$AV$55:$AV$72</c:f>
              <c:numCache>
                <c:formatCode>0.00000</c:formatCode>
                <c:ptCount val="18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-0.17038645980682604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2.704492275511363E-2</c:v>
                </c:pt>
                <c:pt idx="7">
                  <c:v>-0.20484082621392849</c:v>
                </c:pt>
                <c:pt idx="8">
                  <c:v>-7.1492088820078431E-2</c:v>
                </c:pt>
                <c:pt idx="9">
                  <c:v>-9.8501531737235887E-2</c:v>
                </c:pt>
                <c:pt idx="10">
                  <c:v>-0.5564981783703693</c:v>
                </c:pt>
                <c:pt idx="11">
                  <c:v>0.16747489543875849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-0.30337973464224988</c:v>
                </c:pt>
                <c:pt idx="15">
                  <c:v>0.12927702304242647</c:v>
                </c:pt>
                <c:pt idx="16">
                  <c:v>0.1112933883260542</c:v>
                </c:pt>
                <c:pt idx="1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6A3-4449-9F87-C1FBA315CF5D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Графики'!$AU$73:$AU$75</c:f>
              <c:numCache>
                <c:formatCode>0.00000</c:formatCode>
                <c:ptCount val="3"/>
                <c:pt idx="0">
                  <c:v>-1.4555521054958924</c:v>
                </c:pt>
                <c:pt idx="1">
                  <c:v>-3.9924950647161506</c:v>
                </c:pt>
                <c:pt idx="2">
                  <c:v>-2.3297418952120257</c:v>
                </c:pt>
              </c:numCache>
            </c:numRef>
          </c:xVal>
          <c:yVal>
            <c:numRef>
              <c:f>'МГК Графики'!$AV$73:$AV$75</c:f>
              <c:numCache>
                <c:formatCode>0.00000</c:formatCode>
                <c:ptCount val="3"/>
                <c:pt idx="0">
                  <c:v>-1.6099056437636912</c:v>
                </c:pt>
                <c:pt idx="1">
                  <c:v>-1.8635103694499162</c:v>
                </c:pt>
                <c:pt idx="2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6A3-4449-9F87-C1FBA315CF5D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Графики'!$AU$76:$AU$77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Графики'!$AV$76:$AV$77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6A3-4449-9F87-C1FBA315CF5D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Графики'!$AU$78:$AU$85</c:f>
              <c:numCache>
                <c:formatCode>0.00000</c:formatCode>
                <c:ptCount val="8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1.2934335741622118</c:v>
                </c:pt>
                <c:pt idx="4">
                  <c:v>1.8832580965494981</c:v>
                </c:pt>
                <c:pt idx="5">
                  <c:v>1.5900207776688355</c:v>
                </c:pt>
                <c:pt idx="6">
                  <c:v>1.6056705170788306</c:v>
                </c:pt>
                <c:pt idx="7">
                  <c:v>2.8077601812150634</c:v>
                </c:pt>
              </c:numCache>
            </c:numRef>
          </c:xVal>
          <c:yVal>
            <c:numRef>
              <c:f>'МГК Графики'!$AV$78:$AV$85</c:f>
              <c:numCache>
                <c:formatCode>0.00000</c:formatCode>
                <c:ptCount val="8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-1.7339610608620482</c:v>
                </c:pt>
                <c:pt idx="4">
                  <c:v>-0.61657227555087213</c:v>
                </c:pt>
                <c:pt idx="5">
                  <c:v>-0.16828258056050027</c:v>
                </c:pt>
                <c:pt idx="6">
                  <c:v>-0.90518136094967316</c:v>
                </c:pt>
                <c:pt idx="7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6A3-4449-9F87-C1FBA3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таблица2</c:name>
    <c:fmtId val="2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средних'!$B$26:$B$27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средних'!$B$28:$B$36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8-4F4A-9383-92B045AACCF8}"/>
            </c:ext>
          </c:extLst>
        </c:ser>
        <c:ser>
          <c:idx val="1"/>
          <c:order val="1"/>
          <c:tx>
            <c:strRef>
              <c:f>'графики средних'!$C$26:$C$27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средних'!$C$28:$C$36</c:f>
              <c:numCache>
                <c:formatCode>General</c:formatCode>
                <c:ptCount val="9"/>
                <c:pt idx="0">
                  <c:v>-0.60254552600000011</c:v>
                </c:pt>
                <c:pt idx="1">
                  <c:v>1.8406068800000002</c:v>
                </c:pt>
                <c:pt idx="2">
                  <c:v>1.44672947</c:v>
                </c:pt>
                <c:pt idx="3">
                  <c:v>-0.80677196200000012</c:v>
                </c:pt>
                <c:pt idx="4">
                  <c:v>2.0099738299999999</c:v>
                </c:pt>
                <c:pt idx="5">
                  <c:v>-1.0117389699999999</c:v>
                </c:pt>
                <c:pt idx="6">
                  <c:v>0.95797351100000006</c:v>
                </c:pt>
                <c:pt idx="7">
                  <c:v>4.5538267100000001</c:v>
                </c:pt>
                <c:pt idx="8">
                  <c:v>0.89791588200000005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8-4F4A-9383-92B045AACCF8}"/>
            </c:ext>
          </c:extLst>
        </c:ser>
        <c:ser>
          <c:idx val="2"/>
          <c:order val="2"/>
          <c:tx>
            <c:strRef>
              <c:f>'графики средних'!$D$26:$D$27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средних'!$D$28:$D$36</c:f>
              <c:numCache>
                <c:formatCode>General</c:formatCode>
                <c:ptCount val="9"/>
                <c:pt idx="0">
                  <c:v>-0.35996508742857147</c:v>
                </c:pt>
                <c:pt idx="1">
                  <c:v>0.91308744337142855</c:v>
                </c:pt>
                <c:pt idx="2">
                  <c:v>1.1259979564285716</c:v>
                </c:pt>
                <c:pt idx="3">
                  <c:v>1.3726506394285714</c:v>
                </c:pt>
                <c:pt idx="4">
                  <c:v>-0.80925919428571425</c:v>
                </c:pt>
                <c:pt idx="5">
                  <c:v>-1.0312007329999999</c:v>
                </c:pt>
                <c:pt idx="6">
                  <c:v>0.88416558514285715</c:v>
                </c:pt>
                <c:pt idx="7">
                  <c:v>2.6085251557142902E-2</c:v>
                </c:pt>
                <c:pt idx="8">
                  <c:v>-1.0741244441428572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D8-4F4A-9383-92B045AACCF8}"/>
            </c:ext>
          </c:extLst>
        </c:ser>
        <c:ser>
          <c:idx val="3"/>
          <c:order val="3"/>
          <c:tx>
            <c:strRef>
              <c:f>'графики средних'!$E$26:$E$27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средних'!$E$28:$E$36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D8-4F4A-9383-92B045AACCF8}"/>
            </c:ext>
          </c:extLst>
        </c:ser>
        <c:ser>
          <c:idx val="4"/>
          <c:order val="4"/>
          <c:tx>
            <c:strRef>
              <c:f>'графики средних'!$F$26:$F$27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средних'!$F$28:$F$36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D8-4F4A-9383-92B045AACCF8}"/>
            </c:ext>
          </c:extLst>
        </c:ser>
        <c:ser>
          <c:idx val="5"/>
          <c:order val="5"/>
          <c:tx>
            <c:strRef>
              <c:f>'графики средних'!$G$26:$G$27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средних'!$G$28:$G$36</c:f>
              <c:numCache>
                <c:formatCode>General</c:formatCode>
                <c:ptCount val="9"/>
                <c:pt idx="0">
                  <c:v>-0.15548116467183104</c:v>
                </c:pt>
                <c:pt idx="1">
                  <c:v>-0.18805216723943666</c:v>
                </c:pt>
                <c:pt idx="2">
                  <c:v>-0.13550536065915494</c:v>
                </c:pt>
                <c:pt idx="3">
                  <c:v>-0.19583965016239438</c:v>
                </c:pt>
                <c:pt idx="4">
                  <c:v>-9.838979865478871E-2</c:v>
                </c:pt>
                <c:pt idx="5">
                  <c:v>2.4642332945422559E-2</c:v>
                </c:pt>
                <c:pt idx="6">
                  <c:v>-0.24146633152933805</c:v>
                </c:pt>
                <c:pt idx="7">
                  <c:v>-4.1220671563380598E-3</c:v>
                </c:pt>
                <c:pt idx="8">
                  <c:v>0.22655665741549288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D8-4F4A-9383-92B045AAC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864"/>
        <c:axId val="1550730112"/>
      </c:lineChart>
      <c:catAx>
        <c:axId val="155072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112"/>
        <c:crosses val="autoZero"/>
        <c:auto val="1"/>
        <c:lblAlgn val="ctr"/>
        <c:lblOffset val="100"/>
        <c:noMultiLvlLbl val="0"/>
      </c:catAx>
      <c:valAx>
        <c:axId val="155073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таблица3</c:name>
    <c:fmtId val="1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средних'!$B$50:$B$51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средних'!$B$52:$B$60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5-409C-8AAE-0E1AD22B546F}"/>
            </c:ext>
          </c:extLst>
        </c:ser>
        <c:ser>
          <c:idx val="1"/>
          <c:order val="1"/>
          <c:tx>
            <c:strRef>
              <c:f>'графики средних'!$C$50:$C$51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средних'!$C$52:$C$60</c:f>
              <c:numCache>
                <c:formatCode>General</c:formatCode>
                <c:ptCount val="9"/>
                <c:pt idx="0">
                  <c:v>-0.33773633370500006</c:v>
                </c:pt>
                <c:pt idx="1">
                  <c:v>-5.482396664000002E-2</c:v>
                </c:pt>
                <c:pt idx="2">
                  <c:v>-0.84522187688000017</c:v>
                </c:pt>
                <c:pt idx="3">
                  <c:v>-0.53479767927000021</c:v>
                </c:pt>
                <c:pt idx="4">
                  <c:v>-0.22439633905949999</c:v>
                </c:pt>
                <c:pt idx="5">
                  <c:v>-0.13583020425</c:v>
                </c:pt>
                <c:pt idx="6">
                  <c:v>-0.30795092669915003</c:v>
                </c:pt>
                <c:pt idx="7">
                  <c:v>0.23485868501500001</c:v>
                </c:pt>
                <c:pt idx="8">
                  <c:v>0.88920939710999991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5-409C-8AAE-0E1AD22B546F}"/>
            </c:ext>
          </c:extLst>
        </c:ser>
        <c:ser>
          <c:idx val="2"/>
          <c:order val="2"/>
          <c:tx>
            <c:strRef>
              <c:f>'графики средних'!$D$50:$D$51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средних'!$D$52:$D$60</c:f>
              <c:numCache>
                <c:formatCode>General</c:formatCode>
                <c:ptCount val="9"/>
                <c:pt idx="0">
                  <c:v>-9.721003102499999E-2</c:v>
                </c:pt>
                <c:pt idx="1">
                  <c:v>-0.20018521146666665</c:v>
                </c:pt>
                <c:pt idx="2">
                  <c:v>-0.33123158592916668</c:v>
                </c:pt>
                <c:pt idx="3">
                  <c:v>-0.14094646461499999</c:v>
                </c:pt>
                <c:pt idx="4">
                  <c:v>-0.11050003998750008</c:v>
                </c:pt>
                <c:pt idx="5">
                  <c:v>0.7645811140458334</c:v>
                </c:pt>
                <c:pt idx="6">
                  <c:v>-0.3557751337333333</c:v>
                </c:pt>
                <c:pt idx="7">
                  <c:v>-0.46411787805833332</c:v>
                </c:pt>
                <c:pt idx="8">
                  <c:v>-0.12859872897083333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25-409C-8AAE-0E1AD22B546F}"/>
            </c:ext>
          </c:extLst>
        </c:ser>
        <c:ser>
          <c:idx val="3"/>
          <c:order val="3"/>
          <c:tx>
            <c:strRef>
              <c:f>'графики средних'!$E$50:$E$51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средних'!$E$52:$E$60</c:f>
              <c:numCache>
                <c:formatCode>General</c:formatCode>
                <c:ptCount val="9"/>
                <c:pt idx="0">
                  <c:v>0.71993234571428566</c:v>
                </c:pt>
                <c:pt idx="1">
                  <c:v>0.16081361642857142</c:v>
                </c:pt>
                <c:pt idx="2">
                  <c:v>0.7560744888571429</c:v>
                </c:pt>
                <c:pt idx="3">
                  <c:v>-0.76383661271428582</c:v>
                </c:pt>
                <c:pt idx="4">
                  <c:v>1.1255937819999999</c:v>
                </c:pt>
                <c:pt idx="5">
                  <c:v>-0.46005892700000001</c:v>
                </c:pt>
                <c:pt idx="6">
                  <c:v>-0.42711009971428571</c:v>
                </c:pt>
                <c:pt idx="7">
                  <c:v>1.6942005252857144</c:v>
                </c:pt>
                <c:pt idx="8">
                  <c:v>1.1179369097142857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25-409C-8AAE-0E1AD22B546F}"/>
            </c:ext>
          </c:extLst>
        </c:ser>
        <c:ser>
          <c:idx val="4"/>
          <c:order val="4"/>
          <c:tx>
            <c:strRef>
              <c:f>'графики средних'!$F$50:$F$51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средних'!$F$52:$F$60</c:f>
              <c:numCache>
                <c:formatCode>General</c:formatCode>
                <c:ptCount val="9"/>
                <c:pt idx="0">
                  <c:v>-0.36118652967857157</c:v>
                </c:pt>
                <c:pt idx="1">
                  <c:v>-1.2294849907142876E-2</c:v>
                </c:pt>
                <c:pt idx="2">
                  <c:v>0.68818959771785715</c:v>
                </c:pt>
                <c:pt idx="3">
                  <c:v>0.51152472777250013</c:v>
                </c:pt>
                <c:pt idx="4">
                  <c:v>-0.40641946312857147</c:v>
                </c:pt>
                <c:pt idx="5">
                  <c:v>-0.67476673660624997</c:v>
                </c:pt>
                <c:pt idx="6">
                  <c:v>0.27465769678571428</c:v>
                </c:pt>
                <c:pt idx="7">
                  <c:v>-3.4785414324999993E-2</c:v>
                </c:pt>
                <c:pt idx="8">
                  <c:v>-0.4663860487642858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25-409C-8AAE-0E1AD22B546F}"/>
            </c:ext>
          </c:extLst>
        </c:ser>
        <c:ser>
          <c:idx val="5"/>
          <c:order val="5"/>
          <c:tx>
            <c:strRef>
              <c:f>'графики средних'!$G$50:$G$51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средних'!$G$52:$G$60</c:f>
              <c:numCache>
                <c:formatCode>General</c:formatCode>
                <c:ptCount val="9"/>
                <c:pt idx="0">
                  <c:v>3.0432974728</c:v>
                </c:pt>
                <c:pt idx="1">
                  <c:v>-0.4093757508000001</c:v>
                </c:pt>
                <c:pt idx="2">
                  <c:v>-5.0233680000000723E-3</c:v>
                </c:pt>
                <c:pt idx="3">
                  <c:v>0.16767908467999998</c:v>
                </c:pt>
                <c:pt idx="4">
                  <c:v>2.1719653119999998</c:v>
                </c:pt>
                <c:pt idx="5">
                  <c:v>1.6151829994000004</c:v>
                </c:pt>
                <c:pt idx="6">
                  <c:v>1.6622839576000001</c:v>
                </c:pt>
                <c:pt idx="7">
                  <c:v>-0.34172898584</c:v>
                </c:pt>
                <c:pt idx="8">
                  <c:v>-1.5176834042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25-409C-8AAE-0E1AD22B5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448"/>
        <c:axId val="1550730944"/>
      </c:lineChart>
      <c:catAx>
        <c:axId val="155072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944"/>
        <c:crosses val="autoZero"/>
        <c:auto val="1"/>
        <c:lblAlgn val="ctr"/>
        <c:lblOffset val="100"/>
        <c:noMultiLvlLbl val="0"/>
      </c:catAx>
      <c:valAx>
        <c:axId val="155073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[MIAD.xlsx]Графики!Сводная таблица4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3820098941134335E-2"/>
          <c:y val="0.12747003769317386"/>
          <c:w val="0.89821174811294135"/>
          <c:h val="0.74505992461365234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Графики!$B$2:$B$3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Графики!$B$4:$B$12</c:f>
              <c:numCache>
                <c:formatCode>General</c:formatCode>
                <c:ptCount val="9"/>
                <c:pt idx="0">
                  <c:v>-0.4943154058050987</c:v>
                </c:pt>
                <c:pt idx="1">
                  <c:v>3.3249355871724808</c:v>
                </c:pt>
                <c:pt idx="2">
                  <c:v>0.4974340642396467</c:v>
                </c:pt>
                <c:pt idx="3">
                  <c:v>1.6383126858732366</c:v>
                </c:pt>
                <c:pt idx="4">
                  <c:v>-0.99986335027840845</c:v>
                </c:pt>
                <c:pt idx="5">
                  <c:v>-1.4500736289717651</c:v>
                </c:pt>
                <c:pt idx="6">
                  <c:v>0.70480821711411823</c:v>
                </c:pt>
                <c:pt idx="7">
                  <c:v>0.4539279478823659</c:v>
                </c:pt>
                <c:pt idx="8">
                  <c:v>-1.7068712993012618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B-4C0A-8265-551385E8C04C}"/>
            </c:ext>
          </c:extLst>
        </c:ser>
        <c:ser>
          <c:idx val="1"/>
          <c:order val="1"/>
          <c:tx>
            <c:strRef>
              <c:f>Графики!$C$2:$C$3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Графики!$C$4:$C$12</c:f>
              <c:numCache>
                <c:formatCode>General</c:formatCode>
                <c:ptCount val="9"/>
                <c:pt idx="0">
                  <c:v>1.8563162324991018</c:v>
                </c:pt>
                <c:pt idx="1">
                  <c:v>-0.94547659652481708</c:v>
                </c:pt>
                <c:pt idx="2">
                  <c:v>1.2098248814851478</c:v>
                </c:pt>
                <c:pt idx="3">
                  <c:v>1.0589909901558296</c:v>
                </c:pt>
                <c:pt idx="4">
                  <c:v>3.1193895536889675</c:v>
                </c:pt>
                <c:pt idx="5">
                  <c:v>0.33326219657141332</c:v>
                </c:pt>
                <c:pt idx="6">
                  <c:v>5.3402128852686301</c:v>
                </c:pt>
                <c:pt idx="7">
                  <c:v>-0.40894004422702934</c:v>
                </c:pt>
                <c:pt idx="8">
                  <c:v>-1.0273031498070471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B-4C0A-8265-551385E8C04C}"/>
            </c:ext>
          </c:extLst>
        </c:ser>
        <c:ser>
          <c:idx val="2"/>
          <c:order val="2"/>
          <c:tx>
            <c:strRef>
              <c:f>Графики!$D$2:$D$3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Графики!$D$4:$D$12</c:f>
              <c:numCache>
                <c:formatCode>General</c:formatCode>
                <c:ptCount val="9"/>
                <c:pt idx="0">
                  <c:v>3.8175336590685802</c:v>
                </c:pt>
                <c:pt idx="1">
                  <c:v>-0.23909262628917405</c:v>
                </c:pt>
                <c:pt idx="2">
                  <c:v>-0.80861576737710494</c:v>
                </c:pt>
                <c:pt idx="3">
                  <c:v>-0.29646305955010266</c:v>
                </c:pt>
                <c:pt idx="4">
                  <c:v>1.5154535833944074</c:v>
                </c:pt>
                <c:pt idx="5">
                  <c:v>2.4637572208637235</c:v>
                </c:pt>
                <c:pt idx="6">
                  <c:v>-0.72400872602104516</c:v>
                </c:pt>
                <c:pt idx="7">
                  <c:v>-0.37744851166829224</c:v>
                </c:pt>
                <c:pt idx="8">
                  <c:v>-1.9223813182882081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B-4C0A-8265-551385E8C04C}"/>
            </c:ext>
          </c:extLst>
        </c:ser>
        <c:ser>
          <c:idx val="3"/>
          <c:order val="3"/>
          <c:tx>
            <c:strRef>
              <c:f>Графики!$E$2:$E$3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Графики!$E$4:$E$12</c:f>
              <c:numCache>
                <c:formatCode>General</c:formatCode>
                <c:ptCount val="9"/>
                <c:pt idx="0">
                  <c:v>-0.36089097709701257</c:v>
                </c:pt>
                <c:pt idx="1">
                  <c:v>2.9333282400370465E-2</c:v>
                </c:pt>
                <c:pt idx="2">
                  <c:v>-0.74431792951289577</c:v>
                </c:pt>
                <c:pt idx="3">
                  <c:v>-0.54469843820819153</c:v>
                </c:pt>
                <c:pt idx="4">
                  <c:v>-0.16046651650893223</c:v>
                </c:pt>
                <c:pt idx="5">
                  <c:v>-6.2763212200476759E-2</c:v>
                </c:pt>
                <c:pt idx="6">
                  <c:v>-0.27683321138690831</c:v>
                </c:pt>
                <c:pt idx="7">
                  <c:v>0.20249955193340938</c:v>
                </c:pt>
                <c:pt idx="8">
                  <c:v>0.70448250182400007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5B-4C0A-8265-551385E8C04C}"/>
            </c:ext>
          </c:extLst>
        </c:ser>
        <c:ser>
          <c:idx val="4"/>
          <c:order val="4"/>
          <c:tx>
            <c:strRef>
              <c:f>Графики!$F$2:$F$3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Графики!$F$4:$F$12</c:f>
              <c:numCache>
                <c:formatCode>General</c:formatCode>
                <c:ptCount val="9"/>
                <c:pt idx="0">
                  <c:v>-7.0990408721339507E-2</c:v>
                </c:pt>
                <c:pt idx="1">
                  <c:v>-0.19781044621046753</c:v>
                </c:pt>
                <c:pt idx="2">
                  <c:v>-0.31607449721194647</c:v>
                </c:pt>
                <c:pt idx="3">
                  <c:v>-3.5031390210701389E-2</c:v>
                </c:pt>
                <c:pt idx="4">
                  <c:v>-8.6029231572130632E-2</c:v>
                </c:pt>
                <c:pt idx="5">
                  <c:v>0.70964135294291397</c:v>
                </c:pt>
                <c:pt idx="6">
                  <c:v>-0.35714430553898618</c:v>
                </c:pt>
                <c:pt idx="7">
                  <c:v>-0.57359577160556874</c:v>
                </c:pt>
                <c:pt idx="8">
                  <c:v>-0.17201591475069911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5B-4C0A-8265-551385E8C04C}"/>
            </c:ext>
          </c:extLst>
        </c:ser>
        <c:ser>
          <c:idx val="5"/>
          <c:order val="5"/>
          <c:tx>
            <c:strRef>
              <c:f>Графики!$G$2:$G$3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Графики!$G$4:$G$12</c:f>
              <c:numCache>
                <c:formatCode>General</c:formatCode>
                <c:ptCount val="9"/>
                <c:pt idx="0">
                  <c:v>0.7079114662794187</c:v>
                </c:pt>
                <c:pt idx="1">
                  <c:v>0.39619425603314157</c:v>
                </c:pt>
                <c:pt idx="2">
                  <c:v>0.75577359137263034</c:v>
                </c:pt>
                <c:pt idx="3">
                  <c:v>-0.80209412861069673</c:v>
                </c:pt>
                <c:pt idx="4">
                  <c:v>1.116602035475172</c:v>
                </c:pt>
                <c:pt idx="5">
                  <c:v>-0.48366401318348895</c:v>
                </c:pt>
                <c:pt idx="6">
                  <c:v>-0.41172078180772481</c:v>
                </c:pt>
                <c:pt idx="7">
                  <c:v>1.7315844116939836</c:v>
                </c:pt>
                <c:pt idx="8">
                  <c:v>1.1129117456243012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5B-4C0A-8265-551385E8C04C}"/>
            </c:ext>
          </c:extLst>
        </c:ser>
        <c:ser>
          <c:idx val="6"/>
          <c:order val="6"/>
          <c:tx>
            <c:strRef>
              <c:f>Графики!$H$2:$H$3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Графики!$H$4:$H$12</c:f>
              <c:numCache>
                <c:formatCode>General</c:formatCode>
                <c:ptCount val="9"/>
                <c:pt idx="0">
                  <c:v>-0.35324323818135545</c:v>
                </c:pt>
                <c:pt idx="1">
                  <c:v>-0.2921412248444199</c:v>
                </c:pt>
                <c:pt idx="2">
                  <c:v>0.80299969070030019</c:v>
                </c:pt>
                <c:pt idx="3">
                  <c:v>0.60105426915753202</c:v>
                </c:pt>
                <c:pt idx="4">
                  <c:v>-0.42536901214409456</c:v>
                </c:pt>
                <c:pt idx="5">
                  <c:v>-0.59370935579667672</c:v>
                </c:pt>
                <c:pt idx="6">
                  <c:v>0.29043834477517466</c:v>
                </c:pt>
                <c:pt idx="7">
                  <c:v>-0.19780985637671392</c:v>
                </c:pt>
                <c:pt idx="8">
                  <c:v>-0.3846846262096914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5B-4C0A-8265-551385E8C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001248"/>
        <c:axId val="726996448"/>
      </c:lineChart>
      <c:catAx>
        <c:axId val="72700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6996448"/>
        <c:crosses val="autoZero"/>
        <c:auto val="1"/>
        <c:lblAlgn val="ctr"/>
        <c:lblOffset val="100"/>
        <c:noMultiLvlLbl val="0"/>
      </c:catAx>
      <c:valAx>
        <c:axId val="72699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700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[MIAD.xlsx]Графики!Сводная таблица5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Графики!$B$23:$B$24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Графики!$B$25:$B$33</c:f>
              <c:numCache>
                <c:formatCode>General</c:formatCode>
                <c:ptCount val="9"/>
                <c:pt idx="0">
                  <c:v>-0.2666811695553582</c:v>
                </c:pt>
                <c:pt idx="1">
                  <c:v>-0.22303844514745474</c:v>
                </c:pt>
                <c:pt idx="2">
                  <c:v>1.0702579305103677</c:v>
                </c:pt>
                <c:pt idx="3">
                  <c:v>0.84353093483079455</c:v>
                </c:pt>
                <c:pt idx="4">
                  <c:v>-0.49525605110804449</c:v>
                </c:pt>
                <c:pt idx="5">
                  <c:v>-0.76645592315034394</c:v>
                </c:pt>
                <c:pt idx="6">
                  <c:v>0.4716296229534841</c:v>
                </c:pt>
                <c:pt idx="7">
                  <c:v>-0.17039168509459615</c:v>
                </c:pt>
                <c:pt idx="8">
                  <c:v>-0.45491819666630429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8-44D0-A58C-5B799B7341BE}"/>
            </c:ext>
          </c:extLst>
        </c:ser>
        <c:ser>
          <c:idx val="1"/>
          <c:order val="1"/>
          <c:tx>
            <c:strRef>
              <c:f>Графики!$C$23:$C$24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Графики!$C$25:$C$33</c:f>
              <c:numCache>
                <c:formatCode>General</c:formatCode>
                <c:ptCount val="9"/>
                <c:pt idx="0">
                  <c:v>-0.34434179296866885</c:v>
                </c:pt>
                <c:pt idx="1">
                  <c:v>0.1434156896091783</c:v>
                </c:pt>
                <c:pt idx="2">
                  <c:v>-0.64560772363168795</c:v>
                </c:pt>
                <c:pt idx="3">
                  <c:v>-0.54647884318133133</c:v>
                </c:pt>
                <c:pt idx="4">
                  <c:v>-0.10385986435522095</c:v>
                </c:pt>
                <c:pt idx="5">
                  <c:v>-0.15024944872430462</c:v>
                </c:pt>
                <c:pt idx="6">
                  <c:v>-0.32470653320196419</c:v>
                </c:pt>
                <c:pt idx="7">
                  <c:v>0.19980497210403569</c:v>
                </c:pt>
                <c:pt idx="8">
                  <c:v>0.94271742469985709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8-44D0-A58C-5B799B7341BE}"/>
            </c:ext>
          </c:extLst>
        </c:ser>
        <c:ser>
          <c:idx val="2"/>
          <c:order val="2"/>
          <c:tx>
            <c:strRef>
              <c:f>Графики!$D$23:$D$24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Графики!$D$25:$D$33</c:f>
              <c:numCache>
                <c:formatCode>General</c:formatCode>
                <c:ptCount val="9"/>
                <c:pt idx="0">
                  <c:v>-0.30383920740027942</c:v>
                </c:pt>
                <c:pt idx="1">
                  <c:v>-0.39848771048195708</c:v>
                </c:pt>
                <c:pt idx="2">
                  <c:v>-0.1944070178930033</c:v>
                </c:pt>
                <c:pt idx="3">
                  <c:v>1.2130610849658817E-2</c:v>
                </c:pt>
                <c:pt idx="4">
                  <c:v>-0.3016143222796332</c:v>
                </c:pt>
                <c:pt idx="5">
                  <c:v>0.30012690963984406</c:v>
                </c:pt>
                <c:pt idx="6">
                  <c:v>-0.22978968150799201</c:v>
                </c:pt>
                <c:pt idx="7">
                  <c:v>-0.42783496376227159</c:v>
                </c:pt>
                <c:pt idx="8">
                  <c:v>-0.18690120918881367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8-44D0-A58C-5B799B7341BE}"/>
            </c:ext>
          </c:extLst>
        </c:ser>
        <c:ser>
          <c:idx val="3"/>
          <c:order val="3"/>
          <c:tx>
            <c:strRef>
              <c:f>Графики!$E$23:$E$24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Графики!$E$25:$E$33</c:f>
              <c:numCache>
                <c:formatCode>General</c:formatCode>
                <c:ptCount val="9"/>
                <c:pt idx="0">
                  <c:v>2.1027937642957961</c:v>
                </c:pt>
                <c:pt idx="1">
                  <c:v>0.32280371367099675</c:v>
                </c:pt>
                <c:pt idx="2">
                  <c:v>-0.68760066060142699</c:v>
                </c:pt>
                <c:pt idx="3">
                  <c:v>-0.36788628230978299</c:v>
                </c:pt>
                <c:pt idx="4">
                  <c:v>1.2545638901611504</c:v>
                </c:pt>
                <c:pt idx="5">
                  <c:v>2.2494896159827418</c:v>
                </c:pt>
                <c:pt idx="6">
                  <c:v>-0.69396369662566337</c:v>
                </c:pt>
                <c:pt idx="7">
                  <c:v>-0.47192310934450338</c:v>
                </c:pt>
                <c:pt idx="8">
                  <c:v>-1.1218429222871695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78-44D0-A58C-5B799B7341BE}"/>
            </c:ext>
          </c:extLst>
        </c:ser>
        <c:ser>
          <c:idx val="4"/>
          <c:order val="4"/>
          <c:tx>
            <c:strRef>
              <c:f>Графики!$F$23:$F$24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Графики!$F$25:$F$33</c:f>
              <c:numCache>
                <c:formatCode>General</c:formatCode>
                <c:ptCount val="9"/>
                <c:pt idx="0">
                  <c:v>0.97463482083586916</c:v>
                </c:pt>
                <c:pt idx="1">
                  <c:v>0.23450571739154133</c:v>
                </c:pt>
                <c:pt idx="2">
                  <c:v>0.56364987738105521</c:v>
                </c:pt>
                <c:pt idx="3">
                  <c:v>-1.0154568353308846</c:v>
                </c:pt>
                <c:pt idx="4">
                  <c:v>1.3319170540364704</c:v>
                </c:pt>
                <c:pt idx="5">
                  <c:v>-0.41629376349585284</c:v>
                </c:pt>
                <c:pt idx="6">
                  <c:v>-0.37913014391873734</c:v>
                </c:pt>
                <c:pt idx="7">
                  <c:v>2.0662944148897036</c:v>
                </c:pt>
                <c:pt idx="8">
                  <c:v>0.78928366118197646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78-44D0-A58C-5B799B7341BE}"/>
            </c:ext>
          </c:extLst>
        </c:ser>
        <c:ser>
          <c:idx val="5"/>
          <c:order val="5"/>
          <c:tx>
            <c:strRef>
              <c:f>Графики!$G$23:$G$24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Графики!$G$25:$G$33</c:f>
              <c:numCache>
                <c:formatCode>General</c:formatCode>
                <c:ptCount val="9"/>
                <c:pt idx="0">
                  <c:v>1.8563162324991018</c:v>
                </c:pt>
                <c:pt idx="1">
                  <c:v>-0.94547659652481708</c:v>
                </c:pt>
                <c:pt idx="2">
                  <c:v>1.2098248814851478</c:v>
                </c:pt>
                <c:pt idx="3">
                  <c:v>1.0589909901558296</c:v>
                </c:pt>
                <c:pt idx="4">
                  <c:v>3.1193895536889675</c:v>
                </c:pt>
                <c:pt idx="5">
                  <c:v>0.33326219657141332</c:v>
                </c:pt>
                <c:pt idx="6">
                  <c:v>5.3402128852686301</c:v>
                </c:pt>
                <c:pt idx="7">
                  <c:v>-0.40894004422702934</c:v>
                </c:pt>
                <c:pt idx="8">
                  <c:v>-1.0273031498070471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78-44D0-A58C-5B799B7341BE}"/>
            </c:ext>
          </c:extLst>
        </c:ser>
        <c:ser>
          <c:idx val="6"/>
          <c:order val="6"/>
          <c:tx>
            <c:strRef>
              <c:f>Графики!$H$23:$H$24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Графики!$H$25:$H$33</c:f>
              <c:numCache>
                <c:formatCode>General</c:formatCode>
                <c:ptCount val="9"/>
                <c:pt idx="0">
                  <c:v>-0.4943154058050987</c:v>
                </c:pt>
                <c:pt idx="1">
                  <c:v>3.3249355871724808</c:v>
                </c:pt>
                <c:pt idx="2">
                  <c:v>0.4974340642396467</c:v>
                </c:pt>
                <c:pt idx="3">
                  <c:v>1.6383126858732366</c:v>
                </c:pt>
                <c:pt idx="4">
                  <c:v>-0.99986335027840845</c:v>
                </c:pt>
                <c:pt idx="5">
                  <c:v>-1.4500736289717651</c:v>
                </c:pt>
                <c:pt idx="6">
                  <c:v>0.70480821711411823</c:v>
                </c:pt>
                <c:pt idx="7">
                  <c:v>0.4539279478823659</c:v>
                </c:pt>
                <c:pt idx="8">
                  <c:v>-1.7068712993012618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78-44D0-A58C-5B799B73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966544"/>
        <c:axId val="728967504"/>
      </c:lineChart>
      <c:catAx>
        <c:axId val="72896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967504"/>
        <c:crosses val="autoZero"/>
        <c:auto val="1"/>
        <c:lblAlgn val="ctr"/>
        <c:lblOffset val="100"/>
        <c:noMultiLvlLbl val="0"/>
      </c:catAx>
      <c:valAx>
        <c:axId val="72896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96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таблица1</c:name>
    <c:fmtId val="3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средних'!$B$1:$B$2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средних'!$B$3:$B$11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470-A74D-C84821CA06FD}"/>
            </c:ext>
          </c:extLst>
        </c:ser>
        <c:ser>
          <c:idx val="1"/>
          <c:order val="1"/>
          <c:tx>
            <c:strRef>
              <c:f>'графики средних'!$C$1:$C$2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средних'!$C$3:$C$11</c:f>
              <c:numCache>
                <c:formatCode>General</c:formatCode>
                <c:ptCount val="9"/>
                <c:pt idx="0">
                  <c:v>-0.25248812200000004</c:v>
                </c:pt>
                <c:pt idx="1">
                  <c:v>0.89314078893333326</c:v>
                </c:pt>
                <c:pt idx="2">
                  <c:v>0.92332712083333346</c:v>
                </c:pt>
                <c:pt idx="3">
                  <c:v>1.3739608726666666</c:v>
                </c:pt>
                <c:pt idx="4">
                  <c:v>-0.85355515466666665</c:v>
                </c:pt>
                <c:pt idx="5">
                  <c:v>-1.2552145235000001</c:v>
                </c:pt>
                <c:pt idx="6">
                  <c:v>1.0109030491666668</c:v>
                </c:pt>
                <c:pt idx="7">
                  <c:v>0.28079229348333334</c:v>
                </c:pt>
                <c:pt idx="8">
                  <c:v>-1.1951431578333334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470-A74D-C84821CA06FD}"/>
            </c:ext>
          </c:extLst>
        </c:ser>
        <c:ser>
          <c:idx val="2"/>
          <c:order val="2"/>
          <c:tx>
            <c:strRef>
              <c:f>'графики средних'!$D$1:$D$2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средних'!$D$3:$D$11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1-4470-A74D-C84821CA06FD}"/>
            </c:ext>
          </c:extLst>
        </c:ser>
        <c:ser>
          <c:idx val="3"/>
          <c:order val="3"/>
          <c:tx>
            <c:strRef>
              <c:f>'графики средних'!$E$1:$E$2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средних'!$E$3:$E$11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A1-4470-A74D-C84821CA06FD}"/>
            </c:ext>
          </c:extLst>
        </c:ser>
        <c:ser>
          <c:idx val="4"/>
          <c:order val="4"/>
          <c:tx>
            <c:strRef>
              <c:f>'графики средних'!$F$1:$F$2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средних'!$F$3:$F$11</c:f>
              <c:numCache>
                <c:formatCode>General</c:formatCode>
                <c:ptCount val="9"/>
                <c:pt idx="0">
                  <c:v>1.2369846068000001</c:v>
                </c:pt>
                <c:pt idx="1">
                  <c:v>0.1231999252</c:v>
                </c:pt>
                <c:pt idx="2">
                  <c:v>0.62030470560000006</c:v>
                </c:pt>
                <c:pt idx="3">
                  <c:v>-1.2436240413999999</c:v>
                </c:pt>
                <c:pt idx="4">
                  <c:v>1.430455013</c:v>
                </c:pt>
                <c:pt idx="5">
                  <c:v>-0.3553100978</c:v>
                </c:pt>
                <c:pt idx="6">
                  <c:v>-0.36968888720000004</c:v>
                </c:pt>
                <c:pt idx="7">
                  <c:v>2.0081377472000002</c:v>
                </c:pt>
                <c:pt idx="8">
                  <c:v>0.49441532960000006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A1-4470-A74D-C84821CA06FD}"/>
            </c:ext>
          </c:extLst>
        </c:ser>
        <c:ser>
          <c:idx val="5"/>
          <c:order val="5"/>
          <c:tx>
            <c:strRef>
              <c:f>'графики средних'!$G$1:$G$2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средних'!$G$3:$G$11</c:f>
              <c:numCache>
                <c:formatCode>General</c:formatCode>
                <c:ptCount val="9"/>
                <c:pt idx="0">
                  <c:v>-0.27693320781911757</c:v>
                </c:pt>
                <c:pt idx="1">
                  <c:v>-0.1631519007352942</c:v>
                </c:pt>
                <c:pt idx="2">
                  <c:v>-0.13137723080588237</c:v>
                </c:pt>
                <c:pt idx="3">
                  <c:v>-0.10483055406661768</c:v>
                </c:pt>
                <c:pt idx="4">
                  <c:v>-0.18634500546308821</c:v>
                </c:pt>
                <c:pt idx="5">
                  <c:v>4.1577928943014722E-2</c:v>
                </c:pt>
                <c:pt idx="6">
                  <c:v>-0.2090286880968088</c:v>
                </c:pt>
                <c:pt idx="7">
                  <c:v>-0.10708361461911767</c:v>
                </c:pt>
                <c:pt idx="8">
                  <c:v>0.20828455512499996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A1-4470-A74D-C84821CA0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130352"/>
        <c:axId val="2082131184"/>
      </c:lineChart>
      <c:catAx>
        <c:axId val="208213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1184"/>
        <c:crosses val="autoZero"/>
        <c:auto val="1"/>
        <c:lblAlgn val="ctr"/>
        <c:lblOffset val="100"/>
        <c:noMultiLvlLbl val="0"/>
      </c:catAx>
      <c:valAx>
        <c:axId val="208213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таблица2</c:name>
    <c:fmtId val="4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средних'!$B$26:$B$27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средних'!$B$28:$B$36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E-46B4-871F-045A920BC1DF}"/>
            </c:ext>
          </c:extLst>
        </c:ser>
        <c:ser>
          <c:idx val="1"/>
          <c:order val="1"/>
          <c:tx>
            <c:strRef>
              <c:f>'графики средних'!$C$26:$C$27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средних'!$C$28:$C$36</c:f>
              <c:numCache>
                <c:formatCode>General</c:formatCode>
                <c:ptCount val="9"/>
                <c:pt idx="0">
                  <c:v>-0.60254552600000011</c:v>
                </c:pt>
                <c:pt idx="1">
                  <c:v>1.8406068800000002</c:v>
                </c:pt>
                <c:pt idx="2">
                  <c:v>1.44672947</c:v>
                </c:pt>
                <c:pt idx="3">
                  <c:v>-0.80677196200000012</c:v>
                </c:pt>
                <c:pt idx="4">
                  <c:v>2.0099738299999999</c:v>
                </c:pt>
                <c:pt idx="5">
                  <c:v>-1.0117389699999999</c:v>
                </c:pt>
                <c:pt idx="6">
                  <c:v>0.95797351100000006</c:v>
                </c:pt>
                <c:pt idx="7">
                  <c:v>4.5538267100000001</c:v>
                </c:pt>
                <c:pt idx="8">
                  <c:v>0.89791588200000005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E-46B4-871F-045A920BC1DF}"/>
            </c:ext>
          </c:extLst>
        </c:ser>
        <c:ser>
          <c:idx val="2"/>
          <c:order val="2"/>
          <c:tx>
            <c:strRef>
              <c:f>'графики средних'!$D$26:$D$27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средних'!$D$28:$D$36</c:f>
              <c:numCache>
                <c:formatCode>General</c:formatCode>
                <c:ptCount val="9"/>
                <c:pt idx="0">
                  <c:v>-0.35996508742857147</c:v>
                </c:pt>
                <c:pt idx="1">
                  <c:v>0.91308744337142855</c:v>
                </c:pt>
                <c:pt idx="2">
                  <c:v>1.1259979564285716</c:v>
                </c:pt>
                <c:pt idx="3">
                  <c:v>1.3726506394285714</c:v>
                </c:pt>
                <c:pt idx="4">
                  <c:v>-0.80925919428571425</c:v>
                </c:pt>
                <c:pt idx="5">
                  <c:v>-1.0312007329999999</c:v>
                </c:pt>
                <c:pt idx="6">
                  <c:v>0.88416558514285715</c:v>
                </c:pt>
                <c:pt idx="7">
                  <c:v>2.6085251557142902E-2</c:v>
                </c:pt>
                <c:pt idx="8">
                  <c:v>-1.0741244441428572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E-46B4-871F-045A920BC1DF}"/>
            </c:ext>
          </c:extLst>
        </c:ser>
        <c:ser>
          <c:idx val="3"/>
          <c:order val="3"/>
          <c:tx>
            <c:strRef>
              <c:f>'графики средних'!$E$26:$E$27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средних'!$E$28:$E$36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AE-46B4-871F-045A920BC1DF}"/>
            </c:ext>
          </c:extLst>
        </c:ser>
        <c:ser>
          <c:idx val="4"/>
          <c:order val="4"/>
          <c:tx>
            <c:strRef>
              <c:f>'графики средних'!$F$26:$F$27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средних'!$F$28:$F$36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AE-46B4-871F-045A920BC1DF}"/>
            </c:ext>
          </c:extLst>
        </c:ser>
        <c:ser>
          <c:idx val="5"/>
          <c:order val="5"/>
          <c:tx>
            <c:strRef>
              <c:f>'графики средних'!$G$26:$G$27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средних'!$G$28:$G$36</c:f>
              <c:numCache>
                <c:formatCode>General</c:formatCode>
                <c:ptCount val="9"/>
                <c:pt idx="0">
                  <c:v>-0.15548116467183104</c:v>
                </c:pt>
                <c:pt idx="1">
                  <c:v>-0.18805216723943666</c:v>
                </c:pt>
                <c:pt idx="2">
                  <c:v>-0.13550536065915494</c:v>
                </c:pt>
                <c:pt idx="3">
                  <c:v>-0.19583965016239438</c:v>
                </c:pt>
                <c:pt idx="4">
                  <c:v>-9.838979865478871E-2</c:v>
                </c:pt>
                <c:pt idx="5">
                  <c:v>2.4642332945422559E-2</c:v>
                </c:pt>
                <c:pt idx="6">
                  <c:v>-0.24146633152933805</c:v>
                </c:pt>
                <c:pt idx="7">
                  <c:v>-4.1220671563380598E-3</c:v>
                </c:pt>
                <c:pt idx="8">
                  <c:v>0.22655665741549288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AE-46B4-871F-045A920B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864"/>
        <c:axId val="1550730112"/>
      </c:lineChart>
      <c:catAx>
        <c:axId val="155072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112"/>
        <c:crosses val="autoZero"/>
        <c:auto val="1"/>
        <c:lblAlgn val="ctr"/>
        <c:lblOffset val="100"/>
        <c:noMultiLvlLbl val="0"/>
      </c:catAx>
      <c:valAx>
        <c:axId val="155073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Графики'!$B$2:$B$4</c:f>
              <c:numCache>
                <c:formatCode>0.00000</c:formatCode>
                <c:ptCount val="3"/>
                <c:pt idx="0">
                  <c:v>-0.68302336053045276</c:v>
                </c:pt>
                <c:pt idx="1">
                  <c:v>-0.92614254749908309</c:v>
                </c:pt>
                <c:pt idx="2">
                  <c:v>-1.2270999878536024</c:v>
                </c:pt>
              </c:numCache>
            </c:numRef>
          </c:xVal>
          <c:yVal>
            <c:numRef>
              <c:f>'МГК Графики'!$C$2:$C$4</c:f>
              <c:numCache>
                <c:formatCode>0.00000</c:formatCode>
                <c:ptCount val="3"/>
                <c:pt idx="0">
                  <c:v>0.71050364226684515</c:v>
                </c:pt>
                <c:pt idx="1">
                  <c:v>0.77680176065732853</c:v>
                </c:pt>
                <c:pt idx="2">
                  <c:v>-5.7894323128173497E-2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28-4E3F-9671-2F7F1DF0B7D0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Графики'!$B$5:$B$6</c:f>
              <c:numCache>
                <c:formatCode>0.00000</c:formatCode>
                <c:ptCount val="2"/>
                <c:pt idx="0">
                  <c:v>1.2150067041600144E-2</c:v>
                </c:pt>
                <c:pt idx="1">
                  <c:v>0.95419538499667966</c:v>
                </c:pt>
              </c:numCache>
            </c:numRef>
          </c:xVal>
          <c:yVal>
            <c:numRef>
              <c:f>'МГК Графики'!$C$5:$C$6</c:f>
              <c:numCache>
                <c:formatCode>0.00000</c:formatCode>
                <c:ptCount val="2"/>
                <c:pt idx="0">
                  <c:v>0.24194645938294049</c:v>
                </c:pt>
                <c:pt idx="1">
                  <c:v>-0.8035224435647651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28-4E3F-9671-2F7F1DF0B7D0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Графики'!$B$7:$B$9</c:f>
              <c:numCache>
                <c:formatCode>0.00000</c:formatCode>
                <c:ptCount val="3"/>
                <c:pt idx="0">
                  <c:v>0.64016186034313138</c:v>
                </c:pt>
                <c:pt idx="1">
                  <c:v>-1.6078402545490693E-2</c:v>
                </c:pt>
                <c:pt idx="2">
                  <c:v>0.33820098691855244</c:v>
                </c:pt>
              </c:numCache>
            </c:numRef>
          </c:xVal>
          <c:yVal>
            <c:numRef>
              <c:f>'МГК Графики'!$C$7:$C$9</c:f>
              <c:numCache>
                <c:formatCode>0.00000</c:formatCode>
                <c:ptCount val="3"/>
                <c:pt idx="0">
                  <c:v>-0.37488435258881508</c:v>
                </c:pt>
                <c:pt idx="1">
                  <c:v>0.61365064390561352</c:v>
                </c:pt>
                <c:pt idx="2">
                  <c:v>0.49600666943754734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28-4E3F-9671-2F7F1DF0B7D0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Графики'!$B$10:$B$34</c:f>
              <c:numCache>
                <c:formatCode>0.00000</c:formatCode>
                <c:ptCount val="25"/>
                <c:pt idx="0">
                  <c:v>-0.23684745505431254</c:v>
                </c:pt>
                <c:pt idx="1">
                  <c:v>0.51170261896111424</c:v>
                </c:pt>
                <c:pt idx="2">
                  <c:v>0.96281979262049577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2.1016928005327316</c:v>
                </c:pt>
                <c:pt idx="8">
                  <c:v>0.29307343975629818</c:v>
                </c:pt>
                <c:pt idx="9">
                  <c:v>-0.318374362849288</c:v>
                </c:pt>
                <c:pt idx="10">
                  <c:v>-1.4449780679126303</c:v>
                </c:pt>
                <c:pt idx="11">
                  <c:v>1.729940374128673</c:v>
                </c:pt>
                <c:pt idx="12">
                  <c:v>5.4112778576927596E-2</c:v>
                </c:pt>
                <c:pt idx="13">
                  <c:v>-0.68467341977940421</c:v>
                </c:pt>
                <c:pt idx="14">
                  <c:v>-0.16729151751754429</c:v>
                </c:pt>
                <c:pt idx="15">
                  <c:v>0.57679327393605218</c:v>
                </c:pt>
                <c:pt idx="16">
                  <c:v>-0.1854355341492282</c:v>
                </c:pt>
                <c:pt idx="17">
                  <c:v>-0.34986602269780964</c:v>
                </c:pt>
                <c:pt idx="18">
                  <c:v>0.97493628898955165</c:v>
                </c:pt>
                <c:pt idx="19">
                  <c:v>1.4395658363140249</c:v>
                </c:pt>
                <c:pt idx="20">
                  <c:v>0.89348547526359789</c:v>
                </c:pt>
                <c:pt idx="21">
                  <c:v>-0.88911062369306804</c:v>
                </c:pt>
                <c:pt idx="22">
                  <c:v>1.2934335741622118</c:v>
                </c:pt>
                <c:pt idx="23">
                  <c:v>-0.9231846783284714</c:v>
                </c:pt>
                <c:pt idx="24">
                  <c:v>-1.4555521054958924</c:v>
                </c:pt>
              </c:numCache>
            </c:numRef>
          </c:xVal>
          <c:yVal>
            <c:numRef>
              <c:f>'МГК Графики'!$C$10:$C$34</c:f>
              <c:numCache>
                <c:formatCode>0.00000</c:formatCode>
                <c:ptCount val="25"/>
                <c:pt idx="0">
                  <c:v>0.7046265835101243</c:v>
                </c:pt>
                <c:pt idx="1">
                  <c:v>-0.10498910077533605</c:v>
                </c:pt>
                <c:pt idx="2">
                  <c:v>-4.7553611002280141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-0.32784773230137498</c:v>
                </c:pt>
                <c:pt idx="8">
                  <c:v>-0.17038645980682604</c:v>
                </c:pt>
                <c:pt idx="9">
                  <c:v>-4.1097720157032044E-2</c:v>
                </c:pt>
                <c:pt idx="10">
                  <c:v>9.2604128562096821E-2</c:v>
                </c:pt>
                <c:pt idx="11">
                  <c:v>-0.49850143467973385</c:v>
                </c:pt>
                <c:pt idx="12">
                  <c:v>0.54066044290843662</c:v>
                </c:pt>
                <c:pt idx="13">
                  <c:v>0.96444080885915162</c:v>
                </c:pt>
                <c:pt idx="14">
                  <c:v>1.2610593447827485</c:v>
                </c:pt>
                <c:pt idx="15">
                  <c:v>-0.30231808885321471</c:v>
                </c:pt>
                <c:pt idx="16">
                  <c:v>0.17904171901853597</c:v>
                </c:pt>
                <c:pt idx="17">
                  <c:v>1.1177608079990411</c:v>
                </c:pt>
                <c:pt idx="18">
                  <c:v>-0.52676090862852065</c:v>
                </c:pt>
                <c:pt idx="19">
                  <c:v>-0.30848258554336028</c:v>
                </c:pt>
                <c:pt idx="20">
                  <c:v>2.704492275511363E-2</c:v>
                </c:pt>
                <c:pt idx="21">
                  <c:v>-0.54877663704302182</c:v>
                </c:pt>
                <c:pt idx="22">
                  <c:v>-1.7339610608620482</c:v>
                </c:pt>
                <c:pt idx="23">
                  <c:v>-0.1568985565660376</c:v>
                </c:pt>
                <c:pt idx="24">
                  <c:v>-1.6099056437636912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28-4E3F-9671-2F7F1DF0B7D0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Графики'!$B$35:$B$55</c:f>
              <c:numCache>
                <c:formatCode>0.00000</c:formatCode>
                <c:ptCount val="21"/>
                <c:pt idx="0">
                  <c:v>-0.65945593580130513</c:v>
                </c:pt>
                <c:pt idx="1">
                  <c:v>-0.32426004968955108</c:v>
                </c:pt>
                <c:pt idx="2">
                  <c:v>-0.36269751175821474</c:v>
                </c:pt>
                <c:pt idx="3">
                  <c:v>-0.41375132862549491</c:v>
                </c:pt>
                <c:pt idx="4">
                  <c:v>0.25722699652217695</c:v>
                </c:pt>
                <c:pt idx="5">
                  <c:v>-0.39168033809985148</c:v>
                </c:pt>
                <c:pt idx="6">
                  <c:v>0.16443121958165952</c:v>
                </c:pt>
                <c:pt idx="7">
                  <c:v>-0.21063761047768614</c:v>
                </c:pt>
                <c:pt idx="8">
                  <c:v>-1.0605544616470557</c:v>
                </c:pt>
                <c:pt idx="9">
                  <c:v>0.36891789994640045</c:v>
                </c:pt>
                <c:pt idx="10">
                  <c:v>1.8832580965494981</c:v>
                </c:pt>
                <c:pt idx="11">
                  <c:v>0.31842677389158502</c:v>
                </c:pt>
                <c:pt idx="12">
                  <c:v>1.3010984636579551E-2</c:v>
                </c:pt>
                <c:pt idx="13">
                  <c:v>0.26247666877664366</c:v>
                </c:pt>
                <c:pt idx="14">
                  <c:v>1.5900207776688355</c:v>
                </c:pt>
                <c:pt idx="15">
                  <c:v>1.2449821091177646</c:v>
                </c:pt>
                <c:pt idx="16">
                  <c:v>-1.7465284351683674</c:v>
                </c:pt>
                <c:pt idx="17">
                  <c:v>-1.1585940839303204</c:v>
                </c:pt>
                <c:pt idx="18">
                  <c:v>0.92312929691281453</c:v>
                </c:pt>
                <c:pt idx="19">
                  <c:v>0.49726383204057012</c:v>
                </c:pt>
                <c:pt idx="20">
                  <c:v>0.89689255044671046</c:v>
                </c:pt>
              </c:numCache>
            </c:numRef>
          </c:xVal>
          <c:yVal>
            <c:numRef>
              <c:f>'МГК Графики'!$C$35:$C$55</c:f>
              <c:numCache>
                <c:formatCode>0.00000</c:formatCode>
                <c:ptCount val="21"/>
                <c:pt idx="0">
                  <c:v>0.53319119340522758</c:v>
                </c:pt>
                <c:pt idx="1">
                  <c:v>0.81512009778660988</c:v>
                </c:pt>
                <c:pt idx="2">
                  <c:v>-5.6497923201090594E-2</c:v>
                </c:pt>
                <c:pt idx="3">
                  <c:v>1.1658020576053612</c:v>
                </c:pt>
                <c:pt idx="4">
                  <c:v>-0.20484082621392849</c:v>
                </c:pt>
                <c:pt idx="5">
                  <c:v>-3.4587405710614152E-2</c:v>
                </c:pt>
                <c:pt idx="6">
                  <c:v>0.64391023856106</c:v>
                </c:pt>
                <c:pt idx="7">
                  <c:v>-3.7812234363291536E-2</c:v>
                </c:pt>
                <c:pt idx="8">
                  <c:v>0.72872141224169495</c:v>
                </c:pt>
                <c:pt idx="9">
                  <c:v>0.92496213008077244</c:v>
                </c:pt>
                <c:pt idx="10">
                  <c:v>-0.61657227555087213</c:v>
                </c:pt>
                <c:pt idx="11">
                  <c:v>1.3568222239238188</c:v>
                </c:pt>
                <c:pt idx="12">
                  <c:v>-7.1492088820078431E-2</c:v>
                </c:pt>
                <c:pt idx="13">
                  <c:v>1.0498866289616577</c:v>
                </c:pt>
                <c:pt idx="14">
                  <c:v>-0.16828258056050027</c:v>
                </c:pt>
                <c:pt idx="15">
                  <c:v>1.2500740127821388</c:v>
                </c:pt>
                <c:pt idx="16">
                  <c:v>0.19250875829998629</c:v>
                </c:pt>
                <c:pt idx="17">
                  <c:v>0.52081779384099725</c:v>
                </c:pt>
                <c:pt idx="18">
                  <c:v>-9.8501531737235887E-2</c:v>
                </c:pt>
                <c:pt idx="19">
                  <c:v>0.34363529892959965</c:v>
                </c:pt>
                <c:pt idx="20">
                  <c:v>-0.5564981783703693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628-4E3F-9671-2F7F1DF0B7D0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Графики'!$B$56:$B$62</c:f>
              <c:numCache>
                <c:formatCode>0.00000</c:formatCode>
                <c:ptCount val="7"/>
                <c:pt idx="0">
                  <c:v>-0.74395023330978849</c:v>
                </c:pt>
                <c:pt idx="1">
                  <c:v>0.79789907308724883</c:v>
                </c:pt>
                <c:pt idx="2">
                  <c:v>0.72322600461361142</c:v>
                </c:pt>
                <c:pt idx="3">
                  <c:v>7.375141447159872E-2</c:v>
                </c:pt>
                <c:pt idx="4">
                  <c:v>0.41894522895485448</c:v>
                </c:pt>
                <c:pt idx="5">
                  <c:v>0.64770436317676972</c:v>
                </c:pt>
                <c:pt idx="6">
                  <c:v>-0.19496999628164027</c:v>
                </c:pt>
              </c:numCache>
            </c:numRef>
          </c:xVal>
          <c:yVal>
            <c:numRef>
              <c:f>'МГК Графики'!$C$56:$C$62</c:f>
              <c:numCache>
                <c:formatCode>0.00000</c:formatCode>
                <c:ptCount val="7"/>
                <c:pt idx="0">
                  <c:v>-0.58694886640448163</c:v>
                </c:pt>
                <c:pt idx="1">
                  <c:v>0.16747489543875849</c:v>
                </c:pt>
                <c:pt idx="2">
                  <c:v>-0.8604536477137229</c:v>
                </c:pt>
                <c:pt idx="3">
                  <c:v>1.4939118607635409</c:v>
                </c:pt>
                <c:pt idx="4">
                  <c:v>0.26928079732523602</c:v>
                </c:pt>
                <c:pt idx="5">
                  <c:v>-0.17144126170212115</c:v>
                </c:pt>
                <c:pt idx="6">
                  <c:v>0.48796129978427788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28-4E3F-9671-2F7F1DF0B7D0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Графики'!$B$63:$B$85</c:f>
              <c:numCache>
                <c:formatCode>0.00000</c:formatCode>
                <c:ptCount val="23"/>
                <c:pt idx="0">
                  <c:v>6.2759846586646545E-2</c:v>
                </c:pt>
                <c:pt idx="1">
                  <c:v>-0.88250914196138452</c:v>
                </c:pt>
                <c:pt idx="2">
                  <c:v>0.29698020447087331</c:v>
                </c:pt>
                <c:pt idx="3">
                  <c:v>-1.5669879891515488</c:v>
                </c:pt>
                <c:pt idx="4">
                  <c:v>-0.47194241629879347</c:v>
                </c:pt>
                <c:pt idx="5">
                  <c:v>1.6056705170788306</c:v>
                </c:pt>
                <c:pt idx="6">
                  <c:v>-0.16317693096208374</c:v>
                </c:pt>
                <c:pt idx="7">
                  <c:v>0.37367298193518822</c:v>
                </c:pt>
                <c:pt idx="8">
                  <c:v>0.8086103429632151</c:v>
                </c:pt>
                <c:pt idx="9">
                  <c:v>-0.28672534970712132</c:v>
                </c:pt>
                <c:pt idx="10">
                  <c:v>-0.65369065560722028</c:v>
                </c:pt>
                <c:pt idx="11">
                  <c:v>0.32025018871457267</c:v>
                </c:pt>
                <c:pt idx="12">
                  <c:v>0.12979954898566595</c:v>
                </c:pt>
                <c:pt idx="13">
                  <c:v>-0.16850937742986946</c:v>
                </c:pt>
                <c:pt idx="14">
                  <c:v>0.12634343449439428</c:v>
                </c:pt>
                <c:pt idx="15">
                  <c:v>-0.41174067825606686</c:v>
                </c:pt>
                <c:pt idx="16">
                  <c:v>-0.65843908115097327</c:v>
                </c:pt>
                <c:pt idx="17">
                  <c:v>0.22345815276371622</c:v>
                </c:pt>
                <c:pt idx="18">
                  <c:v>2.8077601812150634</c:v>
                </c:pt>
                <c:pt idx="19">
                  <c:v>0.12703220156745973</c:v>
                </c:pt>
                <c:pt idx="20">
                  <c:v>-3.9924950647161506</c:v>
                </c:pt>
                <c:pt idx="21">
                  <c:v>-2.3297418952120257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Графики'!$C$63:$C$85</c:f>
              <c:numCache>
                <c:formatCode>0.00000</c:formatCode>
                <c:ptCount val="23"/>
                <c:pt idx="0">
                  <c:v>-0.30337973464224988</c:v>
                </c:pt>
                <c:pt idx="1">
                  <c:v>-3.6558757888959916</c:v>
                </c:pt>
                <c:pt idx="2">
                  <c:v>0.27968024922970758</c:v>
                </c:pt>
                <c:pt idx="3">
                  <c:v>-0.24929968874400013</c:v>
                </c:pt>
                <c:pt idx="4">
                  <c:v>-5.7009175861415073E-2</c:v>
                </c:pt>
                <c:pt idx="5">
                  <c:v>-0.90518136094967316</c:v>
                </c:pt>
                <c:pt idx="6">
                  <c:v>0.39977989433818162</c:v>
                </c:pt>
                <c:pt idx="7">
                  <c:v>0.12927702304242647</c:v>
                </c:pt>
                <c:pt idx="8">
                  <c:v>0.1112933883260542</c:v>
                </c:pt>
                <c:pt idx="9">
                  <c:v>0.56269526972261086</c:v>
                </c:pt>
                <c:pt idx="10">
                  <c:v>-0.25339290950272947</c:v>
                </c:pt>
                <c:pt idx="11">
                  <c:v>0.4606849685317011</c:v>
                </c:pt>
                <c:pt idx="12">
                  <c:v>0.80747881613885342</c:v>
                </c:pt>
                <c:pt idx="13">
                  <c:v>-0.16601203416391094</c:v>
                </c:pt>
                <c:pt idx="14">
                  <c:v>0.51442995585066453</c:v>
                </c:pt>
                <c:pt idx="15">
                  <c:v>7.8671901897058472E-2</c:v>
                </c:pt>
                <c:pt idx="16">
                  <c:v>-0.75454987332689494</c:v>
                </c:pt>
                <c:pt idx="17">
                  <c:v>0.17463465513735948</c:v>
                </c:pt>
                <c:pt idx="18">
                  <c:v>-0.78229151501002225</c:v>
                </c:pt>
                <c:pt idx="19">
                  <c:v>-0.39426694099348869</c:v>
                </c:pt>
                <c:pt idx="20">
                  <c:v>-1.8635103694499162</c:v>
                </c:pt>
                <c:pt idx="21">
                  <c:v>-2.5343694858075905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628-4E3F-9671-2F7F1DF0B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МГК 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1874478133998144E-2"/>
          <c:y val="4.725551386978518E-2"/>
          <c:w val="0.89691217356305064"/>
          <c:h val="0.90559413616546203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7.4228641139963275E-3"/>
                  <c:y val="-9.09735155522008E-3"/>
                </c:manualLayout>
              </c:layout>
              <c:tx>
                <c:rich>
                  <a:bodyPr/>
                  <a:lstStyle/>
                  <a:p>
                    <a:fld id="{8E2732F4-2636-4017-A4FD-B7787AB2809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574C-4E9C-B72C-C8F2BDB0514F}"/>
                </c:ext>
              </c:extLst>
            </c:dLbl>
            <c:dLbl>
              <c:idx val="1"/>
              <c:layout>
                <c:manualLayout>
                  <c:x val="4.252596393907021E-2"/>
                  <c:y val="1.2385307181410846E-2"/>
                </c:manualLayout>
              </c:layout>
              <c:tx>
                <c:rich>
                  <a:bodyPr/>
                  <a:lstStyle/>
                  <a:p>
                    <a:fld id="{51EC5522-3280-487E-B824-6550E2CCF18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74C-4E9C-B72C-C8F2BDB0514F}"/>
                </c:ext>
              </c:extLst>
            </c:dLbl>
            <c:dLbl>
              <c:idx val="2"/>
              <c:layout>
                <c:manualLayout>
                  <c:x val="0.10827248641780192"/>
                  <c:y val="1.2660304431438445E-2"/>
                </c:manualLayout>
              </c:layout>
              <c:tx>
                <c:rich>
                  <a:bodyPr/>
                  <a:lstStyle/>
                  <a:p>
                    <a:fld id="{84821873-4296-4A95-A1F4-9D22916E9F93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74C-4E9C-B72C-C8F2BDB0514F}"/>
                </c:ext>
              </c:extLst>
            </c:dLbl>
            <c:dLbl>
              <c:idx val="3"/>
              <c:layout>
                <c:manualLayout>
                  <c:x val="6.1463070779566337E-2"/>
                  <c:y val="5.968725753355493E-2"/>
                </c:manualLayout>
              </c:layout>
              <c:tx>
                <c:rich>
                  <a:bodyPr/>
                  <a:lstStyle/>
                  <a:p>
                    <a:fld id="{36DBED5B-4DCB-4E35-9933-06C50E8B7583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74C-4E9C-B72C-C8F2BDB0514F}"/>
                </c:ext>
              </c:extLst>
            </c:dLbl>
            <c:dLbl>
              <c:idx val="4"/>
              <c:layout>
                <c:manualLayout>
                  <c:x val="8.8659082632314104E-2"/>
                  <c:y val="-1.4857648358382365E-2"/>
                </c:manualLayout>
              </c:layout>
              <c:tx>
                <c:rich>
                  <a:bodyPr/>
                  <a:lstStyle/>
                  <a:p>
                    <a:fld id="{B3DDCFB9-DCAD-4A40-B248-48D94C31ED3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74C-4E9C-B72C-C8F2BDB0514F}"/>
                </c:ext>
              </c:extLst>
            </c:dLbl>
            <c:dLbl>
              <c:idx val="5"/>
              <c:layout>
                <c:manualLayout>
                  <c:x val="0.10976652026640474"/>
                  <c:y val="6.4105230595203622E-2"/>
                </c:manualLayout>
              </c:layout>
              <c:tx>
                <c:rich>
                  <a:bodyPr/>
                  <a:lstStyle/>
                  <a:p>
                    <a:fld id="{EB0AAF12-960D-4D11-814A-74E708FEB5C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74C-4E9C-B72C-C8F2BDB0514F}"/>
                </c:ext>
              </c:extLst>
            </c:dLbl>
            <c:dLbl>
              <c:idx val="6"/>
              <c:layout>
                <c:manualLayout>
                  <c:x val="-1.1306447550680707E-2"/>
                  <c:y val="2.1175699110704008E-2"/>
                </c:manualLayout>
              </c:layout>
              <c:tx>
                <c:rich>
                  <a:bodyPr/>
                  <a:lstStyle/>
                  <a:p>
                    <a:fld id="{3A0C2DB3-E9C0-496E-8DB5-C2FAEA79E86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74C-4E9C-B72C-C8F2BDB0514F}"/>
                </c:ext>
              </c:extLst>
            </c:dLbl>
            <c:spPr>
              <a:solidFill>
                <a:srgbClr val="4285F4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Графики'!$Q$2:$Q$8</c:f>
              <c:numCache>
                <c:formatCode>0.00000</c:formatCode>
                <c:ptCount val="7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1.8832580965494981</c:v>
                </c:pt>
                <c:pt idx="4">
                  <c:v>1.5900207776688355</c:v>
                </c:pt>
                <c:pt idx="5">
                  <c:v>1.6056705170788306</c:v>
                </c:pt>
                <c:pt idx="6">
                  <c:v>2.8077601812150634</c:v>
                </c:pt>
              </c:numCache>
            </c:numRef>
          </c:xVal>
          <c:yVal>
            <c:numRef>
              <c:f>'МГК Графики'!$R$2:$R$8</c:f>
              <c:numCache>
                <c:formatCode>0.00000</c:formatCode>
                <c:ptCount val="7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-0.61657227555087213</c:v>
                </c:pt>
                <c:pt idx="4">
                  <c:v>-0.16828258056050027</c:v>
                </c:pt>
                <c:pt idx="5">
                  <c:v>-0.90518136094967316</c:v>
                </c:pt>
                <c:pt idx="6">
                  <c:v>-0.78229151501002225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Графики!$H$152:$H$158</c15:f>
                <c15:dlblRangeCache>
                  <c:ptCount val="7"/>
                  <c:pt idx="0">
                    <c:v>Кабардино-Балкарская Республика</c:v>
                  </c:pt>
                  <c:pt idx="1">
                    <c:v>Карачаево-Черкесская Республика</c:v>
                  </c:pt>
                  <c:pt idx="2">
                    <c:v>Ленинградская область</c:v>
                  </c:pt>
                  <c:pt idx="3">
                    <c:v>Республика Адыгея (Адыгея)</c:v>
                  </c:pt>
                  <c:pt idx="4">
                    <c:v>Республика Дагестан</c:v>
                  </c:pt>
                  <c:pt idx="5">
                    <c:v>Севастополь</c:v>
                  </c:pt>
                  <c:pt idx="6">
                    <c:v>Чеченская Республика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E169-4F2F-9CB8-169FBC4F7D8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1310226877617436E-2"/>
                  <c:y val="0.40532824556811892"/>
                </c:manualLayout>
              </c:layout>
              <c:tx>
                <c:rich>
                  <a:bodyPr/>
                  <a:lstStyle/>
                  <a:p>
                    <a:fld id="{30651096-FA3A-42B1-98DB-67CC3995ADA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74C-4E9C-B72C-C8F2BDB0514F}"/>
                </c:ext>
              </c:extLst>
            </c:dLbl>
            <c:dLbl>
              <c:idx val="1"/>
              <c:layout>
                <c:manualLayout>
                  <c:x val="0.18090316081089131"/>
                  <c:y val="0.28738448793098292"/>
                </c:manualLayout>
              </c:layout>
              <c:tx>
                <c:rich>
                  <a:bodyPr/>
                  <a:lstStyle/>
                  <a:p>
                    <a:fld id="{AA6D3ADF-3C9F-49FE-A860-930C245BB29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574C-4E9C-B72C-C8F2BDB0514F}"/>
                </c:ext>
              </c:extLst>
            </c:dLbl>
            <c:dLbl>
              <c:idx val="2"/>
              <c:layout>
                <c:manualLayout>
                  <c:x val="-0.46511455536770768"/>
                  <c:y val="-0.1524338872939138"/>
                </c:manualLayout>
              </c:layout>
              <c:tx>
                <c:rich>
                  <a:bodyPr/>
                  <a:lstStyle/>
                  <a:p>
                    <a:fld id="{9774D0FA-22F5-45ED-8BCA-06686B2A5D0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74C-4E9C-B72C-C8F2BDB0514F}"/>
                </c:ext>
              </c:extLst>
            </c:dLbl>
            <c:dLbl>
              <c:idx val="3"/>
              <c:layout>
                <c:manualLayout>
                  <c:x val="-0.47025660380170398"/>
                  <c:y val="-0.15822119846853835"/>
                </c:manualLayout>
              </c:layout>
              <c:tx>
                <c:rich>
                  <a:bodyPr/>
                  <a:lstStyle/>
                  <a:p>
                    <a:fld id="{4C79FCA6-64A9-4305-AFE8-2753B8BB1C0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74C-4E9C-B72C-C8F2BDB0514F}"/>
                </c:ext>
              </c:extLst>
            </c:dLbl>
            <c:dLbl>
              <c:idx val="4"/>
              <c:layout>
                <c:manualLayout>
                  <c:x val="-0.20331443346838671"/>
                  <c:y val="0.37820150534126845"/>
                </c:manualLayout>
              </c:layout>
              <c:tx>
                <c:rich>
                  <a:bodyPr/>
                  <a:lstStyle/>
                  <a:p>
                    <a:fld id="{CC8B4B72-F707-4E8D-8841-84E4E97E0D6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74C-4E9C-B72C-C8F2BDB0514F}"/>
                </c:ext>
              </c:extLst>
            </c:dLbl>
            <c:dLbl>
              <c:idx val="5"/>
              <c:layout>
                <c:manualLayout>
                  <c:x val="0.12097898879228347"/>
                  <c:y val="0.31158528691464465"/>
                </c:manualLayout>
              </c:layout>
              <c:tx>
                <c:rich>
                  <a:bodyPr/>
                  <a:lstStyle/>
                  <a:p>
                    <a:fld id="{DF5320A0-869C-4BD5-85FF-F2CA1A7E62D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74C-4E9C-B72C-C8F2BDB0514F}"/>
                </c:ext>
              </c:extLst>
            </c:dLbl>
            <c:dLbl>
              <c:idx val="6"/>
              <c:layout>
                <c:manualLayout>
                  <c:x val="-0.11532576501694321"/>
                  <c:y val="0.19511894180577263"/>
                </c:manualLayout>
              </c:layout>
              <c:tx>
                <c:rich>
                  <a:bodyPr/>
                  <a:lstStyle/>
                  <a:p>
                    <a:fld id="{B9D2B7C5-358F-43A3-9254-28394C73845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74C-4E9C-B72C-C8F2BDB0514F}"/>
                </c:ext>
              </c:extLst>
            </c:dLbl>
            <c:dLbl>
              <c:idx val="7"/>
              <c:layout>
                <c:manualLayout>
                  <c:x val="-0.11172045188521636"/>
                  <c:y val="0.32439002238330106"/>
                </c:manualLayout>
              </c:layout>
              <c:tx>
                <c:rich>
                  <a:bodyPr/>
                  <a:lstStyle/>
                  <a:p>
                    <a:fld id="{CC6321CA-0988-4EF0-8F67-34813369479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574C-4E9C-B72C-C8F2BDB0514F}"/>
                </c:ext>
              </c:extLst>
            </c:dLbl>
            <c:dLbl>
              <c:idx val="8"/>
              <c:layout>
                <c:manualLayout>
                  <c:x val="4.9308267478570906E-3"/>
                  <c:y val="0.39705198733453267"/>
                </c:manualLayout>
              </c:layout>
              <c:tx>
                <c:rich>
                  <a:bodyPr/>
                  <a:lstStyle/>
                  <a:p>
                    <a:fld id="{EF156521-E195-4187-80FB-0E0D12EE811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74C-4E9C-B72C-C8F2BDB0514F}"/>
                </c:ext>
              </c:extLst>
            </c:dLbl>
            <c:dLbl>
              <c:idx val="9"/>
              <c:layout>
                <c:manualLayout>
                  <c:x val="3.0030119975949586E-2"/>
                  <c:y val="0.34591682818803987"/>
                </c:manualLayout>
              </c:layout>
              <c:tx>
                <c:rich>
                  <a:bodyPr/>
                  <a:lstStyle/>
                  <a:p>
                    <a:fld id="{7C89051D-33A7-4E30-85BB-A21C4115B93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574C-4E9C-B72C-C8F2BDB0514F}"/>
                </c:ext>
              </c:extLst>
            </c:dLbl>
            <c:dLbl>
              <c:idx val="10"/>
              <c:layout>
                <c:manualLayout>
                  <c:x val="-0.45088050028787574"/>
                  <c:y val="-0.12264092758022979"/>
                </c:manualLayout>
              </c:layout>
              <c:tx>
                <c:rich>
                  <a:bodyPr/>
                  <a:lstStyle/>
                  <a:p>
                    <a:fld id="{C9EA53B8-6A7E-4867-BD8A-5C8041BC005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74C-4E9C-B72C-C8F2BDB0514F}"/>
                </c:ext>
              </c:extLst>
            </c:dLbl>
            <c:dLbl>
              <c:idx val="11"/>
              <c:layout>
                <c:manualLayout>
                  <c:x val="-5.9018655494732487E-2"/>
                  <c:y val="0.33486088510762402"/>
                </c:manualLayout>
              </c:layout>
              <c:tx>
                <c:rich>
                  <a:bodyPr/>
                  <a:lstStyle/>
                  <a:p>
                    <a:fld id="{1C42F680-4872-4626-AD65-FFB07A5D7B4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74C-4E9C-B72C-C8F2BDB0514F}"/>
                </c:ext>
              </c:extLst>
            </c:dLbl>
            <c:dLbl>
              <c:idx val="12"/>
              <c:layout>
                <c:manualLayout>
                  <c:x val="-0.36282872751939249"/>
                  <c:y val="-0.13160597028477838"/>
                </c:manualLayout>
              </c:layout>
              <c:tx>
                <c:rich>
                  <a:bodyPr/>
                  <a:lstStyle/>
                  <a:p>
                    <a:fld id="{063EB64C-4CCF-4E8A-AC60-4B53A545892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74C-4E9C-B72C-C8F2BDB0514F}"/>
                </c:ext>
              </c:extLst>
            </c:dLbl>
            <c:dLbl>
              <c:idx val="13"/>
              <c:layout>
                <c:manualLayout>
                  <c:x val="3.9957303357253719E-2"/>
                  <c:y val="0.24183795518366646"/>
                </c:manualLayout>
              </c:layout>
              <c:tx>
                <c:rich>
                  <a:bodyPr/>
                  <a:lstStyle/>
                  <a:p>
                    <a:fld id="{3F41C05A-4FED-4C6C-BBE9-5DC3F2428C3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74C-4E9C-B72C-C8F2BDB0514F}"/>
                </c:ext>
              </c:extLst>
            </c:dLbl>
            <c:spPr>
              <a:solidFill>
                <a:srgbClr val="EA4335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Графики'!$Q$9:$Q$22</c:f>
              <c:numCache>
                <c:formatCode>0.00000</c:formatCode>
                <c:ptCount val="14"/>
                <c:pt idx="0">
                  <c:v>1.2150067041600144E-2</c:v>
                </c:pt>
                <c:pt idx="1">
                  <c:v>0.29307343975629818</c:v>
                </c:pt>
                <c:pt idx="2">
                  <c:v>-0.318374362849288</c:v>
                </c:pt>
                <c:pt idx="3">
                  <c:v>-0.1854355341492282</c:v>
                </c:pt>
                <c:pt idx="4">
                  <c:v>-0.36269751175821474</c:v>
                </c:pt>
                <c:pt idx="5">
                  <c:v>0.25722699652217695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1.3010984636579551E-2</c:v>
                </c:pt>
                <c:pt idx="9">
                  <c:v>6.2759846586646545E-2</c:v>
                </c:pt>
                <c:pt idx="10">
                  <c:v>-0.47194241629879347</c:v>
                </c:pt>
                <c:pt idx="11">
                  <c:v>-0.16850937742986946</c:v>
                </c:pt>
                <c:pt idx="12">
                  <c:v>-0.41174067825606686</c:v>
                </c:pt>
                <c:pt idx="13">
                  <c:v>0.12703220156745973</c:v>
                </c:pt>
              </c:numCache>
            </c:numRef>
          </c:xVal>
          <c:yVal>
            <c:numRef>
              <c:f>'МГК Графики'!$R$9:$R$22</c:f>
              <c:numCache>
                <c:formatCode>0.00000</c:formatCode>
                <c:ptCount val="14"/>
                <c:pt idx="0">
                  <c:v>0.24194645938294049</c:v>
                </c:pt>
                <c:pt idx="1">
                  <c:v>-0.17038645980682604</c:v>
                </c:pt>
                <c:pt idx="2">
                  <c:v>-4.1097720157032044E-2</c:v>
                </c:pt>
                <c:pt idx="3">
                  <c:v>0.17904171901853597</c:v>
                </c:pt>
                <c:pt idx="4">
                  <c:v>-5.6497923201090594E-2</c:v>
                </c:pt>
                <c:pt idx="5">
                  <c:v>-0.20484082621392849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-7.1492088820078431E-2</c:v>
                </c:pt>
                <c:pt idx="9">
                  <c:v>-0.30337973464224988</c:v>
                </c:pt>
                <c:pt idx="10">
                  <c:v>-5.7009175861415073E-2</c:v>
                </c:pt>
                <c:pt idx="11">
                  <c:v>-0.16601203416391094</c:v>
                </c:pt>
                <c:pt idx="12">
                  <c:v>7.8671901897058472E-2</c:v>
                </c:pt>
                <c:pt idx="13">
                  <c:v>-0.39426694099348869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Графики!$H$159:$H$172</c15:f>
                <c15:dlblRangeCache>
                  <c:ptCount val="14"/>
                  <c:pt idx="0">
                    <c:v>Астраханская область</c:v>
                  </c:pt>
                  <c:pt idx="1">
                    <c:v>Калининградская область</c:v>
                  </c:pt>
                  <c:pt idx="2">
                    <c:v>Калужская область</c:v>
                  </c:pt>
                  <c:pt idx="3">
                    <c:v>Красноярский край</c:v>
                  </c:pt>
                  <c:pt idx="4">
                    <c:v>Новосибирская область</c:v>
                  </c:pt>
                  <c:pt idx="5">
                    <c:v>Оренбургская область</c:v>
                  </c:pt>
                  <c:pt idx="6">
                    <c:v>Орловская область</c:v>
                  </c:pt>
                  <c:pt idx="7">
                    <c:v>Пермский край</c:v>
                  </c:pt>
                  <c:pt idx="8">
                    <c:v>Республика Башкортостан</c:v>
                  </c:pt>
                  <c:pt idx="9">
                    <c:v>Самарская область</c:v>
                  </c:pt>
                  <c:pt idx="10">
                    <c:v>Свердловская область</c:v>
                  </c:pt>
                  <c:pt idx="11">
                    <c:v>Удмуртская Республика</c:v>
                  </c:pt>
                  <c:pt idx="12">
                    <c:v>Хабаровский край</c:v>
                  </c:pt>
                  <c:pt idx="13">
                    <c:v>Чувашская Республика — Чувашия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E169-4F2F-9CB8-169FBC4F7D8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159704594863057"/>
                  <c:y val="-0.17526708137922076"/>
                </c:manualLayout>
              </c:layout>
              <c:tx>
                <c:rich>
                  <a:bodyPr/>
                  <a:lstStyle/>
                  <a:p>
                    <a:fld id="{9D91EFBB-E341-4453-87CD-88EA94110D64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574C-4E9C-B72C-C8F2BDB0514F}"/>
                </c:ext>
              </c:extLst>
            </c:dLbl>
            <c:dLbl>
              <c:idx val="1"/>
              <c:layout>
                <c:manualLayout>
                  <c:x val="-0.2446222912152044"/>
                  <c:y val="-0.14139193119668231"/>
                </c:manualLayout>
              </c:layout>
              <c:tx>
                <c:rich>
                  <a:bodyPr/>
                  <a:lstStyle/>
                  <a:p>
                    <a:fld id="{F097427A-6424-467A-8F07-A7DA4A134D44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574C-4E9C-B72C-C8F2BDB0514F}"/>
                </c:ext>
              </c:extLst>
            </c:dLbl>
            <c:dLbl>
              <c:idx val="2"/>
              <c:layout>
                <c:manualLayout>
                  <c:x val="-0.12324027830241974"/>
                  <c:y val="-4.68890480308446E-2"/>
                </c:manualLayout>
              </c:layout>
              <c:tx>
                <c:rich>
                  <a:bodyPr/>
                  <a:lstStyle/>
                  <a:p>
                    <a:fld id="{FEBD419D-83C3-4FDB-906F-9DA503B2E9D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574C-4E9C-B72C-C8F2BDB0514F}"/>
                </c:ext>
              </c:extLst>
            </c:dLbl>
            <c:dLbl>
              <c:idx val="3"/>
              <c:layout>
                <c:manualLayout>
                  <c:x val="-0.2457548018226822"/>
                  <c:y val="-0.15317459212973916"/>
                </c:manualLayout>
              </c:layout>
              <c:tx>
                <c:rich>
                  <a:bodyPr/>
                  <a:lstStyle/>
                  <a:p>
                    <a:fld id="{A40A1626-CAC3-4C93-BA8E-989F02ED15D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574C-4E9C-B72C-C8F2BDB0514F}"/>
                </c:ext>
              </c:extLst>
            </c:dLbl>
            <c:dLbl>
              <c:idx val="4"/>
              <c:layout>
                <c:manualLayout>
                  <c:x val="-0.10306408870353519"/>
                  <c:y val="-0.13092914090016189"/>
                </c:manualLayout>
              </c:layout>
              <c:tx>
                <c:rich>
                  <a:bodyPr/>
                  <a:lstStyle/>
                  <a:p>
                    <a:fld id="{0AAAC824-22B6-4F55-8486-58FC88CD6F64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574C-4E9C-B72C-C8F2BDB0514F}"/>
                </c:ext>
              </c:extLst>
            </c:dLbl>
            <c:dLbl>
              <c:idx val="5"/>
              <c:layout>
                <c:manualLayout>
                  <c:x val="-0.19457727168920561"/>
                  <c:y val="-9.0753046560066053E-2"/>
                </c:manualLayout>
              </c:layout>
              <c:tx>
                <c:rich>
                  <a:bodyPr/>
                  <a:lstStyle/>
                  <a:p>
                    <a:fld id="{CC121DD2-6B5D-4972-B030-10EFD731804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574C-4E9C-B72C-C8F2BDB0514F}"/>
                </c:ext>
              </c:extLst>
            </c:dLbl>
            <c:dLbl>
              <c:idx val="6"/>
              <c:layout>
                <c:manualLayout>
                  <c:x val="-7.3994175684751654E-2"/>
                  <c:y val="-0.14881502525970908"/>
                </c:manualLayout>
              </c:layout>
              <c:tx>
                <c:rich>
                  <a:bodyPr/>
                  <a:lstStyle/>
                  <a:p>
                    <a:fld id="{22F7071E-1B03-4332-B4AE-2373B61304E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574C-4E9C-B72C-C8F2BDB0514F}"/>
                </c:ext>
              </c:extLst>
            </c:dLbl>
            <c:dLbl>
              <c:idx val="7"/>
              <c:layout>
                <c:manualLayout>
                  <c:x val="-7.0137273661735847E-2"/>
                  <c:y val="-6.3447657616284195E-2"/>
                </c:manualLayout>
              </c:layout>
              <c:tx>
                <c:rich>
                  <a:bodyPr/>
                  <a:lstStyle/>
                  <a:p>
                    <a:fld id="{753FA2F0-0647-4184-B698-29E994BE19B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574C-4E9C-B72C-C8F2BDB0514F}"/>
                </c:ext>
              </c:extLst>
            </c:dLbl>
            <c:dLbl>
              <c:idx val="8"/>
              <c:layout>
                <c:manualLayout>
                  <c:x val="-0.25934492911241575"/>
                  <c:y val="1.4728326166321072E-3"/>
                </c:manualLayout>
              </c:layout>
              <c:tx>
                <c:rich>
                  <a:bodyPr/>
                  <a:lstStyle/>
                  <a:p>
                    <a:fld id="{B904AF74-E0E3-455D-875D-311CA8E955B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574C-4E9C-B72C-C8F2BDB0514F}"/>
                </c:ext>
              </c:extLst>
            </c:dLbl>
            <c:dLbl>
              <c:idx val="9"/>
              <c:layout>
                <c:manualLayout>
                  <c:x val="-0.23578207501690149"/>
                  <c:y val="-8.3054016203133019E-2"/>
                </c:manualLayout>
              </c:layout>
              <c:tx>
                <c:rich>
                  <a:bodyPr/>
                  <a:lstStyle/>
                  <a:p>
                    <a:fld id="{EA5882B8-4E36-4B8C-8D98-733605AA21F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574C-4E9C-B72C-C8F2BDB0514F}"/>
                </c:ext>
              </c:extLst>
            </c:dLbl>
            <c:dLbl>
              <c:idx val="10"/>
              <c:layout>
                <c:manualLayout>
                  <c:x val="-0.17531897339607738"/>
                  <c:y val="-9.9590042259858708E-2"/>
                </c:manualLayout>
              </c:layout>
              <c:tx>
                <c:rich>
                  <a:bodyPr/>
                  <a:lstStyle/>
                  <a:p>
                    <a:fld id="{E774187E-6CEB-4682-AC5F-9DC62D6A323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574C-4E9C-B72C-C8F2BDB0514F}"/>
                </c:ext>
              </c:extLst>
            </c:dLbl>
            <c:dLbl>
              <c:idx val="11"/>
              <c:layout>
                <c:manualLayout>
                  <c:x val="-0.33170134600128237"/>
                  <c:y val="-0.14214850188662864"/>
                </c:manualLayout>
              </c:layout>
              <c:tx>
                <c:rich>
                  <a:bodyPr/>
                  <a:lstStyle/>
                  <a:p>
                    <a:fld id="{8950DE46-5994-4019-A3E1-E2E38F092C63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574C-4E9C-B72C-C8F2BDB0514F}"/>
                </c:ext>
              </c:extLst>
            </c:dLbl>
            <c:dLbl>
              <c:idx val="12"/>
              <c:layout>
                <c:manualLayout>
                  <c:x val="-0.18477121908407762"/>
                  <c:y val="-4.1099234601523767E-2"/>
                </c:manualLayout>
              </c:layout>
              <c:tx>
                <c:rich>
                  <a:bodyPr/>
                  <a:lstStyle/>
                  <a:p>
                    <a:fld id="{538028CA-041A-403C-A81C-02686E01A3B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574C-4E9C-B72C-C8F2BDB0514F}"/>
                </c:ext>
              </c:extLst>
            </c:dLbl>
            <c:dLbl>
              <c:idx val="13"/>
              <c:layout>
                <c:manualLayout>
                  <c:x val="-0.26727250336476033"/>
                  <c:y val="2.3565321866113716E-2"/>
                </c:manualLayout>
              </c:layout>
              <c:tx>
                <c:rich>
                  <a:bodyPr/>
                  <a:lstStyle/>
                  <a:p>
                    <a:fld id="{EFEA321F-85BF-4072-93EB-EEC1C82C219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574C-4E9C-B72C-C8F2BDB0514F}"/>
                </c:ext>
              </c:extLst>
            </c:dLbl>
            <c:spPr>
              <a:solidFill>
                <a:srgbClr val="FBBC04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Графики'!$Q$23:$Q$36</c:f>
              <c:numCache>
                <c:formatCode>0.00000</c:formatCode>
                <c:ptCount val="14"/>
                <c:pt idx="0">
                  <c:v>-0.68302336053045276</c:v>
                </c:pt>
                <c:pt idx="1">
                  <c:v>-0.92614254749908309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-0.34986602269780964</c:v>
                </c:pt>
                <c:pt idx="8">
                  <c:v>-0.65945593580130513</c:v>
                </c:pt>
                <c:pt idx="9">
                  <c:v>-0.32426004968955108</c:v>
                </c:pt>
                <c:pt idx="10">
                  <c:v>-0.41375132862549491</c:v>
                </c:pt>
                <c:pt idx="11">
                  <c:v>-1.0605544616470557</c:v>
                </c:pt>
                <c:pt idx="12">
                  <c:v>-1.1585940839303204</c:v>
                </c:pt>
                <c:pt idx="13">
                  <c:v>-0.62558043335484814</c:v>
                </c:pt>
              </c:numCache>
            </c:numRef>
          </c:xVal>
          <c:yVal>
            <c:numRef>
              <c:f>'МГК Графики'!$R$23:$R$36</c:f>
              <c:numCache>
                <c:formatCode>0.00000</c:formatCode>
                <c:ptCount val="14"/>
                <c:pt idx="0">
                  <c:v>0.71050364226684515</c:v>
                </c:pt>
                <c:pt idx="1">
                  <c:v>0.77680176065732853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1.1177608079990411</c:v>
                </c:pt>
                <c:pt idx="8">
                  <c:v>0.53319119340522758</c:v>
                </c:pt>
                <c:pt idx="9">
                  <c:v>0.81512009778660988</c:v>
                </c:pt>
                <c:pt idx="10">
                  <c:v>1.1658020576053612</c:v>
                </c:pt>
                <c:pt idx="11">
                  <c:v>0.72872141224169495</c:v>
                </c:pt>
                <c:pt idx="12">
                  <c:v>0.52081779384099725</c:v>
                </c:pt>
                <c:pt idx="13">
                  <c:v>0.43587121206339352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Графики!$H$173:$H$186</c15:f>
                <c15:dlblRangeCache>
                  <c:ptCount val="14"/>
                  <c:pt idx="0">
                    <c:v>Алтайский край</c:v>
                  </c:pt>
                  <c:pt idx="1">
                    <c:v>Амурская область</c:v>
                  </c:pt>
                  <c:pt idx="2">
                    <c:v>Еврейская автономная область</c:v>
                  </c:pt>
                  <c:pt idx="3">
                    <c:v>Забайкальский край</c:v>
                  </c:pt>
                  <c:pt idx="4">
                    <c:v>Ивановская область</c:v>
                  </c:pt>
                  <c:pt idx="5">
                    <c:v>Кировская область</c:v>
                  </c:pt>
                  <c:pt idx="6">
                    <c:v>Костромская область</c:v>
                  </c:pt>
                  <c:pt idx="7">
                    <c:v>Курганская область</c:v>
                  </c:pt>
                  <c:pt idx="8">
                    <c:v>Нижегородская область</c:v>
                  </c:pt>
                  <c:pt idx="9">
                    <c:v>Новгородская область</c:v>
                  </c:pt>
                  <c:pt idx="10">
                    <c:v>Омская область</c:v>
                  </c:pt>
                  <c:pt idx="11">
                    <c:v>Приморский край</c:v>
                  </c:pt>
                  <c:pt idx="12">
                    <c:v>Республика Коми</c:v>
                  </c:pt>
                  <c:pt idx="13">
                    <c:v>Ярославская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E169-4F2F-9CB8-169FBC4F7D8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6240339439289543"/>
                  <c:y val="8.1005793914765895E-2"/>
                </c:manualLayout>
              </c:layout>
              <c:tx>
                <c:rich>
                  <a:bodyPr/>
                  <a:lstStyle/>
                  <a:p>
                    <a:fld id="{AF449784-14D5-4C98-B70A-C1D668E1C8E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574C-4E9C-B72C-C8F2BDB0514F}"/>
                </c:ext>
              </c:extLst>
            </c:dLbl>
            <c:dLbl>
              <c:idx val="1"/>
              <c:layout>
                <c:manualLayout>
                  <c:x val="-0.31370543827135006"/>
                  <c:y val="6.6277467748444771E-2"/>
                </c:manualLayout>
              </c:layout>
              <c:tx>
                <c:rich>
                  <a:bodyPr/>
                  <a:lstStyle/>
                  <a:p>
                    <a:fld id="{39D9F11D-9B65-4F99-985A-B67CB812E6D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574C-4E9C-B72C-C8F2BDB0514F}"/>
                </c:ext>
              </c:extLst>
            </c:dLbl>
            <c:dLbl>
              <c:idx val="2"/>
              <c:layout>
                <c:manualLayout>
                  <c:x val="-0.36353590500037319"/>
                  <c:y val="9.7206952697719076E-2"/>
                </c:manualLayout>
              </c:layout>
              <c:tx>
                <c:rich>
                  <a:bodyPr/>
                  <a:lstStyle/>
                  <a:p>
                    <a:fld id="{766EE7F9-5CA1-4E24-9DB0-3EFD6818698A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574C-4E9C-B72C-C8F2BDB0514F}"/>
                </c:ext>
              </c:extLst>
            </c:dLbl>
            <c:dLbl>
              <c:idx val="3"/>
              <c:layout>
                <c:manualLayout>
                  <c:x val="-0.36013837317793979"/>
                  <c:y val="0.10604394839751173"/>
                </c:manualLayout>
              </c:layout>
              <c:tx>
                <c:rich>
                  <a:bodyPr/>
                  <a:lstStyle/>
                  <a:p>
                    <a:fld id="{7F15CBB8-17DF-4066-83FE-B474BE16282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574C-4E9C-B72C-C8F2BDB0514F}"/>
                </c:ext>
              </c:extLst>
            </c:dLbl>
            <c:dLbl>
              <c:idx val="4"/>
              <c:layout>
                <c:manualLayout>
                  <c:x val="-0.27633258822458273"/>
                  <c:y val="5.302197419875581E-2"/>
                </c:manualLayout>
              </c:layout>
              <c:tx>
                <c:rich>
                  <a:bodyPr/>
                  <a:lstStyle/>
                  <a:p>
                    <a:fld id="{154F4184-3B38-457E-A762-C8A683F819F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574C-4E9C-B72C-C8F2BDB0514F}"/>
                </c:ext>
              </c:extLst>
            </c:dLbl>
            <c:dLbl>
              <c:idx val="5"/>
              <c:layout>
                <c:manualLayout>
                  <c:x val="-0.15515395322445838"/>
                  <c:y val="1.3255493549688966E-2"/>
                </c:manualLayout>
              </c:layout>
              <c:tx>
                <c:rich>
                  <a:bodyPr/>
                  <a:lstStyle/>
                  <a:p>
                    <a:fld id="{1A590FF0-E709-429D-AA90-9DC6FAA8456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574C-4E9C-B72C-C8F2BDB0514F}"/>
                </c:ext>
              </c:extLst>
            </c:dLbl>
            <c:dLbl>
              <c:idx val="6"/>
              <c:layout>
                <c:manualLayout>
                  <c:x val="-0.18799676084131448"/>
                  <c:y val="4.8603476348859538E-2"/>
                </c:manualLayout>
              </c:layout>
              <c:tx>
                <c:rich>
                  <a:bodyPr/>
                  <a:lstStyle/>
                  <a:p>
                    <a:fld id="{A5C62D89-086C-4930-99C8-25BFCD250CB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574C-4E9C-B72C-C8F2BDB0514F}"/>
                </c:ext>
              </c:extLst>
            </c:dLbl>
            <c:dLbl>
              <c:idx val="7"/>
              <c:layout>
                <c:manualLayout>
                  <c:x val="-0.14382884714968039"/>
                  <c:y val="2.0619656632849502E-2"/>
                </c:manualLayout>
              </c:layout>
              <c:tx>
                <c:rich>
                  <a:bodyPr/>
                  <a:lstStyle/>
                  <a:p>
                    <a:fld id="{B005D775-3196-4372-8D53-445C18D04E4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574C-4E9C-B72C-C8F2BDB0514F}"/>
                </c:ext>
              </c:extLst>
            </c:dLbl>
            <c:dLbl>
              <c:idx val="8"/>
              <c:layout>
                <c:manualLayout>
                  <c:x val="-0.26274246093484921"/>
                  <c:y val="5.3021974198755865E-2"/>
                </c:manualLayout>
              </c:layout>
              <c:tx>
                <c:rich>
                  <a:bodyPr/>
                  <a:lstStyle/>
                  <a:p>
                    <a:fld id="{AA527D89-CE22-417C-B8B3-165B82AD814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574C-4E9C-B72C-C8F2BDB0514F}"/>
                </c:ext>
              </c:extLst>
            </c:dLbl>
            <c:spPr>
              <a:solidFill>
                <a:srgbClr val="34A853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Графики'!$Q$37:$Q$45</c:f>
              <c:numCache>
                <c:formatCode>0.00000</c:formatCode>
                <c:ptCount val="9"/>
                <c:pt idx="0">
                  <c:v>-1.2270999878536024</c:v>
                </c:pt>
                <c:pt idx="1">
                  <c:v>-1.4449780679126303</c:v>
                </c:pt>
                <c:pt idx="2">
                  <c:v>-0.88911062369306804</c:v>
                </c:pt>
                <c:pt idx="3">
                  <c:v>-0.9231846783284714</c:v>
                </c:pt>
                <c:pt idx="4">
                  <c:v>-1.7465284351683674</c:v>
                </c:pt>
                <c:pt idx="5">
                  <c:v>-0.74395023330978849</c:v>
                </c:pt>
                <c:pt idx="6">
                  <c:v>-1.5669879891515488</c:v>
                </c:pt>
                <c:pt idx="7">
                  <c:v>-0.65369065560722028</c:v>
                </c:pt>
                <c:pt idx="8">
                  <c:v>-0.65843908115097327</c:v>
                </c:pt>
              </c:numCache>
            </c:numRef>
          </c:xVal>
          <c:yVal>
            <c:numRef>
              <c:f>'МГК Графики'!$R$37:$R$45</c:f>
              <c:numCache>
                <c:formatCode>0.00000</c:formatCode>
                <c:ptCount val="9"/>
                <c:pt idx="0">
                  <c:v>-5.7894323128173497E-2</c:v>
                </c:pt>
                <c:pt idx="1">
                  <c:v>9.2604128562096821E-2</c:v>
                </c:pt>
                <c:pt idx="2">
                  <c:v>-0.54877663704302182</c:v>
                </c:pt>
                <c:pt idx="3">
                  <c:v>-0.1568985565660376</c:v>
                </c:pt>
                <c:pt idx="4">
                  <c:v>0.19250875829998629</c:v>
                </c:pt>
                <c:pt idx="5">
                  <c:v>-0.58694886640448163</c:v>
                </c:pt>
                <c:pt idx="6">
                  <c:v>-0.24929968874400013</c:v>
                </c:pt>
                <c:pt idx="7">
                  <c:v>-0.25339290950272947</c:v>
                </c:pt>
                <c:pt idx="8">
                  <c:v>-0.75454987332689494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Графики!$H$187:$H$195</c15:f>
                <c15:dlblRangeCache>
                  <c:ptCount val="9"/>
                  <c:pt idx="0">
                    <c:v>Архангельская область без автономного округа</c:v>
                  </c:pt>
                  <c:pt idx="1">
                    <c:v>Камчатский край</c:v>
                  </c:pt>
                  <c:pt idx="2">
                    <c:v>Магаданская область</c:v>
                  </c:pt>
                  <c:pt idx="3">
                    <c:v>Мурманская область</c:v>
                  </c:pt>
                  <c:pt idx="4">
                    <c:v>Республика Карелия</c:v>
                  </c:pt>
                  <c:pt idx="5">
                    <c:v>Республика Саха (Якутия)</c:v>
                  </c:pt>
                  <c:pt idx="6">
                    <c:v>Сахалинская область</c:v>
                  </c:pt>
                  <c:pt idx="7">
                    <c:v>Томская область</c:v>
                  </c:pt>
                  <c:pt idx="8">
                    <c:v>Ханты-Мансийский автономный округ — Югра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E169-4F2F-9CB8-169FBC4F7D8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.13685999805391294"/>
                  <c:y val="0.1622080235136345"/>
                </c:manualLayout>
              </c:layout>
              <c:tx>
                <c:rich>
                  <a:bodyPr/>
                  <a:lstStyle/>
                  <a:p>
                    <a:fld id="{B6B842B9-EE5C-4699-946B-F1B75378312A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8-574C-4E9C-B72C-C8F2BDB0514F}"/>
                </c:ext>
              </c:extLst>
            </c:dLbl>
            <c:dLbl>
              <c:idx val="1"/>
              <c:layout>
                <c:manualLayout>
                  <c:x val="-0.11601452148603722"/>
                  <c:y val="0.28147095923676768"/>
                </c:manualLayout>
              </c:layout>
              <c:tx>
                <c:rich>
                  <a:bodyPr/>
                  <a:lstStyle/>
                  <a:p>
                    <a:fld id="{09269702-72FD-463A-8EDF-F295F734E8D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6-574C-4E9C-B72C-C8F2BDB0514F}"/>
                </c:ext>
              </c:extLst>
            </c:dLbl>
            <c:dLbl>
              <c:idx val="2"/>
              <c:layout>
                <c:manualLayout>
                  <c:x val="0.20082976524294868"/>
                  <c:y val="-5.5814643002995254E-2"/>
                </c:manualLayout>
              </c:layout>
              <c:tx>
                <c:rich>
                  <a:bodyPr/>
                  <a:lstStyle/>
                  <a:p>
                    <a:fld id="{73DEC897-E4A7-40D9-9FA4-CA727354381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574C-4E9C-B72C-C8F2BDB0514F}"/>
                </c:ext>
              </c:extLst>
            </c:dLbl>
            <c:dLbl>
              <c:idx val="3"/>
              <c:layout>
                <c:manualLayout>
                  <c:x val="-0.16080067219241287"/>
                  <c:y val="0.25335243773999044"/>
                </c:manualLayout>
              </c:layout>
              <c:tx>
                <c:rich>
                  <a:bodyPr/>
                  <a:lstStyle/>
                  <a:p>
                    <a:fld id="{B243A817-39C1-4001-99C8-2BFDDBBA547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574C-4E9C-B72C-C8F2BDB0514F}"/>
                </c:ext>
              </c:extLst>
            </c:dLbl>
            <c:dLbl>
              <c:idx val="4"/>
              <c:layout>
                <c:manualLayout>
                  <c:x val="3.2325329971103461E-2"/>
                  <c:y val="2.1284154974542207E-2"/>
                </c:manualLayout>
              </c:layout>
              <c:tx>
                <c:rich>
                  <a:bodyPr/>
                  <a:lstStyle/>
                  <a:p>
                    <a:fld id="{DD46F3D0-54CF-4ADF-A347-BAC567454DCA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7-574C-4E9C-B72C-C8F2BDB0514F}"/>
                </c:ext>
              </c:extLst>
            </c:dLbl>
            <c:dLbl>
              <c:idx val="5"/>
              <c:layout>
                <c:manualLayout>
                  <c:x val="0.16534654869175852"/>
                  <c:y val="-6.4804635131812727E-2"/>
                </c:manualLayout>
              </c:layout>
              <c:tx>
                <c:rich>
                  <a:bodyPr/>
                  <a:lstStyle/>
                  <a:p>
                    <a:fld id="{384F94F0-4368-40DF-8023-3A7CADA5B60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574C-4E9C-B72C-C8F2BDB0514F}"/>
                </c:ext>
              </c:extLst>
            </c:dLbl>
            <c:dLbl>
              <c:idx val="6"/>
              <c:layout>
                <c:manualLayout>
                  <c:x val="4.5363796251658853E-3"/>
                  <c:y val="7.4269592553116617E-2"/>
                </c:manualLayout>
              </c:layout>
              <c:tx>
                <c:rich>
                  <a:bodyPr/>
                  <a:lstStyle/>
                  <a:p>
                    <a:fld id="{AC189023-B417-4039-BC05-95341CBCFAF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9-574C-4E9C-B72C-C8F2BDB0514F}"/>
                </c:ext>
              </c:extLst>
            </c:dLbl>
            <c:dLbl>
              <c:idx val="7"/>
              <c:layout>
                <c:manualLayout>
                  <c:x val="0.16559893364572151"/>
                  <c:y val="-3.1342732549685948E-2"/>
                </c:manualLayout>
              </c:layout>
              <c:tx>
                <c:rich>
                  <a:bodyPr/>
                  <a:lstStyle/>
                  <a:p>
                    <a:fld id="{6418E33F-78A1-413B-A4EF-C1F9C9FBC4E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574C-4E9C-B72C-C8F2BDB0514F}"/>
                </c:ext>
              </c:extLst>
            </c:dLbl>
            <c:dLbl>
              <c:idx val="8"/>
              <c:layout>
                <c:manualLayout>
                  <c:x val="4.9136083147995481E-2"/>
                  <c:y val="6.1427431702694373E-2"/>
                </c:manualLayout>
              </c:layout>
              <c:tx>
                <c:rich>
                  <a:bodyPr/>
                  <a:lstStyle/>
                  <a:p>
                    <a:fld id="{DB1315EC-25D5-4780-983E-25FC78FBCFC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574C-4E9C-B72C-C8F2BDB0514F}"/>
                </c:ext>
              </c:extLst>
            </c:dLbl>
            <c:dLbl>
              <c:idx val="9"/>
              <c:layout>
                <c:manualLayout>
                  <c:x val="0.13325450729925256"/>
                  <c:y val="-9.211480682128044E-2"/>
                </c:manualLayout>
              </c:layout>
              <c:tx>
                <c:rich>
                  <a:bodyPr/>
                  <a:lstStyle/>
                  <a:p>
                    <a:fld id="{C8AA333F-6FCF-42A0-AE51-9BC34E71915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574C-4E9C-B72C-C8F2BDB0514F}"/>
                </c:ext>
              </c:extLst>
            </c:dLbl>
            <c:dLbl>
              <c:idx val="10"/>
              <c:layout>
                <c:manualLayout>
                  <c:x val="-5.8300203895407755E-3"/>
                  <c:y val="7.3255685067670398E-2"/>
                </c:manualLayout>
              </c:layout>
              <c:tx>
                <c:rich>
                  <a:bodyPr/>
                  <a:lstStyle/>
                  <a:p>
                    <a:fld id="{4DE38031-B089-422B-B866-0FE93F27652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574C-4E9C-B72C-C8F2BDB0514F}"/>
                </c:ext>
              </c:extLst>
            </c:dLbl>
            <c:dLbl>
              <c:idx val="11"/>
              <c:layout>
                <c:manualLayout>
                  <c:x val="-2.1229464265055788E-3"/>
                  <c:y val="0.12254888945363419"/>
                </c:manualLayout>
              </c:layout>
              <c:tx>
                <c:rich>
                  <a:bodyPr/>
                  <a:lstStyle/>
                  <a:p>
                    <a:fld id="{8EEA4568-FB46-411F-B1E5-7F1A7C4F6744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574C-4E9C-B72C-C8F2BDB0514F}"/>
                </c:ext>
              </c:extLst>
            </c:dLbl>
            <c:dLbl>
              <c:idx val="12"/>
              <c:layout>
                <c:manualLayout>
                  <c:x val="0.15738725452441482"/>
                  <c:y val="-7.752119796809695E-2"/>
                </c:manualLayout>
              </c:layout>
              <c:tx>
                <c:rich>
                  <a:bodyPr/>
                  <a:lstStyle/>
                  <a:p>
                    <a:fld id="{1DF498AF-F9EB-4D26-AA87-5071861DEF6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574C-4E9C-B72C-C8F2BDB0514F}"/>
                </c:ext>
              </c:extLst>
            </c:dLbl>
            <c:spPr>
              <a:solidFill>
                <a:srgbClr val="FF6D01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Графики'!$Q$46:$Q$58</c:f>
              <c:numCache>
                <c:formatCode>0.00000</c:formatCode>
                <c:ptCount val="13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0.57679327393605218</c:v>
                </c:pt>
                <c:pt idx="4">
                  <c:v>0.97493628898955165</c:v>
                </c:pt>
                <c:pt idx="5">
                  <c:v>0.89348547526359789</c:v>
                </c:pt>
                <c:pt idx="6">
                  <c:v>1.2934335741622118</c:v>
                </c:pt>
                <c:pt idx="7">
                  <c:v>0.92312929691281453</c:v>
                </c:pt>
                <c:pt idx="8">
                  <c:v>0.89689255044671046</c:v>
                </c:pt>
                <c:pt idx="9">
                  <c:v>0.79789907308724883</c:v>
                </c:pt>
                <c:pt idx="10">
                  <c:v>0.72322600461361142</c:v>
                </c:pt>
                <c:pt idx="11">
                  <c:v>0.64770436317676972</c:v>
                </c:pt>
                <c:pt idx="12">
                  <c:v>0.8086103429632151</c:v>
                </c:pt>
              </c:numCache>
            </c:numRef>
          </c:xVal>
          <c:yVal>
            <c:numRef>
              <c:f>'МГК Графики'!$R$46:$R$58</c:f>
              <c:numCache>
                <c:formatCode>0.00000</c:formatCode>
                <c:ptCount val="13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-0.30231808885321471</c:v>
                </c:pt>
                <c:pt idx="4">
                  <c:v>-0.52676090862852065</c:v>
                </c:pt>
                <c:pt idx="5">
                  <c:v>2.704492275511363E-2</c:v>
                </c:pt>
                <c:pt idx="6">
                  <c:v>-1.7339610608620482</c:v>
                </c:pt>
                <c:pt idx="7">
                  <c:v>-9.8501531737235887E-2</c:v>
                </c:pt>
                <c:pt idx="8">
                  <c:v>-0.5564981783703693</c:v>
                </c:pt>
                <c:pt idx="9">
                  <c:v>0.16747489543875849</c:v>
                </c:pt>
                <c:pt idx="10">
                  <c:v>-0.8604536477137229</c:v>
                </c:pt>
                <c:pt idx="11">
                  <c:v>-0.17144126170212115</c:v>
                </c:pt>
                <c:pt idx="12">
                  <c:v>0.1112933883260542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Графики!$H$196:$H$208</c15:f>
                <c15:dlblRangeCache>
                  <c:ptCount val="13"/>
                  <c:pt idx="0">
                    <c:v>Белгородская область</c:v>
                  </c:pt>
                  <c:pt idx="1">
                    <c:v>Брянская область</c:v>
                  </c:pt>
                  <c:pt idx="2">
                    <c:v>Воронежская область</c:v>
                  </c:pt>
                  <c:pt idx="3">
                    <c:v>Краснодарский край</c:v>
                  </c:pt>
                  <c:pt idx="4">
                    <c:v>Курская область</c:v>
                  </c:pt>
                  <c:pt idx="5">
                    <c:v>Липецкая область</c:v>
                  </c:pt>
                  <c:pt idx="6">
                    <c:v>Московская область</c:v>
                  </c:pt>
                  <c:pt idx="7">
                    <c:v>Республика Крым</c:v>
                  </c:pt>
                  <c:pt idx="8">
                    <c:v>Республика Мордовия</c:v>
                  </c:pt>
                  <c:pt idx="9">
                    <c:v>Республика Северная Осетия — Алания</c:v>
                  </c:pt>
                  <c:pt idx="10">
                    <c:v>Республика Татарстан (Татарстан)</c:v>
                  </c:pt>
                  <c:pt idx="11">
                    <c:v>Ростовская область</c:v>
                  </c:pt>
                  <c:pt idx="12">
                    <c:v>Тамбовская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169-4F2F-9CB8-169FBC4F7D8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.25160235229310213"/>
                  <c:y val="-0.1809277501094721"/>
                </c:manualLayout>
              </c:layout>
              <c:tx>
                <c:rich>
                  <a:bodyPr/>
                  <a:lstStyle/>
                  <a:p>
                    <a:fld id="{A72D5986-7059-438A-BB8E-49685094CA0D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8-574C-4E9C-B72C-C8F2BDB0514F}"/>
                </c:ext>
              </c:extLst>
            </c:dLbl>
            <c:dLbl>
              <c:idx val="1"/>
              <c:layout>
                <c:manualLayout>
                  <c:x val="0.23346705550373387"/>
                  <c:y val="-0.12845848553008724"/>
                </c:manualLayout>
              </c:layout>
              <c:tx>
                <c:rich>
                  <a:bodyPr/>
                  <a:lstStyle/>
                  <a:p>
                    <a:fld id="{B42A414C-9CC0-460E-B349-551332E1DDA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C-574C-4E9C-B72C-C8F2BDB0514F}"/>
                </c:ext>
              </c:extLst>
            </c:dLbl>
            <c:dLbl>
              <c:idx val="2"/>
              <c:layout>
                <c:manualLayout>
                  <c:x val="-0.13988451526426374"/>
                  <c:y val="-9.0003333683138287E-2"/>
                </c:manualLayout>
              </c:layout>
              <c:tx>
                <c:rich>
                  <a:bodyPr/>
                  <a:lstStyle/>
                  <a:p>
                    <a:fld id="{66B40BA8-2B06-4DDE-9964-EA5038636B4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2-574C-4E9C-B72C-C8F2BDB0514F}"/>
                </c:ext>
              </c:extLst>
            </c:dLbl>
            <c:dLbl>
              <c:idx val="3"/>
              <c:layout>
                <c:manualLayout>
                  <c:x val="-0.36043544807069555"/>
                  <c:y val="-0.14184126357970137"/>
                </c:manualLayout>
              </c:layout>
              <c:tx>
                <c:rich>
                  <a:bodyPr/>
                  <a:lstStyle/>
                  <a:p>
                    <a:fld id="{7A4429A4-4342-4C71-9E03-8000F6C8EB53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6-574C-4E9C-B72C-C8F2BDB0514F}"/>
                </c:ext>
              </c:extLst>
            </c:dLbl>
            <c:dLbl>
              <c:idx val="4"/>
              <c:layout>
                <c:manualLayout>
                  <c:x val="0.11579328878885875"/>
                  <c:y val="-0.14416915217821002"/>
                </c:manualLayout>
              </c:layout>
              <c:tx>
                <c:rich>
                  <a:bodyPr/>
                  <a:lstStyle/>
                  <a:p>
                    <a:fld id="{0025788E-9297-46D2-B079-594D57867E0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7-574C-4E9C-B72C-C8F2BDB0514F}"/>
                </c:ext>
              </c:extLst>
            </c:dLbl>
            <c:dLbl>
              <c:idx val="5"/>
              <c:layout>
                <c:manualLayout>
                  <c:x val="0.13989529164206324"/>
                  <c:y val="-6.9092690299150647E-2"/>
                </c:manualLayout>
              </c:layout>
              <c:tx>
                <c:rich>
                  <a:bodyPr/>
                  <a:lstStyle/>
                  <a:p>
                    <a:fld id="{C7FA2EEF-E5FA-4C6F-A37E-FC1D90DF934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9-574C-4E9C-B72C-C8F2BDB0514F}"/>
                </c:ext>
              </c:extLst>
            </c:dLbl>
            <c:dLbl>
              <c:idx val="6"/>
              <c:layout>
                <c:manualLayout>
                  <c:x val="3.4220546178522111E-2"/>
                  <c:y val="-5.773467169542864E-2"/>
                </c:manualLayout>
              </c:layout>
              <c:tx>
                <c:rich>
                  <a:bodyPr/>
                  <a:lstStyle/>
                  <a:p>
                    <a:fld id="{407E4E6F-2617-44E1-8370-C9B9CAED760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574C-4E9C-B72C-C8F2BDB0514F}"/>
                </c:ext>
              </c:extLst>
            </c:dLbl>
            <c:dLbl>
              <c:idx val="7"/>
              <c:layout>
                <c:manualLayout>
                  <c:x val="1.0580659761544115E-2"/>
                  <c:y val="-0.14561178143007841"/>
                </c:manualLayout>
              </c:layout>
              <c:tx>
                <c:rich>
                  <a:bodyPr/>
                  <a:lstStyle/>
                  <a:p>
                    <a:fld id="{4BB06BFA-396D-4DCA-83B9-28CC0DF74AF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B-574C-4E9C-B72C-C8F2BDB0514F}"/>
                </c:ext>
              </c:extLst>
            </c:dLbl>
            <c:dLbl>
              <c:idx val="8"/>
              <c:layout>
                <c:manualLayout>
                  <c:x val="5.3846231865178715E-2"/>
                  <c:y val="-0.15003028130638235"/>
                </c:manualLayout>
              </c:layout>
              <c:tx>
                <c:rich>
                  <a:bodyPr/>
                  <a:lstStyle/>
                  <a:p>
                    <a:fld id="{14006CD7-C846-41E9-92E8-8E9AB833E2F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D-574C-4E9C-B72C-C8F2BDB0514F}"/>
                </c:ext>
              </c:extLst>
            </c:dLbl>
            <c:dLbl>
              <c:idx val="9"/>
              <c:layout>
                <c:manualLayout>
                  <c:x val="3.4732424123999198E-2"/>
                  <c:y val="-4.8459678238466655E-2"/>
                </c:manualLayout>
              </c:layout>
              <c:tx>
                <c:rich>
                  <a:bodyPr/>
                  <a:lstStyle/>
                  <a:p>
                    <a:fld id="{E0E77F34-A2D6-49D2-8BA5-41EEB0EFAAA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C-574C-4E9C-B72C-C8F2BDB0514F}"/>
                </c:ext>
              </c:extLst>
            </c:dLbl>
            <c:dLbl>
              <c:idx val="10"/>
              <c:layout>
                <c:manualLayout>
                  <c:x val="8.9562792844104802E-2"/>
                  <c:y val="-3.479083983106529E-2"/>
                </c:manualLayout>
              </c:layout>
              <c:tx>
                <c:rich>
                  <a:bodyPr/>
                  <a:lstStyle/>
                  <a:p>
                    <a:fld id="{DDEC9D08-A907-476B-844C-F73FE6CD9D24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F-574C-4E9C-B72C-C8F2BDB0514F}"/>
                </c:ext>
              </c:extLst>
            </c:dLbl>
            <c:dLbl>
              <c:idx val="11"/>
              <c:layout>
                <c:manualLayout>
                  <c:x val="-1.6839278882832005E-2"/>
                  <c:y val="-0.10266669363957702"/>
                </c:manualLayout>
              </c:layout>
              <c:tx>
                <c:rich>
                  <a:bodyPr/>
                  <a:lstStyle/>
                  <a:p>
                    <a:fld id="{B5F897BF-804D-400C-B848-85CD71A96BB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574C-4E9C-B72C-C8F2BDB0514F}"/>
                </c:ext>
              </c:extLst>
            </c:dLbl>
            <c:dLbl>
              <c:idx val="12"/>
              <c:layout>
                <c:manualLayout>
                  <c:x val="0.10667029260084392"/>
                  <c:y val="-2.1409747588347919E-2"/>
                </c:manualLayout>
              </c:layout>
              <c:tx>
                <c:rich>
                  <a:bodyPr/>
                  <a:lstStyle/>
                  <a:p>
                    <a:fld id="{FA1F7429-9821-487E-A0F7-7A00472DCB1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E-574C-4E9C-B72C-C8F2BDB0514F}"/>
                </c:ext>
              </c:extLst>
            </c:dLbl>
            <c:dLbl>
              <c:idx val="13"/>
              <c:layout>
                <c:manualLayout>
                  <c:x val="-0.16995457122852933"/>
                  <c:y val="-6.9442705956082207E-2"/>
                </c:manualLayout>
              </c:layout>
              <c:tx>
                <c:rich>
                  <a:bodyPr/>
                  <a:lstStyle/>
                  <a:p>
                    <a:fld id="{B5E0779E-D14C-43C2-94AC-0E0D067BA6E3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5-574C-4E9C-B72C-C8F2BDB0514F}"/>
                </c:ext>
              </c:extLst>
            </c:dLbl>
            <c:dLbl>
              <c:idx val="14"/>
              <c:layout>
                <c:manualLayout>
                  <c:x val="7.2455293087365605E-2"/>
                  <c:y val="-4.9063438104940136E-17"/>
                </c:manualLayout>
              </c:layout>
              <c:tx>
                <c:rich>
                  <a:bodyPr/>
                  <a:lstStyle/>
                  <a:p>
                    <a:fld id="{57801416-1AAF-46E5-9DCE-576401760DF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D-574C-4E9C-B72C-C8F2BDB0514F}"/>
                </c:ext>
              </c:extLst>
            </c:dLbl>
            <c:dLbl>
              <c:idx val="15"/>
              <c:layout>
                <c:manualLayout>
                  <c:x val="-0.35438847383986749"/>
                  <c:y val="-0.12554446294617516"/>
                </c:manualLayout>
              </c:layout>
              <c:tx>
                <c:rich>
                  <a:bodyPr/>
                  <a:lstStyle/>
                  <a:p>
                    <a:fld id="{71883D16-C064-4163-8D9D-B55C13E5116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4-574C-4E9C-B72C-C8F2BDB0514F}"/>
                </c:ext>
              </c:extLst>
            </c:dLbl>
            <c:dLbl>
              <c:idx val="16"/>
              <c:layout>
                <c:manualLayout>
                  <c:x val="7.0486385472935523E-2"/>
                  <c:y val="5.3524368970869676E-3"/>
                </c:manualLayout>
              </c:layout>
              <c:tx>
                <c:rich>
                  <a:bodyPr/>
                  <a:lstStyle/>
                  <a:p>
                    <a:fld id="{A78B5656-3EFE-4164-8E3B-87B381C3872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B-574C-4E9C-B72C-C8F2BDB0514F}"/>
                </c:ext>
              </c:extLst>
            </c:dLbl>
            <c:dLbl>
              <c:idx val="17"/>
              <c:layout>
                <c:manualLayout>
                  <c:x val="-0.12875148690242211"/>
                  <c:y val="-8.1224494268467257E-2"/>
                </c:manualLayout>
              </c:layout>
              <c:tx>
                <c:rich>
                  <a:bodyPr/>
                  <a:lstStyle/>
                  <a:p>
                    <a:fld id="{9B57043F-5656-4F83-A28F-C9FA83E5581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3-574C-4E9C-B72C-C8F2BDB0514F}"/>
                </c:ext>
              </c:extLst>
            </c:dLbl>
            <c:dLbl>
              <c:idx val="18"/>
              <c:layout>
                <c:manualLayout>
                  <c:x val="0.21344097983898175"/>
                  <c:y val="-0.10096950754630389"/>
                </c:manualLayout>
              </c:layout>
              <c:tx>
                <c:rich>
                  <a:bodyPr/>
                  <a:lstStyle/>
                  <a:p>
                    <a:fld id="{72574CB8-C7B5-409B-9151-D33BBC5FC6E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1-574C-4E9C-B72C-C8F2BDB0514F}"/>
                </c:ext>
              </c:extLst>
            </c:dLbl>
            <c:dLbl>
              <c:idx val="19"/>
              <c:layout>
                <c:manualLayout>
                  <c:x val="3.9302004501356395E-2"/>
                  <c:y val="-0.14378731691610286"/>
                </c:manualLayout>
              </c:layout>
              <c:tx>
                <c:rich>
                  <a:bodyPr/>
                  <a:lstStyle/>
                  <a:p>
                    <a:fld id="{165C774C-1509-40BF-830F-270B3F0603D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574C-4E9C-B72C-C8F2BDB0514F}"/>
                </c:ext>
              </c:extLst>
            </c:dLbl>
            <c:dLbl>
              <c:idx val="20"/>
              <c:layout>
                <c:manualLayout>
                  <c:x val="5.2360993442574111E-2"/>
                  <c:y val="-6.0760905800903674E-2"/>
                </c:manualLayout>
              </c:layout>
              <c:tx>
                <c:rich>
                  <a:bodyPr/>
                  <a:lstStyle/>
                  <a:p>
                    <a:fld id="{B6FD9B68-5204-4213-9CDF-2FBF681D3DD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0-574C-4E9C-B72C-C8F2BDB0514F}"/>
                </c:ext>
              </c:extLst>
            </c:dLbl>
            <c:dLbl>
              <c:idx val="21"/>
              <c:layout>
                <c:manualLayout>
                  <c:x val="6.9496860429108881E-2"/>
                  <c:y val="-7.1442283661454623E-2"/>
                </c:manualLayout>
              </c:layout>
              <c:tx>
                <c:rich>
                  <a:bodyPr/>
                  <a:lstStyle/>
                  <a:p>
                    <a:fld id="{5A4B346C-CA99-4531-90E3-60650A337F5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A-574C-4E9C-B72C-C8F2BDB0514F}"/>
                </c:ext>
              </c:extLst>
            </c:dLbl>
            <c:spPr>
              <a:solidFill>
                <a:srgbClr val="46BDC6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Графики'!$Q$59:$Q$80</c:f>
              <c:numCache>
                <c:formatCode>0.00000</c:formatCode>
                <c:ptCount val="22"/>
                <c:pt idx="0">
                  <c:v>-1.6078402545490693E-2</c:v>
                </c:pt>
                <c:pt idx="1">
                  <c:v>0.33820098691855244</c:v>
                </c:pt>
                <c:pt idx="2">
                  <c:v>-0.23684745505431254</c:v>
                </c:pt>
                <c:pt idx="3">
                  <c:v>-0.38826955751306025</c:v>
                </c:pt>
                <c:pt idx="4">
                  <c:v>5.4112778576927596E-2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7.375141447159872E-2</c:v>
                </c:pt>
                <c:pt idx="12">
                  <c:v>0.41894522895485448</c:v>
                </c:pt>
                <c:pt idx="13">
                  <c:v>-0.19496999628164027</c:v>
                </c:pt>
                <c:pt idx="14">
                  <c:v>0.29698020447087331</c:v>
                </c:pt>
                <c:pt idx="15">
                  <c:v>-0.16317693096208374</c:v>
                </c:pt>
                <c:pt idx="16">
                  <c:v>0.37367298193518822</c:v>
                </c:pt>
                <c:pt idx="17">
                  <c:v>-0.28672534970712132</c:v>
                </c:pt>
                <c:pt idx="18">
                  <c:v>0.32025018871457267</c:v>
                </c:pt>
                <c:pt idx="19">
                  <c:v>0.12979954898566595</c:v>
                </c:pt>
                <c:pt idx="20">
                  <c:v>0.12634343449439428</c:v>
                </c:pt>
                <c:pt idx="21">
                  <c:v>0.22345815276371622</c:v>
                </c:pt>
              </c:numCache>
            </c:numRef>
          </c:xVal>
          <c:yVal>
            <c:numRef>
              <c:f>'МГК Графики'!$R$59:$R$80</c:f>
              <c:numCache>
                <c:formatCode>0.00000</c:formatCode>
                <c:ptCount val="22"/>
                <c:pt idx="0">
                  <c:v>0.61365064390561352</c:v>
                </c:pt>
                <c:pt idx="1">
                  <c:v>0.49600666943754734</c:v>
                </c:pt>
                <c:pt idx="2">
                  <c:v>0.7046265835101243</c:v>
                </c:pt>
                <c:pt idx="3">
                  <c:v>0.45112113830844014</c:v>
                </c:pt>
                <c:pt idx="4">
                  <c:v>0.54066044290843662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1.4939118607635409</c:v>
                </c:pt>
                <c:pt idx="12">
                  <c:v>0.26928079732523602</c:v>
                </c:pt>
                <c:pt idx="13">
                  <c:v>0.48796129978427788</c:v>
                </c:pt>
                <c:pt idx="14">
                  <c:v>0.27968024922970758</c:v>
                </c:pt>
                <c:pt idx="15">
                  <c:v>0.39977989433818162</c:v>
                </c:pt>
                <c:pt idx="16">
                  <c:v>0.12927702304242647</c:v>
                </c:pt>
                <c:pt idx="17">
                  <c:v>0.56269526972261086</c:v>
                </c:pt>
                <c:pt idx="18">
                  <c:v>0.4606849685317011</c:v>
                </c:pt>
                <c:pt idx="19">
                  <c:v>0.80747881613885342</c:v>
                </c:pt>
                <c:pt idx="20">
                  <c:v>0.51442995585066453</c:v>
                </c:pt>
                <c:pt idx="21">
                  <c:v>0.17463465513735948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Графики!$H$209:$H$230</c15:f>
                <c15:dlblRangeCache>
                  <c:ptCount val="22"/>
                  <c:pt idx="0">
                    <c:v>Владимирская область</c:v>
                  </c:pt>
                  <c:pt idx="1">
                    <c:v>Волгоградская область</c:v>
                  </c:pt>
                  <c:pt idx="2">
                    <c:v>Вологодская область</c:v>
                  </c:pt>
                  <c:pt idx="3">
                    <c:v>Иркутская область</c:v>
                  </c:pt>
                  <c:pt idx="4">
                    <c:v>Кемеровская область — Кузбасс</c:v>
                  </c:pt>
                  <c:pt idx="5">
                    <c:v>Пензенская область</c:v>
                  </c:pt>
                  <c:pt idx="6">
                    <c:v>Псковская область</c:v>
                  </c:pt>
                  <c:pt idx="7">
                    <c:v>Республика Алтай</c:v>
                  </c:pt>
                  <c:pt idx="8">
                    <c:v>Республика Бурятия</c:v>
                  </c:pt>
                  <c:pt idx="9">
                    <c:v>Республика Калмыкия</c:v>
                  </c:pt>
                  <c:pt idx="10">
                    <c:v>Республика Марий Эл</c:v>
                  </c:pt>
                  <c:pt idx="11">
                    <c:v>Республика Тыва</c:v>
                  </c:pt>
                  <c:pt idx="12">
                    <c:v>Республика Хакасия</c:v>
                  </c:pt>
                  <c:pt idx="13">
                    <c:v>Рязанская область</c:v>
                  </c:pt>
                  <c:pt idx="14">
                    <c:v>Саратовская область</c:v>
                  </c:pt>
                  <c:pt idx="15">
                    <c:v>Смоленская область</c:v>
                  </c:pt>
                  <c:pt idx="16">
                    <c:v>Ставропольский край</c:v>
                  </c:pt>
                  <c:pt idx="17">
                    <c:v>Тверская область</c:v>
                  </c:pt>
                  <c:pt idx="18">
                    <c:v>Тульская область</c:v>
                  </c:pt>
                  <c:pt idx="19">
                    <c:v>Тюменская область без автономных округов</c:v>
                  </c:pt>
                  <c:pt idx="20">
                    <c:v>Ульяновская область</c:v>
                  </c:pt>
                  <c:pt idx="21">
                    <c:v>Челябинская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E169-4F2F-9CB8-169FBC4F7D8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7EB2719-A2E6-44EE-85BF-04B01F4C15B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1-574C-4E9C-B72C-C8F2BDB0514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3D3C039-E895-4049-B699-3FEA3A1D7644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574C-4E9C-B72C-C8F2BDB0514F}"/>
                </c:ext>
              </c:extLst>
            </c:dLbl>
            <c:dLbl>
              <c:idx val="2"/>
              <c:layout>
                <c:manualLayout>
                  <c:x val="-6.0379410906138069E-2"/>
                  <c:y val="5.4862478195141319E-2"/>
                </c:manualLayout>
              </c:layout>
              <c:tx>
                <c:rich>
                  <a:bodyPr/>
                  <a:lstStyle/>
                  <a:p>
                    <a:fld id="{4A5CCDF3-DD7A-4A77-B52E-A5B60E531D1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0-574C-4E9C-B72C-C8F2BDB0514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6DE4D1D-AB73-476F-B25D-41BE99938C0A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574C-4E9C-B72C-C8F2BDB0514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785E8DA-8476-47D6-B632-85D1BB6FA84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574C-4E9C-B72C-C8F2BDB0514F}"/>
                </c:ext>
              </c:extLst>
            </c:dLbl>
            <c:spPr>
              <a:solidFill>
                <a:srgbClr val="4285F4">
                  <a:lumMod val="50000"/>
                </a:srgbClr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Графики'!$Q$81:$Q$85</c:f>
              <c:numCache>
                <c:formatCode>0.00000</c:formatCode>
                <c:ptCount val="5"/>
                <c:pt idx="0">
                  <c:v>0.96281979262049577</c:v>
                </c:pt>
                <c:pt idx="1">
                  <c:v>-1.4555521054958924</c:v>
                </c:pt>
                <c:pt idx="2">
                  <c:v>-0.88250914196138452</c:v>
                </c:pt>
                <c:pt idx="3">
                  <c:v>-3.9924950647161506</c:v>
                </c:pt>
                <c:pt idx="4">
                  <c:v>-2.3297418952120257</c:v>
                </c:pt>
              </c:numCache>
            </c:numRef>
          </c:xVal>
          <c:yVal>
            <c:numRef>
              <c:f>'МГК Графики'!$R$81:$R$85</c:f>
              <c:numCache>
                <c:formatCode>0.00000</c:formatCode>
                <c:ptCount val="5"/>
                <c:pt idx="0">
                  <c:v>-4.7553611002280141</c:v>
                </c:pt>
                <c:pt idx="1">
                  <c:v>-1.6099056437636912</c:v>
                </c:pt>
                <c:pt idx="2">
                  <c:v>-3.6558757888959916</c:v>
                </c:pt>
                <c:pt idx="3">
                  <c:v>-1.8635103694499162</c:v>
                </c:pt>
                <c:pt idx="4">
                  <c:v>-2.5343694858075905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Графики!$H$231:$H$235</c15:f>
                <c15:dlblRangeCache>
                  <c:ptCount val="5"/>
                  <c:pt idx="0">
                    <c:v>г. Москва</c:v>
                  </c:pt>
                  <c:pt idx="1">
                    <c:v>Ненецкий автономный округ</c:v>
                  </c:pt>
                  <c:pt idx="2">
                    <c:v>Санкт-Петербург</c:v>
                  </c:pt>
                  <c:pt idx="3">
                    <c:v>Чукотский автономный округ</c:v>
                  </c:pt>
                  <c:pt idx="4">
                    <c:v>Ямало-Ненецкий автономный округ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E169-4F2F-9CB8-169FBC4F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image" Target="../media/image1.png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image" Target="../media/image2.png"/><Relationship Id="rId9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0</xdr:row>
      <xdr:rowOff>11430</xdr:rowOff>
    </xdr:from>
    <xdr:to>
      <xdr:col>13</xdr:col>
      <xdr:colOff>38100</xdr:colOff>
      <xdr:row>23</xdr:row>
      <xdr:rowOff>45720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F7EB7FD-9EC4-4574-9F66-2680AF898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861060</xdr:colOff>
      <xdr:row>24</xdr:row>
      <xdr:rowOff>26670</xdr:rowOff>
    </xdr:from>
    <xdr:to>
      <xdr:col>13</xdr:col>
      <xdr:colOff>7620</xdr:colOff>
      <xdr:row>47</xdr:row>
      <xdr:rowOff>22860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5F678A4-190C-4B69-B899-91A2ECFA55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38100</xdr:colOff>
      <xdr:row>47</xdr:row>
      <xdr:rowOff>140970</xdr:rowOff>
    </xdr:from>
    <xdr:to>
      <xdr:col>13</xdr:col>
      <xdr:colOff>7620</xdr:colOff>
      <xdr:row>74</xdr:row>
      <xdr:rowOff>7620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AFB93F2-FCE4-4958-AF28-D6355081F1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2</xdr:row>
      <xdr:rowOff>26219</xdr:rowOff>
    </xdr:from>
    <xdr:to>
      <xdr:col>10</xdr:col>
      <xdr:colOff>425824</xdr:colOff>
      <xdr:row>21</xdr:row>
      <xdr:rowOff>112058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E42E62C6-F4D8-4D11-B9BB-A6B316C5FA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56030</xdr:colOff>
      <xdr:row>23</xdr:row>
      <xdr:rowOff>44824</xdr:rowOff>
    </xdr:from>
    <xdr:to>
      <xdr:col>10</xdr:col>
      <xdr:colOff>508747</xdr:colOff>
      <xdr:row>43</xdr:row>
      <xdr:rowOff>85165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1B7D5BB-9A12-AB2B-84C6-D5735D8B82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504264</xdr:colOff>
      <xdr:row>24</xdr:row>
      <xdr:rowOff>112060</xdr:rowOff>
    </xdr:from>
    <xdr:to>
      <xdr:col>11</xdr:col>
      <xdr:colOff>1462768</xdr:colOff>
      <xdr:row>40</xdr:row>
      <xdr:rowOff>117745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CEDCB42-0B7E-52F6-BD9B-B0D6495306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72973"/>
        <a:stretch/>
      </xdr:blipFill>
      <xdr:spPr>
        <a:xfrm>
          <a:off x="11682533" y="4030917"/>
          <a:ext cx="2666199" cy="2618257"/>
        </a:xfrm>
        <a:prstGeom prst="rect">
          <a:avLst/>
        </a:prstGeom>
      </xdr:spPr>
    </xdr:pic>
    <xdr:clientData/>
  </xdr:twoCellAnchor>
  <xdr:twoCellAnchor editAs="oneCell">
    <xdr:from>
      <xdr:col>10</xdr:col>
      <xdr:colOff>358589</xdr:colOff>
      <xdr:row>4</xdr:row>
      <xdr:rowOff>67236</xdr:rowOff>
    </xdr:from>
    <xdr:to>
      <xdr:col>11</xdr:col>
      <xdr:colOff>1455966</xdr:colOff>
      <xdr:row>21</xdr:row>
      <xdr:rowOff>35986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2483918-A167-84CB-373C-1F724BBFE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72772"/>
        <a:stretch/>
      </xdr:blipFill>
      <xdr:spPr>
        <a:xfrm>
          <a:off x="11536858" y="720379"/>
          <a:ext cx="2805072" cy="27446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38100</xdr:rowOff>
    </xdr:from>
    <xdr:to>
      <xdr:col>8</xdr:col>
      <xdr:colOff>111760</xdr:colOff>
      <xdr:row>68</xdr:row>
      <xdr:rowOff>130810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1B133289-0975-4F1C-B88D-3EFF1C146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71</xdr:row>
      <xdr:rowOff>127000</xdr:rowOff>
    </xdr:from>
    <xdr:to>
      <xdr:col>8</xdr:col>
      <xdr:colOff>127000</xdr:colOff>
      <xdr:row>97</xdr:row>
      <xdr:rowOff>16510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8BEC3E73-5154-4EC2-86D1-B6560C05F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118</xdr:row>
      <xdr:rowOff>76406</xdr:rowOff>
    </xdr:from>
    <xdr:to>
      <xdr:col>6</xdr:col>
      <xdr:colOff>307772</xdr:colOff>
      <xdr:row>148</xdr:row>
      <xdr:rowOff>158375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89F871DE-D24A-4470-87AC-023069877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480500</xdr:colOff>
      <xdr:row>97</xdr:row>
      <xdr:rowOff>97971</xdr:rowOff>
    </xdr:from>
    <xdr:to>
      <xdr:col>14</xdr:col>
      <xdr:colOff>263237</xdr:colOff>
      <xdr:row>153</xdr:row>
      <xdr:rowOff>41563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85E73FE5-6F4A-433A-9B18-17A189230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1392332</xdr:colOff>
      <xdr:row>118</xdr:row>
      <xdr:rowOff>127000</xdr:rowOff>
    </xdr:from>
    <xdr:to>
      <xdr:col>19</xdr:col>
      <xdr:colOff>1512100</xdr:colOff>
      <xdr:row>149</xdr:row>
      <xdr:rowOff>47852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A4153A4E-71F3-4344-A11E-1109101B7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139794</xdr:colOff>
      <xdr:row>118</xdr:row>
      <xdr:rowOff>134938</xdr:rowOff>
    </xdr:from>
    <xdr:to>
      <xdr:col>24</xdr:col>
      <xdr:colOff>259563</xdr:colOff>
      <xdr:row>149</xdr:row>
      <xdr:rowOff>55790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3620348B-F444-4297-89E7-98F818B62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15</xdr:col>
      <xdr:colOff>1455965</xdr:colOff>
      <xdr:row>4</xdr:row>
      <xdr:rowOff>74839</xdr:rowOff>
    </xdr:from>
    <xdr:to>
      <xdr:col>17</xdr:col>
      <xdr:colOff>1443959</xdr:colOff>
      <xdr:row>21</xdr:row>
      <xdr:rowOff>43589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AEF7227-ECF9-42CC-A3F4-B9EC632D2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4813"/>
        <a:stretch/>
      </xdr:blipFill>
      <xdr:spPr>
        <a:xfrm>
          <a:off x="14341929" y="727982"/>
          <a:ext cx="4655243" cy="2744607"/>
        </a:xfrm>
        <a:prstGeom prst="rect">
          <a:avLst/>
        </a:prstGeom>
      </xdr:spPr>
    </xdr:pic>
    <xdr:clientData/>
  </xdr:twoCellAnchor>
  <xdr:twoCellAnchor editAs="oneCell">
    <xdr:from>
      <xdr:col>15</xdr:col>
      <xdr:colOff>1469572</xdr:colOff>
      <xdr:row>24</xdr:row>
      <xdr:rowOff>108857</xdr:rowOff>
    </xdr:from>
    <xdr:to>
      <xdr:col>17</xdr:col>
      <xdr:colOff>1272268</xdr:colOff>
      <xdr:row>40</xdr:row>
      <xdr:rowOff>114542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808D486-7D2C-4E0E-8534-79E5D7CE1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4690"/>
        <a:stretch/>
      </xdr:blipFill>
      <xdr:spPr>
        <a:xfrm>
          <a:off x="14355536" y="4027714"/>
          <a:ext cx="4469945" cy="2618257"/>
        </a:xfrm>
        <a:prstGeom prst="rect">
          <a:avLst/>
        </a:prstGeom>
      </xdr:spPr>
    </xdr:pic>
    <xdr:clientData/>
  </xdr:twoCellAnchor>
  <xdr:twoCellAnchor>
    <xdr:from>
      <xdr:col>24</xdr:col>
      <xdr:colOff>1458686</xdr:colOff>
      <xdr:row>78</xdr:row>
      <xdr:rowOff>114299</xdr:rowOff>
    </xdr:from>
    <xdr:to>
      <xdr:col>30</xdr:col>
      <xdr:colOff>370114</xdr:colOff>
      <xdr:row>146</xdr:row>
      <xdr:rowOff>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AF122A3F-C77A-4642-8E9F-972B21400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31</xdr:col>
      <xdr:colOff>174171</xdr:colOff>
      <xdr:row>77</xdr:row>
      <xdr:rowOff>43543</xdr:rowOff>
    </xdr:from>
    <xdr:to>
      <xdr:col>36</xdr:col>
      <xdr:colOff>1175657</xdr:colOff>
      <xdr:row>146</xdr:row>
      <xdr:rowOff>97972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8D687D02-B5C2-4F69-A996-3D14F7C69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622527</xdr:colOff>
      <xdr:row>0</xdr:row>
      <xdr:rowOff>20411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153C468-A904-14E2-1052-5829A4867337}"/>
                </a:ext>
              </a:extLst>
            </xdr:cNvPr>
            <xdr:cNvSpPr txBox="1"/>
          </xdr:nvSpPr>
          <xdr:spPr>
            <a:xfrm>
              <a:off x="1268866" y="20411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𝑜𝑏𝑠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153C468-A904-14E2-1052-5829A4867337}"/>
                </a:ext>
              </a:extLst>
            </xdr:cNvPr>
            <xdr:cNvSpPr txBox="1"/>
          </xdr:nvSpPr>
          <xdr:spPr>
            <a:xfrm>
              <a:off x="1268866" y="20411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3</xdr:col>
      <xdr:colOff>10205</xdr:colOff>
      <xdr:row>0</xdr:row>
      <xdr:rowOff>27215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AD77E29-59EB-4C1C-8A4D-2042CD9B2AE1}"/>
                </a:ext>
              </a:extLst>
            </xdr:cNvPr>
            <xdr:cNvSpPr txBox="1"/>
          </xdr:nvSpPr>
          <xdr:spPr>
            <a:xfrm>
              <a:off x="1935616" y="2721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AD77E29-59EB-4C1C-8A4D-2042CD9B2AE1}"/>
                </a:ext>
              </a:extLst>
            </xdr:cNvPr>
            <xdr:cNvSpPr txBox="1"/>
          </xdr:nvSpPr>
          <xdr:spPr>
            <a:xfrm>
              <a:off x="1935616" y="2721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_𝑐𝑟𝑖𝑡1^2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4</xdr:col>
      <xdr:colOff>23132</xdr:colOff>
      <xdr:row>0</xdr:row>
      <xdr:rowOff>26535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72AC70B-F55F-48E1-A3D1-18FA24EE8954}"/>
                </a:ext>
              </a:extLst>
            </xdr:cNvPr>
            <xdr:cNvSpPr txBox="1"/>
          </xdr:nvSpPr>
          <xdr:spPr>
            <a:xfrm>
              <a:off x="2594882" y="2653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72AC70B-F55F-48E1-A3D1-18FA24EE8954}"/>
                </a:ext>
              </a:extLst>
            </xdr:cNvPr>
            <xdr:cNvSpPr txBox="1"/>
          </xdr:nvSpPr>
          <xdr:spPr>
            <a:xfrm>
              <a:off x="2594882" y="2653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_𝑐𝑟𝑖𝑡2^2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0</xdr:row>
      <xdr:rowOff>10205</xdr:rowOff>
    </xdr:from>
    <xdr:ext cx="659947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5260814-A16C-1AE5-29B2-0CA464A72A7E}"/>
                </a:ext>
              </a:extLst>
            </xdr:cNvPr>
            <xdr:cNvSpPr txBox="1"/>
          </xdr:nvSpPr>
          <xdr:spPr>
            <a:xfrm>
              <a:off x="3218089" y="10205"/>
              <a:ext cx="65994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𝛼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5260814-A16C-1AE5-29B2-0CA464A72A7E}"/>
                </a:ext>
              </a:extLst>
            </xdr:cNvPr>
            <xdr:cNvSpPr txBox="1"/>
          </xdr:nvSpPr>
          <xdr:spPr>
            <a:xfrm>
              <a:off x="3218089" y="10205"/>
              <a:ext cx="65994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6</xdr:col>
      <xdr:colOff>0</xdr:colOff>
      <xdr:row>0</xdr:row>
      <xdr:rowOff>0</xdr:rowOff>
    </xdr:from>
    <xdr:ext cx="649741" cy="2381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7D017E6-83C1-95F1-F5BF-6271D4CB74B8}"/>
                </a:ext>
              </a:extLst>
            </xdr:cNvPr>
            <xdr:cNvSpPr txBox="1"/>
          </xdr:nvSpPr>
          <xdr:spPr>
            <a:xfrm>
              <a:off x="3864429" y="0"/>
              <a:ext cx="649741" cy="238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𝜅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7D017E6-83C1-95F1-F5BF-6271D4CB74B8}"/>
                </a:ext>
              </a:extLst>
            </xdr:cNvPr>
            <xdr:cNvSpPr txBox="1"/>
          </xdr:nvSpPr>
          <xdr:spPr>
            <a:xfrm>
              <a:off x="3864429" y="0"/>
              <a:ext cx="649741" cy="238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𝜅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8</xdr:col>
      <xdr:colOff>112599</xdr:colOff>
      <xdr:row>0</xdr:row>
      <xdr:rowOff>30956</xdr:rowOff>
    </xdr:from>
    <xdr:ext cx="462303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4773AE7-26D5-AEC5-C04A-2A2CA9D7B16E}"/>
                </a:ext>
              </a:extLst>
            </xdr:cNvPr>
            <xdr:cNvSpPr txBox="1"/>
          </xdr:nvSpPr>
          <xdr:spPr>
            <a:xfrm>
              <a:off x="5269706" y="30956"/>
              <a:ext cx="46230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𝛾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4773AE7-26D5-AEC5-C04A-2A2CA9D7B16E}"/>
                </a:ext>
              </a:extLst>
            </xdr:cNvPr>
            <xdr:cNvSpPr txBox="1"/>
          </xdr:nvSpPr>
          <xdr:spPr>
            <a:xfrm>
              <a:off x="5269706" y="30956"/>
              <a:ext cx="46230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𝛾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9</xdr:col>
      <xdr:colOff>1</xdr:colOff>
      <xdr:row>0</xdr:row>
      <xdr:rowOff>0</xdr:rowOff>
    </xdr:from>
    <xdr:ext cx="1207634" cy="2823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A8842635-D023-4883-999B-25E7C0A571A5}"/>
                </a:ext>
              </a:extLst>
            </xdr:cNvPr>
            <xdr:cNvSpPr txBox="1"/>
          </xdr:nvSpPr>
          <xdr:spPr>
            <a:xfrm>
              <a:off x="5803447" y="0"/>
              <a:ext cx="1207634" cy="2823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000" b="0" i="1">
                        <a:latin typeface="Cambria Math" panose="02040503050406030204" pitchFamily="18" charset="0"/>
                      </a:rPr>
                      <m:t>Квантиль </m:t>
                    </m:r>
                    <m:f>
                      <m:fPr>
                        <m:type m:val="skw"/>
                        <m:ctrlPr>
                          <a:rPr lang="ru-RU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𝛾</m:t>
                            </m:r>
                          </m:e>
                        </m:d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ru-RU" sz="10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A8842635-D023-4883-999B-25E7C0A571A5}"/>
                </a:ext>
              </a:extLst>
            </xdr:cNvPr>
            <xdr:cNvSpPr txBox="1"/>
          </xdr:nvSpPr>
          <xdr:spPr>
            <a:xfrm>
              <a:off x="5803447" y="0"/>
              <a:ext cx="1207634" cy="2823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000" b="0" i="0">
                  <a:latin typeface="Cambria Math" panose="02040503050406030204" pitchFamily="18" charset="0"/>
                </a:rPr>
                <a:t>Квантиль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(1+𝛾)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</a:t>
              </a:r>
              <a:endParaRPr lang="ru-RU" sz="1000"/>
            </a:p>
          </xdr:txBody>
        </xdr:sp>
      </mc:Fallback>
    </mc:AlternateContent>
    <xdr:clientData/>
  </xdr:oneCellAnchor>
  <xdr:oneCellAnchor>
    <xdr:from>
      <xdr:col>3</xdr:col>
      <xdr:colOff>61232</xdr:colOff>
      <xdr:row>3</xdr:row>
      <xdr:rowOff>146277</xdr:rowOff>
    </xdr:from>
    <xdr:ext cx="2826884" cy="5476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7631E91E-3031-40DF-9934-26E9671F4A6A}"/>
                </a:ext>
              </a:extLst>
            </xdr:cNvPr>
            <xdr:cNvSpPr txBox="1"/>
          </xdr:nvSpPr>
          <xdr:spPr>
            <a:xfrm>
              <a:off x="1986643" y="744991"/>
              <a:ext cx="2826884" cy="547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Sup>
                    <m:sSubSupPr>
                      <m:ctrlP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SupPr>
                    <m:e>
                      <m:r>
                        <a:rPr lang="ru-RU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𝜒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𝑜𝑏𝑠</m:t>
                      </m:r>
                    </m:sub>
                    <m:sup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p>
                  </m:sSubSup>
                </m:oMath>
              </a14:m>
              <a:r>
                <a:rPr lang="en-US" sz="1100"/>
                <a:t>&gt;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𝜒</m:t>
                      </m:r>
                    </m:e>
                    <m:sub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𝑐𝑟𝑖𝑡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b>
                    <m:sup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bSup>
                </m:oMath>
              </a14:m>
              <a:r>
                <a:rPr lang="en-US" sz="1100"/>
                <a:t> </a:t>
              </a:r>
              <a14:m>
                <m:oMath xmlns:m="http://schemas.openxmlformats.org/officeDocument/2006/math">
                  <m:r>
                    <a:rPr lang="en-US" sz="11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→</m:t>
                  </m:r>
                </m:oMath>
              </a14:m>
              <a:r>
                <a:rPr lang="en-US" sz="1100"/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𝐻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</a:rPr>
                        <m:t>0</m:t>
                      </m:r>
                    </m:sub>
                  </m:sSub>
                  <m:r>
                    <a:rPr lang="en-US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ru-RU" sz="1100" b="0" i="1">
                      <a:latin typeface="Cambria Math" panose="02040503050406030204" pitchFamily="18" charset="0"/>
                    </a:rPr>
                    <m:t>отклоняется. </m:t>
                  </m:r>
                </m:oMath>
              </a14:m>
              <a:endParaRPr lang="ru-RU" sz="1100" b="0" i="1">
                <a:latin typeface="Cambria Math" panose="02040503050406030204" pitchFamily="18" charset="0"/>
              </a:endParaRPr>
            </a:p>
            <a:p>
              <a:endParaRPr lang="ru-RU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b="0" i="1">
                        <a:latin typeface="Cambria Math" panose="02040503050406030204" pitchFamily="18" charset="0"/>
                      </a:rPr>
                      <m:t>Матрица парных коэффициентов значима.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7631E91E-3031-40DF-9934-26E9671F4A6A}"/>
                </a:ext>
              </a:extLst>
            </xdr:cNvPr>
            <xdr:cNvSpPr txBox="1"/>
          </xdr:nvSpPr>
          <xdr:spPr>
            <a:xfrm>
              <a:off x="1986643" y="744991"/>
              <a:ext cx="2826884" cy="547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r>
                <a:rPr lang="en-US" sz="1100"/>
                <a:t>&gt;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_𝑐𝑟𝑖𝑡2^2</a:t>
              </a:r>
              <a:r>
                <a:rPr lang="en-US" sz="1100"/>
                <a:t> </a:t>
              </a:r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→</a:t>
              </a:r>
              <a:r>
                <a:rPr lang="en-US" sz="1100"/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𝐻_0  </a:t>
              </a:r>
              <a:r>
                <a:rPr lang="ru-RU" sz="1100" b="0" i="0">
                  <a:latin typeface="Cambria Math" panose="02040503050406030204" pitchFamily="18" charset="0"/>
                </a:rPr>
                <a:t>отклоняется. </a:t>
              </a:r>
              <a:endParaRPr lang="ru-RU" sz="1100" b="0" i="1">
                <a:latin typeface="Cambria Math" panose="02040503050406030204" pitchFamily="18" charset="0"/>
              </a:endParaRPr>
            </a:p>
            <a:p>
              <a:endParaRPr lang="ru-RU" sz="1100" b="0" i="1">
                <a:latin typeface="Cambria Math" panose="02040503050406030204" pitchFamily="18" charset="0"/>
              </a:endParaRPr>
            </a:p>
            <a:p>
              <a:r>
                <a:rPr lang="ru-RU" sz="1100" b="0" i="0">
                  <a:latin typeface="Cambria Math" panose="02040503050406030204" pitchFamily="18" charset="0"/>
                </a:rPr>
                <a:t>Матрица парных коэффициентов значима.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18</xdr:col>
      <xdr:colOff>0</xdr:colOff>
      <xdr:row>0</xdr:row>
      <xdr:rowOff>0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95CC5E53-5038-42AD-8D26-2BC70A100901}"/>
                </a:ext>
              </a:extLst>
            </xdr:cNvPr>
            <xdr:cNvSpPr txBox="1"/>
          </xdr:nvSpPr>
          <xdr:spPr>
            <a:xfrm>
              <a:off x="10712224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95CC5E53-5038-42AD-8D26-2BC70A100901}"/>
                </a:ext>
              </a:extLst>
            </xdr:cNvPr>
            <xdr:cNvSpPr txBox="1"/>
          </xdr:nvSpPr>
          <xdr:spPr>
            <a:xfrm>
              <a:off x="10712224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_𝑐𝑟𝑖𝑡1^2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19</xdr:col>
      <xdr:colOff>0</xdr:colOff>
      <xdr:row>0</xdr:row>
      <xdr:rowOff>0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654F9CE0-D214-44E1-B403-2D749931DC55}"/>
                </a:ext>
              </a:extLst>
            </xdr:cNvPr>
            <xdr:cNvSpPr txBox="1"/>
          </xdr:nvSpPr>
          <xdr:spPr>
            <a:xfrm>
              <a:off x="11358563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654F9CE0-D214-44E1-B403-2D749931DC55}"/>
                </a:ext>
              </a:extLst>
            </xdr:cNvPr>
            <xdr:cNvSpPr txBox="1"/>
          </xdr:nvSpPr>
          <xdr:spPr>
            <a:xfrm>
              <a:off x="11358563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_𝑐𝑟𝑖𝑡2^2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20</xdr:col>
      <xdr:colOff>0</xdr:colOff>
      <xdr:row>0</xdr:row>
      <xdr:rowOff>3402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61298A2-ED0E-470F-A378-BDD504668AED}"/>
                </a:ext>
              </a:extLst>
            </xdr:cNvPr>
            <xdr:cNvSpPr txBox="1"/>
          </xdr:nvSpPr>
          <xdr:spPr>
            <a:xfrm>
              <a:off x="12004902" y="3402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𝑜𝑏𝑠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61298A2-ED0E-470F-A378-BDD504668AED}"/>
                </a:ext>
              </a:extLst>
            </xdr:cNvPr>
            <xdr:cNvSpPr txBox="1"/>
          </xdr:nvSpPr>
          <xdr:spPr>
            <a:xfrm>
              <a:off x="12004902" y="3402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endParaRPr lang="ru-RU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49118</xdr:colOff>
      <xdr:row>0</xdr:row>
      <xdr:rowOff>76406</xdr:rowOff>
    </xdr:from>
    <xdr:to>
      <xdr:col>14</xdr:col>
      <xdr:colOff>523578</xdr:colOff>
      <xdr:row>26</xdr:row>
      <xdr:rowOff>139323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FA5B63C-BE7E-342A-EFF8-155F9061E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100991</xdr:colOff>
      <xdr:row>0</xdr:row>
      <xdr:rowOff>58866</xdr:rowOff>
    </xdr:from>
    <xdr:to>
      <xdr:col>29</xdr:col>
      <xdr:colOff>570009</xdr:colOff>
      <xdr:row>26</xdr:row>
      <xdr:rowOff>119416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FD69C0C-AA8C-44F6-94F4-9467F1C66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0</xdr:colOff>
      <xdr:row>0</xdr:row>
      <xdr:rowOff>0</xdr:rowOff>
    </xdr:from>
    <xdr:to>
      <xdr:col>44</xdr:col>
      <xdr:colOff>469018</xdr:colOff>
      <xdr:row>26</xdr:row>
      <xdr:rowOff>60550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B0878B2A-D219-4819-B853-1358E2CCF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0</xdr:colOff>
      <xdr:row>0</xdr:row>
      <xdr:rowOff>0</xdr:rowOff>
    </xdr:from>
    <xdr:to>
      <xdr:col>59</xdr:col>
      <xdr:colOff>469019</xdr:colOff>
      <xdr:row>26</xdr:row>
      <xdr:rowOff>60550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F71E5785-5FF5-4DA7-BCB6-A0E5CC356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1765023148" createdVersion="7" refreshedVersion="7" minRefreshableVersion="3" recordCount="85" xr:uid="{F39877BA-8067-4700-9E4E-342D5AF3F147}">
  <cacheSource type="worksheet">
    <worksheetSource ref="A1:K86" sheet="метод полных связей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метод полных связей" numFmtId="0">
      <sharedItems containsSemiMixedTypes="0" containsString="0" containsNumber="1" containsInteger="1" minValue="1" maxValue="6" count="6">
        <n v="6"/>
        <n v="3"/>
        <n v="2"/>
        <n v="5"/>
        <n v="4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18887268519" createdVersion="7" refreshedVersion="7" minRefreshableVersion="3" recordCount="85" xr:uid="{7B259CDD-A960-49A4-95F6-9A387A1DC96D}">
  <cacheSource type="worksheet">
    <worksheetSource ref="A1:K86" sheet="взвешенный метод средней связи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взвешенный метод средней связи" numFmtId="0">
      <sharedItems containsSemiMixedTypes="0" containsString="0" containsNumber="1" containsInteger="1" minValue="1" maxValue="6" count="6">
        <n v="6"/>
        <n v="5"/>
        <n v="3"/>
        <n v="4"/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20169444442" createdVersion="7" refreshedVersion="7" minRefreshableVersion="3" recordCount="85" xr:uid="{E7FCE957-97A8-40C1-8101-6A8CFCE29EC2}">
  <cacheSource type="worksheet">
    <worksheetSource ref="A1:K86" sheet="метод уорда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метод уорда" numFmtId="0">
      <sharedItems containsSemiMixedTypes="0" containsString="0" containsNumber="1" containsInteger="1" minValue="1" maxValue="6" count="6">
        <n v="3"/>
        <n v="2"/>
        <n v="5"/>
        <n v="6"/>
        <n v="4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a" refreshedDate="45935.419478356482" createdVersion="8" refreshedVersion="8" minRefreshableVersion="3" recordCount="84" xr:uid="{EC9776DF-50D6-4996-A04A-0272A81BB5A0}">
  <cacheSource type="worksheet">
    <worksheetSource name="Таблица2"/>
  </cacheSource>
  <cacheFields count="12">
    <cacheField name="Наименование" numFmtId="0">
      <sharedItems/>
    </cacheField>
    <cacheField name="X1" numFmtId="0">
      <sharedItems containsSemiMixedTypes="0" containsString="0" containsNumber="1" minValue="-1.0181618012575417" maxValue="4.4584419436711249"/>
    </cacheField>
    <cacheField name="X2" numFmtId="0">
      <sharedItems containsSemiMixedTypes="0" containsString="0" containsNumber="1" minValue="-1.0418016833751322" maxValue="3.9671028328412472"/>
    </cacheField>
    <cacheField name="X3" numFmtId="0">
      <sharedItems containsSemiMixedTypes="0" containsString="0" containsNumber="1" minValue="-2.2425306174738182" maxValue="2.3332104009876682"/>
    </cacheField>
    <cacheField name="X4" numFmtId="0">
      <sharedItems containsSemiMixedTypes="0" containsString="0" containsNumber="1" minValue="-2.3550390577568878" maxValue="2.7636252400201995"/>
    </cacheField>
    <cacheField name="X5" numFmtId="0">
      <sharedItems containsSemiMixedTypes="0" containsString="0" containsNumber="1" minValue="-1.763312295573314" maxValue="3.8826809568985876"/>
    </cacheField>
    <cacheField name="X6" numFmtId="0">
      <sharedItems containsSemiMixedTypes="0" containsString="0" containsNumber="1" minValue="-2.1054804203724169" maxValue="3.363799587991104"/>
    </cacheField>
    <cacheField name="X7" numFmtId="0">
      <sharedItems containsSemiMixedTypes="0" containsString="0" containsNumber="1" minValue="-0.72640593581322987" maxValue="5.3641849831904773"/>
    </cacheField>
    <cacheField name="X8" numFmtId="0">
      <sharedItems containsSemiMixedTypes="0" containsString="0" containsNumber="1" minValue="-1.7504793312292279" maxValue="4.7115831498236158"/>
    </cacheField>
    <cacheField name="X9" numFmtId="0">
      <sharedItems containsSemiMixedTypes="0" containsString="0" containsNumber="1" minValue="-2.7335935595692606" maxValue="3.0546802522782492"/>
    </cacheField>
    <cacheField name="Clusters" numFmtId="0">
      <sharedItems containsSemiMixedTypes="0" containsString="0" containsNumber="1" containsInteger="1" minValue="1" maxValue="7" count="7">
        <n v="4"/>
        <n v="5"/>
        <n v="7"/>
        <n v="2"/>
        <n v="1"/>
        <n v="6"/>
        <n v="3"/>
      </sharedItems>
    </cacheField>
    <cacheField name="MSW" numFmtId="0">
      <sharedItems containsSemiMixedTypes="0" containsString="0" containsNumber="1" minValue="0.67793425309656608" maxValue="55.0874688426875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a" refreshedDate="45935.427568402774" createdVersion="8" refreshedVersion="8" minRefreshableVersion="3" recordCount="84" xr:uid="{FDC5ABBA-2A63-44F5-A82D-D85FBD82F23A}">
  <cacheSource type="worksheet">
    <worksheetSource name="Таблица5"/>
  </cacheSource>
  <cacheFields count="12">
    <cacheField name="Наименование" numFmtId="0">
      <sharedItems/>
    </cacheField>
    <cacheField name="X1" numFmtId="0">
      <sharedItems containsSemiMixedTypes="0" containsString="0" containsNumber="1" minValue="-1.0181618012575417" maxValue="4.4584419436711249"/>
    </cacheField>
    <cacheField name="X2" numFmtId="0">
      <sharedItems containsSemiMixedTypes="0" containsString="0" containsNumber="1" minValue="-1.0418016833751322" maxValue="3.9671028328412472"/>
    </cacheField>
    <cacheField name="X3" numFmtId="0">
      <sharedItems containsSemiMixedTypes="0" containsString="0" containsNumber="1" minValue="-2.2425306174738182" maxValue="2.3332104009876682"/>
    </cacheField>
    <cacheField name="X4" numFmtId="0">
      <sharedItems containsSemiMixedTypes="0" containsString="0" containsNumber="1" minValue="-2.3550390577568878" maxValue="2.7636252400201995"/>
    </cacheField>
    <cacheField name="X5" numFmtId="0">
      <sharedItems containsSemiMixedTypes="0" containsString="0" containsNumber="1" minValue="-1.763312295573314" maxValue="3.8826809568985876"/>
    </cacheField>
    <cacheField name="X6" numFmtId="0">
      <sharedItems containsSemiMixedTypes="0" containsString="0" containsNumber="1" minValue="-2.1054804203724169" maxValue="3.363799587991104"/>
    </cacheField>
    <cacheField name="X7" numFmtId="0">
      <sharedItems containsSemiMixedTypes="0" containsString="0" containsNumber="1" minValue="-0.72640593581322987" maxValue="5.3641849831904773"/>
    </cacheField>
    <cacheField name="X8" numFmtId="0">
      <sharedItems containsSemiMixedTypes="0" containsString="0" containsNumber="1" minValue="-1.7504793312292279" maxValue="4.7115831498236158"/>
    </cacheField>
    <cacheField name="X9" numFmtId="0">
      <sharedItems containsSemiMixedTypes="0" containsString="0" containsNumber="1" minValue="-2.7335935595692606" maxValue="3.0546802522782492"/>
    </cacheField>
    <cacheField name="Clusters" numFmtId="1">
      <sharedItems containsSemiMixedTypes="0" containsString="0" containsNumber="1" containsInteger="1" minValue="1" maxValue="7" count="7">
        <n v="3"/>
        <n v="2"/>
        <n v="4"/>
        <n v="1"/>
        <n v="6"/>
        <n v="7"/>
        <n v="5"/>
      </sharedItems>
    </cacheField>
    <cacheField name="MSW" numFmtId="0">
      <sharedItems containsSemiMixedTypes="0" containsString="0" containsNumber="1" minValue="0.67793425309656608" maxValue="55.0874688426875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0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0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0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0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0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0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1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0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0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0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0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3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0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0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0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0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0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0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0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0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3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3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4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0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0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0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0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0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0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0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0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0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5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0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0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0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3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0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0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0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0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0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1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0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3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0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0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0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0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0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0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0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4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4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0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0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0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0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0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0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1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0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0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0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0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0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2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0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0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0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0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0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0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0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0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0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3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0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0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0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0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0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0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0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0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0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4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0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0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0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5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0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0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0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0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0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1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0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0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0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0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0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0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0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0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0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3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3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1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2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2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2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2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2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3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1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1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1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2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4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2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2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1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1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2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2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2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2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4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4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3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1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1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1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2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1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1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1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1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1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5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4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2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2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4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2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1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2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2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1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3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2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4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2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2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1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1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4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1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2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3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3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Алтайский край"/>
    <n v="-0.56742350158129584"/>
    <n v="-0.12671335829713987"/>
    <n v="-1.0232463341113265"/>
    <n v="-0.9170515061953245"/>
    <n v="-0.43239675907901698"/>
    <n v="1.0067713438522587"/>
    <n v="-0.25008035010612689"/>
    <n v="-0.73015367632614725"/>
    <n v="0.16359301643449839"/>
    <x v="0"/>
    <n v="4.0490249742571454"/>
  </r>
  <r>
    <s v="Амурская область"/>
    <n v="0.16729826992204833"/>
    <n v="-0.60833879254871481"/>
    <n v="-0.66705092548857581"/>
    <n v="-0.7694435124919855"/>
    <n v="0.62250504399458761"/>
    <n v="0.21652737827857621"/>
    <n v="-0.64082554623223553"/>
    <n v="-8.7726412127911366E-2"/>
    <n v="1.5938882839563544"/>
    <x v="0"/>
    <n v="4.828294854914617"/>
  </r>
  <r>
    <s v="Архангельская область без автономного округа"/>
    <n v="0.24638174702950655"/>
    <n v="0.88470005363116744"/>
    <n v="-0.98214686388562433"/>
    <n v="-0.70754338610026268"/>
    <n v="1.1357771578556701"/>
    <n v="1.4412278849769034"/>
    <n v="-0.65760601477752856"/>
    <n v="-0.42783496376227154"/>
    <n v="-0.62932120436653038"/>
    <x v="1"/>
    <n v="6.6872894295149843"/>
  </r>
  <r>
    <s v="Астраханская область"/>
    <n v="-0.56066993105340535"/>
    <n v="0.35491207595443525"/>
    <n v="-0.10535816573731585"/>
    <n v="-0.22186547133443657"/>
    <n v="1.0412519066842001"/>
    <n v="-0.71582853999942886"/>
    <n v="-0.52575947620736918"/>
    <n v="0.89480940370468476"/>
    <n v="-0.16272168212592508"/>
    <x v="0"/>
    <n v="3.2008392571689703"/>
  </r>
  <r>
    <s v="Белгородская область"/>
    <n v="-0.11610156000757796"/>
    <n v="-3.0388271446824808E-2"/>
    <n v="0.92212858990523339"/>
    <n v="0.77805964730108756"/>
    <n v="-0.53353877783248993"/>
    <n v="-0.39049367684417485"/>
    <n v="1.0252352593361418"/>
    <n v="-0.16330609026888029"/>
    <n v="-0.82754975956678767"/>
    <x v="2"/>
    <n v="3.669864730126899"/>
  </r>
  <r>
    <s v="Брянская область"/>
    <n v="-0.37999107507885399"/>
    <n v="-0.51201370569839966"/>
    <n v="0.71663123877672352"/>
    <n v="0.45903591897451612"/>
    <n v="-0.93810685284638151"/>
    <n v="-1.9479971748246068E-2"/>
    <n v="6.3954132670070843E-2"/>
    <n v="0.78143988649323137"/>
    <n v="-1.3978380645275277"/>
    <x v="2"/>
    <n v="4.5799391778488872"/>
  </r>
  <r>
    <s v="Владимирская область"/>
    <n v="-0.47495794953894349"/>
    <n v="-0.80098896624934468"/>
    <n v="0.15493847902546359"/>
    <n v="-0.19329618223056472"/>
    <n v="-1.1659127081696239"/>
    <n v="0.87379515953607056"/>
    <n v="0.21497834957770792"/>
    <n v="-0.69236383725566286"/>
    <n v="1.1791331530758156"/>
    <x v="1"/>
    <n v="4.9673465147402123"/>
  </r>
  <r>
    <s v="Волгоградская область"/>
    <n v="-0.60310903474101341"/>
    <n v="-0.36752607542292731"/>
    <n v="-9.459401877344193E-3"/>
    <n v="-0.38375810958971218"/>
    <n v="-0.42388948647358438"/>
    <n v="-0.97772056712596733"/>
    <n v="-0.36274921033880853"/>
    <n v="-0.46562480283275604"/>
    <n v="-4.3784549005771022E-2"/>
    <x v="2"/>
    <n v="2.1321060283318332"/>
  </r>
  <r>
    <s v="Вологодская область"/>
    <n v="-0.30574348797902101"/>
    <n v="-0.27120098857261227"/>
    <n v="-0.9684470404770571"/>
    <n v="0.39237424439881424"/>
    <n v="-1.3133720999971172"/>
    <n v="1.1336570159096901"/>
    <n v="-0.46343202161056657"/>
    <n v="-0.99468254981953852"/>
    <n v="0.43196398347484655"/>
    <x v="1"/>
    <n v="5.6597562738817606"/>
  </r>
  <r>
    <s v="Воронежская область"/>
    <n v="-0.2065660541157405"/>
    <n v="-0.22303844514745472"/>
    <n v="0.37413565356254047"/>
    <n v="0.24952779887945364"/>
    <n v="0.5459395905456973"/>
    <n v="-1.2817386373755726"/>
    <n v="0.29888069230417297"/>
    <n v="0.21459230043596436"/>
    <n v="0.35572223147474757"/>
    <x v="2"/>
    <n v="2.4974790930776249"/>
  </r>
  <r>
    <s v="г. Москва"/>
    <n v="2.7956878664803124"/>
    <n v="-0.89731405309965961"/>
    <n v="2.1277130498591585"/>
    <n v="2.358893644382011"/>
    <n v="2.356098150479347"/>
    <n v="-0.75896966849895553"/>
    <n v="5.316240787346783"/>
    <n v="-0.76794351539663175"/>
    <n v="-1.1813114888472469"/>
    <x v="3"/>
    <n v="55.087468842687592"/>
  </r>
  <r>
    <s v="Еврейская автономная область"/>
    <n v="-0.27360149491109781"/>
    <n v="1.7774271978332722E-2"/>
    <n v="-1.6671380343139905"/>
    <n v="-1.8026994684153606"/>
    <n v="-1.443816946613746"/>
    <n v="-0.68436089332918626"/>
    <n v="-0.55932041329795523"/>
    <n v="-0.46562480283275604"/>
    <n v="1.4688518106761914"/>
    <x v="0"/>
    <n v="11.344376932762204"/>
  </r>
  <r>
    <s v="Забайкальский край"/>
    <n v="-0.3036590526309067"/>
    <n v="1.5589756615833725"/>
    <n v="-1.8452357386253659"/>
    <n v="-0.9027668616433886"/>
    <n v="0.17918161600039362"/>
    <n v="-0.17580311972300125"/>
    <n v="-0.64561996581660497"/>
    <n v="-0.65457399818517836"/>
    <n v="-6.8181909645802591E-2"/>
    <x v="0"/>
    <n v="7.6554506918167258"/>
  </r>
  <r>
    <s v="Ивановская область"/>
    <n v="-0.37244541911868007"/>
    <n v="-0.27120098857261227"/>
    <n v="-1.3383422725083747"/>
    <n v="-0.73135112702015614"/>
    <n v="-0.2509082768297945"/>
    <n v="-0.32958855425660777"/>
    <n v="8.0734601215363855E-2"/>
    <n v="0.78143988649323137"/>
    <n v="0.47160969451489787"/>
    <x v="0"/>
    <n v="3.5494657302768338"/>
  </r>
  <r>
    <s v="Иркутская область"/>
    <n v="-0.31512344704553558"/>
    <n v="1.7774271978332722E-2"/>
    <n v="-0.24235639982298909"/>
    <n v="-0.43137359142949905"/>
    <n v="-8.0762824721148818E-2"/>
    <n v="0.61900873004474877"/>
    <n v="-0.6504143854009744"/>
    <n v="0.40354149578838666"/>
    <n v="-5.9032899405790804E-2"/>
    <x v="0"/>
    <n v="1.3235024480406261"/>
  </r>
  <r>
    <s v="Кабардино-Балкарская Республика"/>
    <n v="-0.46249302615721971"/>
    <n v="2.6185516169368372"/>
    <n v="1.5660202901078981"/>
    <n v="0.73044416546130075"/>
    <n v="-0.42767049652044375"/>
    <n v="-1.9983889131559451"/>
    <n v="0.86701941305195063"/>
    <n v="2.0662944148897031"/>
    <n v="-0.90989085172689455"/>
    <x v="4"/>
    <n v="20.082337533180937"/>
  </r>
  <r>
    <s v="Калининградская область"/>
    <n v="-0.27093341766551149"/>
    <n v="-0.31936353199776979"/>
    <n v="0.18233812584259815"/>
    <n v="9.2396708808156466E-2"/>
    <n v="-1.6485653924549259E-2"/>
    <n v="-0.31486981629794586"/>
    <n v="0.51462957360079742"/>
    <n v="0.29017197857693328"/>
    <n v="-0.11087729076585773"/>
    <x v="2"/>
    <n v="0.67793425309656608"/>
  </r>
  <r>
    <s v="Калужская область"/>
    <n v="0.73810004564968046"/>
    <n v="-0.60833879254871481"/>
    <n v="-1.3246424490998074"/>
    <n v="1.3446838811945516"/>
    <n v="-0.9286543277292344"/>
    <n v="1.0128618561110159"/>
    <n v="0.14545926560435118"/>
    <n v="0.59249069114080899"/>
    <n v="0.23373542827458932"/>
    <x v="1"/>
    <n v="6.7928439896535355"/>
  </r>
  <r>
    <s v="Камчатский край"/>
    <n v="1.5429839109705534"/>
    <n v="-0.7528264228241871"/>
    <n v="0.37413565356254047"/>
    <n v="-1.7550839865755739"/>
    <n v="1.2000543286522698"/>
    <n v="0.1535920849380904"/>
    <n v="-0.71897458545745729"/>
    <n v="2.0662944148897031"/>
    <n v="0.90466284587545942"/>
    <x v="5"/>
    <n v="13.236477108135198"/>
  </r>
  <r>
    <s v="Карачаево-Черкесская Республика"/>
    <n v="-1.0181618012575417"/>
    <n v="1.79978837870916"/>
    <n v="2.3332104009876682"/>
    <n v="1.5922843867614427"/>
    <n v="-0.54299130294963704"/>
    <n v="0.29671912301887315"/>
    <n v="0.14545926560435118"/>
    <n v="-1.5993199749472899"/>
    <n v="-0.37619858772620207"/>
    <x v="2"/>
    <n v="15.358521955944628"/>
  </r>
  <r>
    <s v="Кемеровская область — Кузбасс"/>
    <n v="-0.44331622095456774"/>
    <n v="-0.12671335829713987"/>
    <n v="-0.31085551686582569"/>
    <n v="-0.55041229602896624"/>
    <n v="-0.62239251393367145"/>
    <n v="-0.31791507242732436"/>
    <n v="-0.29083291657326704"/>
    <n v="-0.35225528562130259"/>
    <n v="-8.0380589965818164E-2"/>
    <x v="2"/>
    <n v="1.3157414404492302"/>
  </r>
  <r>
    <s v="Кировская область"/>
    <n v="-0.49046614852891424"/>
    <n v="-0.22303844514745472"/>
    <n v="-0.87254827661708567"/>
    <n v="-1.0122824698748982"/>
    <n v="0.36917737085504809"/>
    <n v="0.13227529203244229"/>
    <n v="-0.45144597264964303"/>
    <n v="-0.31446544655081815"/>
    <n v="1.185232493235824"/>
    <x v="0"/>
    <n v="3.937616215061758"/>
  </r>
  <r>
    <s v="Костромская область"/>
    <n v="-0.2657223292952256"/>
    <n v="-0.27120098857261227"/>
    <n v="-0.11905798914588288"/>
    <n v="-1.1360827226583445"/>
    <n v="-0.9759169533149693"/>
    <n v="-0.11236028369428558"/>
    <n v="-0.39631014742939458"/>
    <n v="1.9529248976782498"/>
    <n v="1.2157291940358637"/>
    <x v="0"/>
    <n v="7.8630306852687335"/>
  </r>
  <r>
    <s v="Краснодарский край"/>
    <n v="0.19114421030447643"/>
    <n v="-0.80098896624934468"/>
    <n v="0.47003441742251212"/>
    <n v="0.66378249088559882"/>
    <n v="-0.44657554675473737"/>
    <n v="-0.80921639463369821"/>
    <n v="0.42353560149777819"/>
    <n v="-0.20109592933936477"/>
    <n v="0.15444400619448617"/>
    <x v="2"/>
    <n v="2.4375948038397319"/>
  </r>
  <r>
    <s v="Красноярский край"/>
    <n v="1.4092271835644004E-2"/>
    <n v="-0.80098896624934468"/>
    <n v="-9.1658342328748324E-2"/>
    <n v="0.26857399161536866"/>
    <n v="-3.8226461693987059E-2"/>
    <n v="4.8820772867810966E-3"/>
    <n v="-0.70075579103685348"/>
    <n v="2.5643105083542034E-2"/>
    <n v="0.10564928491442305"/>
    <x v="1"/>
    <n v="1.2266782728345682"/>
  </r>
  <r>
    <s v="Курганская область"/>
    <n v="-0.63491751815323827"/>
    <n v="0.49939970622990759"/>
    <n v="-1.1328449213798648"/>
    <n v="-0.53612765147702957"/>
    <n v="-1.763312295573314"/>
    <n v="1.5315704834817954"/>
    <n v="-0.40110456701376401"/>
    <n v="-0.65457399818517836"/>
    <n v="0.21543740779456533"/>
    <x v="1"/>
    <n v="8.3140344630641678"/>
  </r>
  <r>
    <s v="Курская область"/>
    <n v="-0.26359620524014898"/>
    <n v="-0.60833879254871481"/>
    <n v="2.3195105775791007"/>
    <n v="6.3827419704284613E-2"/>
    <n v="0.302064442523305"/>
    <n v="-1.2568690456523162"/>
    <n v="0.19100625165586077"/>
    <n v="0.59249069114080899"/>
    <n v="-9.5628940365837939E-2"/>
    <x v="2"/>
    <n v="7.8913985317955877"/>
  </r>
  <r>
    <s v="Ленинградская область"/>
    <n v="-0.16896284043575774"/>
    <n v="-0.41568861884808483"/>
    <n v="0.33303618333683888"/>
    <n v="2.7636252400201995"/>
    <n v="-1.3180983625556904"/>
    <n v="-0.7599847538754152"/>
    <n v="-0.19734173467806315"/>
    <n v="-0.80573335446711625"/>
    <n v="-0.29690716564609937"/>
    <x v="2"/>
    <n v="11.04114701922987"/>
  </r>
  <r>
    <s v="Липецкая область"/>
    <n v="-0.19109954383273209"/>
    <n v="-0.36752607542292731"/>
    <n v="1.0180273537652051"/>
    <n v="-6.4734381263140059E-2"/>
    <n v="-0.95512139805724605"/>
    <n v="-0.99700718927869658"/>
    <n v="0.62969564362566377"/>
    <n v="0.5547008520703246"/>
    <n v="0.19408971723453797"/>
    <x v="2"/>
    <n v="3.8603253626256659"/>
  </r>
  <r>
    <s v="Магаданская область"/>
    <n v="2.5478068148825543"/>
    <n v="-0.12671335829713987"/>
    <n v="1.3057236453451186"/>
    <n v="-0.99323627713898388"/>
    <n v="1.1745325108359725"/>
    <n v="-0.64121976482965959"/>
    <n v="-0.71609793370683561"/>
    <n v="0.4791211739293556"/>
    <n v="0.96565624747553858"/>
    <x v="5"/>
    <n v="12.664343125445225"/>
  </r>
  <r>
    <s v="Московская область"/>
    <n v="0.61816163571918104"/>
    <n v="-0.51201370569839966"/>
    <n v="1.6893187007850037"/>
    <n v="1.5446689049216558"/>
    <n v="-0.53164827280906024"/>
    <n v="-0.72141150956995603"/>
    <n v="1.3057088050217536"/>
    <n v="0.25238213950644883"/>
    <n v="-1.6662090315678759"/>
    <x v="2"/>
    <n v="11.231990758204233"/>
  </r>
  <r>
    <s v="Мурманская область"/>
    <n v="1.0732355609195048"/>
    <n v="-0.12671335829713987"/>
    <n v="0.5385335344653488"/>
    <n v="-1.2551214272578117"/>
    <n v="0.59131171110800262"/>
    <n v="0.40381063023534536"/>
    <n v="-0.67198927353063687"/>
    <n v="0.78143988649323137"/>
    <n v="-0.13832432148589352"/>
    <x v="5"/>
    <n v="4.6273030719404336"/>
  </r>
  <r>
    <s v="Ненецкий автономный округ"/>
    <n v="3.2584742024686593"/>
    <n v="1.2700004010324273"/>
    <n v="-1.3109426256912402"/>
    <n v="1.3970609112183168"/>
    <n v="0.23495151419156121"/>
    <n v="2.3070957110968155"/>
    <n v="-0.72496760993791909"/>
    <n v="-0.12551625119839582"/>
    <n v="-2.0443681214883664"/>
    <x v="6"/>
    <n v="25.999571119398791"/>
  </r>
  <r>
    <s v="Нижегородская область"/>
    <n v="2.3305476074309404E-2"/>
    <n v="-0.84915150967450226"/>
    <n v="3.1640068348357392E-2"/>
    <n v="-0.69325874154832678"/>
    <n v="2.4193963097450047E-3"/>
    <n v="0.86009150695386827"/>
    <n v="2.5598775995115394E-2"/>
    <n v="0.17680246136547989"/>
    <n v="1.5694909233163223"/>
    <x v="0"/>
    <n v="4.4381896281181366"/>
  </r>
  <r>
    <s v="Новгородская область"/>
    <n v="-0.46436901797052266"/>
    <n v="-0.65650133597387228"/>
    <n v="-1.3794417427340768"/>
    <n v="-0.33138107956594626"/>
    <n v="-0.42010847642672566"/>
    <n v="-0.24279875456932523"/>
    <n v="-0.24768314031394217"/>
    <n v="-0.23888576840984924"/>
    <n v="0.49600705515492943"/>
    <x v="0"/>
    <n v="3.2591842447719088"/>
  </r>
  <r>
    <s v="Новосибирская область"/>
    <n v="-4.4175140556113766E-3"/>
    <n v="-0.12671335829713987"/>
    <n v="0.18233812584259815"/>
    <n v="-0.57898158513283804"/>
    <n v="0.80966504131409844"/>
    <n v="-0.16615980864663657"/>
    <n v="-0.45863760202619719"/>
    <n v="-0.46562480283275604"/>
    <n v="-0.1596720120459213"/>
    <x v="1"/>
    <n v="1.5203592772319192"/>
  </r>
  <r>
    <s v="Омская область"/>
    <n v="-0.38511878603521527"/>
    <n v="-3.0388271446824808E-2"/>
    <n v="-1.4342410363683462"/>
    <n v="-9.8065218550990998E-2"/>
    <n v="0.19052464614097045"/>
    <n v="-0.20422551026386598"/>
    <n v="-0.48980132932459847"/>
    <n v="0.93259924277516926"/>
    <n v="1.5328948823562751"/>
    <x v="0"/>
    <n v="5.7533251739078661"/>
  </r>
  <r>
    <s v="Оренбургская область"/>
    <n v="-0.55387467181855266"/>
    <n v="-0.51201370569839966"/>
    <n v="0.71663123877672352"/>
    <n v="0.35904340711096261"/>
    <n v="-0.27359433711094749"/>
    <n v="0.46420821013468255"/>
    <n v="-0.33398269283259197"/>
    <n v="0.29017197857693328"/>
    <n v="-0.83059942964679179"/>
    <x v="2"/>
    <n v="2.3873904399337911"/>
  </r>
  <r>
    <s v="Орловская область"/>
    <n v="-0.26313762946356384"/>
    <n v="-0.17487590172229742"/>
    <n v="8.6439361982626972E-2"/>
    <n v="-0.35042727230186127"/>
    <n v="-0.37946261842299361"/>
    <n v="1.5381685384287815"/>
    <n v="0.25093649646047866"/>
    <n v="-4.9936573057426895E-2"/>
    <n v="-0.17187069236593686"/>
    <x v="0"/>
    <n v="2.8350506823872705"/>
  </r>
  <r>
    <s v="Пензенская область"/>
    <n v="-0.56750687899522045"/>
    <n v="-0.36752607542292731"/>
    <n v="-0.26975604664012365"/>
    <n v="-8.8542122183033492E-2"/>
    <n v="-0.28304686222809461"/>
    <n v="-0.40419732942637765"/>
    <n v="-6.0700776523534367E-2"/>
    <n v="0.59249069114080899"/>
    <n v="0.75522901195526582"/>
    <x v="0"/>
    <n v="1.7063391771128447"/>
  </r>
  <r>
    <s v="Пермский край"/>
    <n v="-0.18355388787255814"/>
    <n v="-0.41568861884808483"/>
    <n v="-0.58485198503717195"/>
    <n v="0.39713579258279269"/>
    <n v="-6.4693532021998762E-2"/>
    <n v="0.39772011797658841"/>
    <n v="-0.37713246909191683"/>
    <n v="-0.46562480283275604"/>
    <n v="-0.55917879252643954"/>
    <x v="1"/>
    <n v="1.5403405633417719"/>
  </r>
  <r>
    <s v="Приморский край"/>
    <n v="0.18559961227849228"/>
    <n v="-0.51201370569839966"/>
    <n v="-1.7219373279482599"/>
    <n v="-0.70754338610026268"/>
    <n v="0.30395494754673402"/>
    <n v="0.22820086010786025"/>
    <n v="-0.50418458807770672"/>
    <n v="-0.50341464190324048"/>
    <n v="0.81012307339533696"/>
    <x v="0"/>
    <n v="5.0706830927740167"/>
  </r>
  <r>
    <s v="Псковская область"/>
    <n v="-0.4228887545430472"/>
    <n v="-0.36752607542292731"/>
    <n v="0.18233812584259815"/>
    <n v="-0.77896660885994307"/>
    <n v="-1.4958058347580543"/>
    <n v="-0.44683091523767449"/>
    <n v="2.0804356410745965E-2"/>
    <n v="1.7261858632553431"/>
    <n v="0.51735474571495721"/>
    <x v="0"/>
    <n v="6.6388458354597226"/>
  </r>
  <r>
    <s v="Республика Адыгея (Адыгея)"/>
    <n v="-0.30674401694611592"/>
    <n v="0.1622619022538051"/>
    <n v="1.908515875322081"/>
    <n v="1.5922843867614427"/>
    <n v="-1.2746167470168142"/>
    <n v="-1.128460745530196"/>
    <n v="0.65846216113188027"/>
    <n v="-0.73015367632614725"/>
    <n v="-0.38534759796621387"/>
    <x v="2"/>
    <n v="10.311484317467611"/>
  </r>
  <r>
    <s v="Республика Алтай"/>
    <n v="-0.63470907461842685"/>
    <n v="2.5222265300865225"/>
    <n v="-0.83144880639138385"/>
    <n v="0.4780821117104298"/>
    <n v="-0.43334201159073149"/>
    <n v="0.39568994722366962"/>
    <n v="-0.6096618189338342"/>
    <n v="-0.91910287167856963"/>
    <n v="1.7951665092366154"/>
    <x v="0"/>
    <n v="12.467768153084085"/>
  </r>
  <r>
    <s v="Республика Башкортостан"/>
    <n v="-0.41771935487972361"/>
    <n v="-0.65650133597387228"/>
    <n v="-0.11905798914588288"/>
    <n v="0.56378997902204664"/>
    <n v="-0.56284160569564579"/>
    <n v="0.91033823308861106"/>
    <n v="4.9570873916962549E-2"/>
    <n v="-1.2146733986942432E-2"/>
    <n v="-0.35790056724617852"/>
    <x v="1"/>
    <n v="2.2137214112492778"/>
  </r>
  <r>
    <s v="Республика Бурятия"/>
    <n v="-0.48483817308900551"/>
    <n v="0.98102514048148248"/>
    <n v="-0.95474721706848986"/>
    <n v="-7.5958030553956862E-3"/>
    <n v="-0.61483049383995403"/>
    <n v="-0.61228983160056505"/>
    <n v="-0.66479764415408271"/>
    <n v="1.083758599057107"/>
    <n v="0.29472882987466847"/>
    <x v="0"/>
    <n v="4.5653473909643409"/>
  </r>
  <r>
    <s v="Республика Дагестан"/>
    <n v="-0.431726760419052"/>
    <n v="3.9671028328412472"/>
    <n v="-0.20125692959728703"/>
    <n v="1.5494304531056342"/>
    <n v="-0.96457392317439317"/>
    <n v="-0.24635155338693296"/>
    <n v="0.41394676232903932"/>
    <n v="-4.9936573057426895E-2"/>
    <n v="-1.4771294866076305"/>
    <x v="4"/>
    <n v="21.712381007422362"/>
  </r>
  <r>
    <s v="Республика Калмыкия"/>
    <n v="-0.89242866105928442"/>
    <n v="1.3663254878827424"/>
    <n v="1.908515875322081"/>
    <n v="0.4780821117104298"/>
    <n v="-0.17528807589261877"/>
    <n v="-0.88788551130930571"/>
    <n v="-0.60726460914164948"/>
    <n v="-0.27667560748033371"/>
    <n v="3.0546802522782492"/>
    <x v="5"/>
    <n v="17.129727337504395"/>
  </r>
  <r>
    <s v="Республика Карелия"/>
    <n v="0.12615151615027118"/>
    <n v="0.78837496678085239"/>
    <n v="-1.3657419193255096"/>
    <n v="-0.24567321225433"/>
    <n v="0.90513554499728299"/>
    <n v="3.363799587991104"/>
    <n v="-0.61445623851820363"/>
    <n v="-0.27667560748033371"/>
    <n v="0.2733811393146407"/>
    <x v="1"/>
    <n v="15.22631674184418"/>
  </r>
  <r>
    <s v="Республика Коми"/>
    <n v="0.25471948842196396"/>
    <n v="0.49939970622990759"/>
    <n v="-0.32455534027439276"/>
    <n v="-1.2503598790738326"/>
    <n v="0.32191474526931307"/>
    <n v="1.5539023617639025"/>
    <n v="-0.68876974207592989"/>
    <n v="-8.7726412127911366E-2"/>
    <n v="0.56005012683501276"/>
    <x v="1"/>
    <n v="5.2970155591319523"/>
  </r>
  <r>
    <s v="Республика Крым"/>
    <n v="-0.71566854353918807"/>
    <n v="-3.0388271446824808E-2"/>
    <n v="0.82622982604526229"/>
    <n v="-0.3075733386460528"/>
    <n v="-0.33503575037240285"/>
    <n v="-1.3126987413575861"/>
    <n v="0.49784910505550439"/>
    <n v="0.74365004742274687"/>
    <n v="-0.77265569812671653"/>
    <x v="2"/>
    <n v="4.5236548872191866"/>
  </r>
  <r>
    <s v="Республика Марий Эл"/>
    <n v="-0.79329291590296624"/>
    <n v="-0.12671335829713987"/>
    <n v="0.82622982604526229"/>
    <n v="5.9065871520306193E-2"/>
    <n v="-1.2642189693879524"/>
    <n v="0.65250654746791081"/>
    <n v="-0.18775289550932431"/>
    <n v="-0.61678415911469386"/>
    <n v="-5.2933559245782809E-2"/>
    <x v="1"/>
    <n v="3.774004635668216"/>
  </r>
  <r>
    <s v="Республика Мордовия"/>
    <n v="-0.80855098265116321"/>
    <n v="-0.56017624912355723"/>
    <n v="1.524920819882196"/>
    <n v="0.46855901534247296"/>
    <n v="0.39848019871820395"/>
    <n v="-0.92493612755007593"/>
    <n v="1.6266780732682388E-3"/>
    <n v="-0.46562480283275604"/>
    <n v="-0.80010272884675226"/>
    <x v="2"/>
    <n v="5.3837499680176437"/>
  </r>
  <r>
    <s v="Республика Саха (Якутия)"/>
    <n v="0.79162834538925686"/>
    <n v="0.98102514048148248"/>
    <n v="0.6481321217338869"/>
    <n v="-0.36471191685379717"/>
    <n v="0.94010988793072725"/>
    <n v="1.3006385603372703"/>
    <n v="-0.71969374839511269"/>
    <n v="-0.99468254981953852"/>
    <n v="-0.60797351380650311"/>
    <x v="1"/>
    <n v="6.5946273189049505"/>
  </r>
  <r>
    <s v="Республика Северная Осетия — Алания"/>
    <n v="-0.61557395812273719"/>
    <n v="3.1001770511884121"/>
    <n v="1.4427218794307919"/>
    <n v="-0.85038983161962334"/>
    <n v="1.9959569435160465"/>
    <n v="-1.0406558604664531"/>
    <n v="0.98927711245337113"/>
    <n v="4.7115831498236158"/>
    <n v="0.8894144954754396"/>
    <x v="5"/>
    <n v="41.830190201725372"/>
  </r>
  <r>
    <s v="Республика Татарстан (Татарстан)"/>
    <n v="0.1034728595627871"/>
    <n v="-0.7528264228241871"/>
    <n v="0.37413565356254047"/>
    <n v="1.8398848923283353"/>
    <n v="-0.47871413215303749"/>
    <n v="-7.3787039388826331E-2"/>
    <n v="0.4115495525368546"/>
    <n v="-1.7504793312292279"/>
    <n v="-0.5195330814863881"/>
    <x v="2"/>
    <n v="7.8406854533706394"/>
  </r>
  <r>
    <s v="Республика Тыва"/>
    <n v="-0.87996373767756064"/>
    <n v="1.4626505747330574"/>
    <n v="-0.44785375095149893"/>
    <n v="-1.2979753609136195"/>
    <n v="8.7492122364067851E-2"/>
    <n v="-0.93762469475581911"/>
    <n v="-0.6767836931150063"/>
    <n v="-1.0324723888900229"/>
    <n v="1.5084975217162433"/>
    <x v="0"/>
    <n v="9.4853910169769833"/>
  </r>
  <r>
    <s v="Республика Хакасия"/>
    <n v="-0.62712172995129067"/>
    <n v="-0.7528264228241871"/>
    <n v="-0.68075074889714338"/>
    <n v="1.5494304531056342"/>
    <n v="-0.9702454382446809"/>
    <n v="0.20942178064336017"/>
    <n v="-0.501787378285522"/>
    <n v="-1.2970012623834142"/>
    <n v="-5.2933559245782809E-2"/>
    <x v="2"/>
    <n v="6.7462241001822152"/>
  </r>
  <r>
    <s v="Ростовская область"/>
    <n v="-0.13348575081085159"/>
    <n v="-0.27120098857261227"/>
    <n v="0.77143053241099313"/>
    <n v="4.9542775152348686E-2"/>
    <n v="-1.1139238200253156"/>
    <n v="-0.47170050696093091"/>
    <n v="-7.5084035276642661E-2"/>
    <n v="-0.31446544655081815"/>
    <n v="-0.99833128404700944"/>
    <x v="2"/>
    <n v="3.2534471019997731"/>
  </r>
  <r>
    <s v="Рязанская область"/>
    <n v="-0.42259693359431116"/>
    <n v="-0.36752607542292731"/>
    <n v="-0.98214686388562433"/>
    <n v="0.40189734076677108"/>
    <n v="0.64708160929917025"/>
    <n v="-0.26919097435727057"/>
    <n v="-4.6317517770426073E-2"/>
    <n v="2.5643105083542034E-2"/>
    <n v="1.1394874420357646"/>
    <x v="0"/>
    <n v="3.2322104207714348"/>
  </r>
  <r>
    <s v="Самарская область"/>
    <n v="-0.30603530892775704"/>
    <n v="-0.80098896624934468"/>
    <n v="3.1640068348357392E-2"/>
    <n v="0.78282119548506601"/>
    <n v="3.4557981708044444E-2"/>
    <n v="0.46826855164052011"/>
    <n v="0.11429553830594988"/>
    <n v="-0.65457399818517836"/>
    <n v="-0.11697663092586573"/>
    <x v="1"/>
    <n v="2.0247348643042469"/>
  </r>
  <r>
    <s v="Санкт-Петербург"/>
    <n v="0.91694459851789123"/>
    <n v="-0.99363913994997455"/>
    <n v="0.29193671311113684"/>
    <n v="-0.24091166407035158"/>
    <n v="3.8826809568985876"/>
    <n v="1.4254940616417822"/>
    <n v="5.3641849831904773"/>
    <n v="-4.9936573057426895E-2"/>
    <n v="-0.87329481076684701"/>
    <x v="3"/>
    <n v="48.618234366105121"/>
  </r>
  <r>
    <s v="Саратовская область"/>
    <n v="-0.69594978514602635"/>
    <n v="-0.46385116227324219"/>
    <n v="1.1687254112594454"/>
    <n v="-0.76468196430800706"/>
    <n v="3.9284244266618348E-2"/>
    <n v="-0.54986208094830902"/>
    <n v="-0.29323012636545176"/>
    <n v="-0.69236383725566286"/>
    <n v="0.31607652043469625"/>
    <x v="2"/>
    <n v="3.619309114478741"/>
  </r>
  <r>
    <s v="Сахалинская область"/>
    <n v="1.5783359344745727"/>
    <n v="-0.41568861884808483"/>
    <n v="-0.55745233822003737"/>
    <n v="-1.8550764984391259"/>
    <n v="2.1367995677615377"/>
    <n v="-0.76506018075771254"/>
    <n v="-0.6504143854009744"/>
    <n v="2.2552436102421254"/>
    <n v="-0.22371508372600421"/>
    <x v="5"/>
    <n v="17.126443800269627"/>
  </r>
  <r>
    <s v="Свердловская область"/>
    <n v="0.14053412005226015"/>
    <n v="-0.60833879254871481"/>
    <n v="-0.61225163185430675"/>
    <n v="-0.38851965777369063"/>
    <n v="-0.46831635452417586"/>
    <n v="0.39924274604127735"/>
    <n v="-0.41788503555905698"/>
    <n v="-0.73015367632614725"/>
    <n v="-1.0410266651670645"/>
    <x v="1"/>
    <n v="3.0858293003703725"/>
  </r>
  <r>
    <s v="Севастополь"/>
    <n v="-0.41997054505568709"/>
    <n v="-0.17487590172229742"/>
    <n v="0.44263477060537709"/>
    <n v="1.5637150976575709"/>
    <n v="-0.30195191246238817"/>
    <n v="-1.5187610727788545"/>
    <n v="2.1782931693769902"/>
    <n v="0.66807036928177799"/>
    <n v="-0.2481124443660358"/>
    <x v="2"/>
    <n v="10.498736375252765"/>
  </r>
  <r>
    <s v="Смоленская область"/>
    <n v="-0.30465958159800155"/>
    <n v="-0.31936353199776979"/>
    <n v="-0.58485198503717195"/>
    <n v="-0.80753589796381486"/>
    <n v="0.35405333066761319"/>
    <n v="-0.89093076743868416"/>
    <n v="7.8337391423179137E-2"/>
    <n v="0.32796181764741777"/>
    <n v="0.23068575819458512"/>
    <x v="0"/>
    <n v="2.2749996102208141"/>
  </r>
  <r>
    <s v="Ставропольский край"/>
    <n v="-0.71337566465626223"/>
    <n v="6.5936815403490043E-2"/>
    <n v="0.19603794925116566"/>
    <n v="-2.8342548714172704E-3"/>
    <n v="-0.52219574769191379"/>
    <n v="1.6048016427834707E-2"/>
    <n v="-5.5906356939164938E-2"/>
    <n v="-1.0702622279605074"/>
    <n v="-0.42499330900626564"/>
    <x v="1"/>
    <n v="2.1538434208806709"/>
  </r>
  <r>
    <s v="Тамбовская область"/>
    <n v="-0.45077849950081711"/>
    <n v="-0.27120098857261227"/>
    <n v="1.1002262942166088"/>
    <n v="0.24000470251149547"/>
    <n v="-0.40025817368071687"/>
    <n v="-0.89346848087983277"/>
    <n v="-1.2756580679840056E-2"/>
    <n v="-0.50341464190324048"/>
    <n v="0.40146728267480697"/>
    <x v="2"/>
    <n v="2.9181089305436538"/>
  </r>
  <r>
    <s v="Тверская область"/>
    <n v="-0.36552509376294046"/>
    <n v="-0.22303844514745472"/>
    <n v="-0.35195498709152728"/>
    <n v="-0.74563577157209204"/>
    <n v="-0.10722989504916051"/>
    <n v="5.5636346109753633E-2"/>
    <n v="-0.1110421821594134"/>
    <n v="-0.42783496376227154"/>
    <n v="0.5996958378750642"/>
    <x v="0"/>
    <n v="1.4328016327722652"/>
  </r>
  <r>
    <s v="Томская область"/>
    <n v="-0.35193457529323491"/>
    <n v="0.1622619022538051"/>
    <n v="-0.3656548105000948"/>
    <n v="-1.3884447764092147"/>
    <n v="1.2841818021948774"/>
    <n v="-0.34735254834464818"/>
    <n v="-0.66719485394626743"/>
    <n v="-0.27667560748033371"/>
    <n v="-1.8735865970081449"/>
    <x v="1"/>
    <n v="8.0134710031153062"/>
  </r>
  <r>
    <s v="Тульская область"/>
    <n v="-0.31962582739746254"/>
    <n v="-0.46385116227324219"/>
    <n v="-0.31085551686582569"/>
    <n v="0.12572754609600739"/>
    <n v="-0.79442847106574688"/>
    <n v="-0.38643333533833729"/>
    <n v="0.29408627271980353"/>
    <n v="0.74365004742274687"/>
    <n v="0.52345408587496522"/>
    <x v="0"/>
    <n v="2.1237107656488412"/>
  </r>
  <r>
    <s v="Тюменская область без автономных округов"/>
    <n v="-0.27897933810923287"/>
    <n v="-0.27120098857261227"/>
    <n v="0.27823688970256932"/>
    <n v="0.61616700904581201"/>
    <n v="0.89284726234499234"/>
    <n v="-0.60822949009472749"/>
    <n v="-0.50658179786989144"/>
    <n v="2.1040842539601878"/>
    <n v="2.3380077834773192"/>
    <x v="5"/>
    <n v="11.925652404917113"/>
  </r>
  <r>
    <s v="Удмуртская Республика"/>
    <n v="-0.4628682245198803"/>
    <n v="-0.56017624912355723"/>
    <n v="-0.10535816573731585"/>
    <n v="2.5735034232455253E-2"/>
    <n v="0.34460080555046607"/>
    <n v="0.2789551289308328"/>
    <n v="-8.2275664653196814E-2"/>
    <n v="-1.4481606186653522"/>
    <n v="-0.30605617588611117"/>
    <x v="1"/>
    <n v="2.9339815828150182"/>
  </r>
  <r>
    <s v="Ульяновская область"/>
    <n v="-0.59443778369285771"/>
    <n v="-0.41568861884808483"/>
    <n v="-0.99584668729419168"/>
    <n v="-0.12187295947088443"/>
    <n v="-0.58363716095336915"/>
    <n v="-0.61127474622410538"/>
    <n v="-9.9056133198489812E-2"/>
    <n v="0.4791211739293556"/>
    <n v="-0.38839726804621805"/>
    <x v="0"/>
    <n v="2.6372277550410113"/>
  </r>
  <r>
    <s v="Хабаровский край"/>
    <n v="0.33559557992880051"/>
    <n v="-0.7528264228241871"/>
    <n v="-0.25605622323155613"/>
    <n v="-0.3028117904620744"/>
    <n v="0.44101656174536574"/>
    <n v="-0.59300320944783569"/>
    <n v="-0.69835858124466876"/>
    <n v="-0.91910287167856963"/>
    <n v="8.7351264434399473E-2"/>
    <x v="1"/>
    <n v="2.722865240341751"/>
  </r>
  <r>
    <s v="Ханты-Мансийский автономный округ — Югра"/>
    <n v="0.94183275657437648"/>
    <n v="-0.89731405309965961"/>
    <n v="-0.61225163185430675"/>
    <n v="0.79234429185302424"/>
    <n v="0.7463331230292134"/>
    <n v="0.1815069327907253"/>
    <n v="-0.70075579103685348"/>
    <n v="-1.5237402968063209"/>
    <n v="-0.81230140916676785"/>
    <x v="1"/>
    <n v="6.7575176360860167"/>
  </r>
  <r>
    <s v="Челябинская область"/>
    <n v="-0.43101805240069313"/>
    <n v="-0.60833879254871481"/>
    <n v="0.16863830243403063"/>
    <n v="0.597120816309897"/>
    <n v="-0.67816241212483908"/>
    <n v="0.48806271648147931"/>
    <n v="-0.13261707028907585"/>
    <n v="-0.35225528562130259"/>
    <n v="0.24288443851460109"/>
    <x v="1"/>
    <n v="1.8396181908243614"/>
  </r>
  <r>
    <s v="Чеченская Республика"/>
    <n v="-0.58872643083902443"/>
    <n v="3.3891523117393567"/>
    <n v="0.12753883220832904"/>
    <n v="2.6350634390527752"/>
    <n v="-1.6073456311403886"/>
    <n v="-2.1054804203724169"/>
    <n v="0.83345847596136458"/>
    <n v="-0.65457399818517836"/>
    <n v="-2.7335935595692606"/>
    <x v="4"/>
    <n v="34.405039361778599"/>
  </r>
  <r>
    <s v="Чувашская Республика — Чувашия"/>
    <n v="-0.6633909050084803"/>
    <n v="-0.60833879254871481"/>
    <n v="0.27823688970256932"/>
    <n v="2.5735034232455253E-2"/>
    <n v="0.40793272383535112"/>
    <n v="9.4717133103442139E-2"/>
    <n v="0.40196071336811573"/>
    <n v="0.40354149578838666"/>
    <n v="-0.76655635796670851"/>
    <x v="2"/>
    <n v="1.9756488844786884"/>
  </r>
  <r>
    <s v="Чукотский автономный округ"/>
    <n v="4.4584419436711249"/>
    <n v="-0.94547659652481719"/>
    <n v="-2.2425306174738182"/>
    <n v="-2.3550390577568878"/>
    <n v="2.4657474418382521"/>
    <n v="2.1111842334401407"/>
    <n v="-0.72640593581322987"/>
    <n v="-0.16330609026888029"/>
    <n v="-2.2395470066086198"/>
    <x v="6"/>
    <n v="47.45369766550143"/>
  </r>
  <r>
    <s v="Ямало-Ненецкий автономный округ"/>
    <n v="3.7356848310659574"/>
    <n v="-1.0418016833751322"/>
    <n v="1.1276259410337433"/>
    <n v="6.8588967888263033E-2"/>
    <n v="1.8456617941534088"/>
    <n v="2.9729917180542151"/>
    <n v="-0.72065263231198662"/>
    <n v="-0.84352319353760064"/>
    <n v="-1.4832288267676386"/>
    <x v="6"/>
    <n v="31.992923175012884"/>
  </r>
  <r>
    <s v="Ярославская область"/>
    <n v="-0.13998918909696834"/>
    <n v="6.5936815403490043E-2"/>
    <n v="-0.76294968934854723"/>
    <n v="-0.66945100062843343"/>
    <n v="0.48638868230767102"/>
    <n v="0.4022880021706558"/>
    <n v="-4.1523098186056644E-2"/>
    <n v="0.36575165671790222"/>
    <n v="0.5905468276350524"/>
    <x v="0"/>
    <n v="1.9368550920811685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Алтайский край"/>
    <n v="-0.56742350158129584"/>
    <n v="-0.12671335829713987"/>
    <n v="-1.0232463341113265"/>
    <n v="-0.9170515061953245"/>
    <n v="-0.43239675907901698"/>
    <n v="1.0067713438522587"/>
    <n v="-0.25008035010612689"/>
    <n v="-0.73015367632614725"/>
    <n v="0.16359301643449839"/>
    <x v="0"/>
    <n v="4.0490249742571454"/>
  </r>
  <r>
    <s v="Амурская область"/>
    <n v="0.16729826992204833"/>
    <n v="-0.60833879254871481"/>
    <n v="-0.66705092548857581"/>
    <n v="-0.7694435124919855"/>
    <n v="0.62250504399458761"/>
    <n v="0.21652737827857621"/>
    <n v="-0.64082554623223553"/>
    <n v="-8.7726412127911366E-2"/>
    <n v="1.5938882839563544"/>
    <x v="1"/>
    <n v="4.828294854914617"/>
  </r>
  <r>
    <s v="Архангельская область без автономного округа"/>
    <n v="0.24638174702950655"/>
    <n v="0.88470005363116744"/>
    <n v="-0.98214686388562433"/>
    <n v="-0.70754338610026268"/>
    <n v="1.1357771578556701"/>
    <n v="1.4412278849769034"/>
    <n v="-0.65760601477752856"/>
    <n v="-0.42783496376227154"/>
    <n v="-0.62932120436653038"/>
    <x v="2"/>
    <n v="6.6872894295149843"/>
  </r>
  <r>
    <s v="Астраханская область"/>
    <n v="-0.56066993105340535"/>
    <n v="0.35491207595443525"/>
    <n v="-0.10535816573731585"/>
    <n v="-0.22186547133443657"/>
    <n v="1.0412519066842001"/>
    <n v="-0.71582853999942886"/>
    <n v="-0.52575947620736918"/>
    <n v="0.89480940370468476"/>
    <n v="-0.16272168212592508"/>
    <x v="1"/>
    <n v="3.2008392571689703"/>
  </r>
  <r>
    <s v="Белгородская область"/>
    <n v="-0.11610156000757796"/>
    <n v="-3.0388271446824808E-2"/>
    <n v="0.92212858990523339"/>
    <n v="0.77805964730108756"/>
    <n v="-0.53353877783248993"/>
    <n v="-0.39049367684417485"/>
    <n v="1.0252352593361418"/>
    <n v="-0.16330609026888029"/>
    <n v="-0.82754975956678767"/>
    <x v="3"/>
    <n v="3.669864730126899"/>
  </r>
  <r>
    <s v="Брянская область"/>
    <n v="-0.37999107507885399"/>
    <n v="-0.51201370569839966"/>
    <n v="0.71663123877672352"/>
    <n v="0.45903591897451612"/>
    <n v="-0.93810685284638151"/>
    <n v="-1.9479971748246068E-2"/>
    <n v="6.3954132670070843E-2"/>
    <n v="0.78143988649323137"/>
    <n v="-1.3978380645275277"/>
    <x v="3"/>
    <n v="4.5799391778488872"/>
  </r>
  <r>
    <s v="Владимирская область"/>
    <n v="-0.47495794953894349"/>
    <n v="-0.80098896624934468"/>
    <n v="0.15493847902546359"/>
    <n v="-0.19329618223056472"/>
    <n v="-1.1659127081696239"/>
    <n v="0.87379515953607056"/>
    <n v="0.21497834957770792"/>
    <n v="-0.69236383725566286"/>
    <n v="1.1791331530758156"/>
    <x v="0"/>
    <n v="4.9673465147402123"/>
  </r>
  <r>
    <s v="Волгоградская область"/>
    <n v="-0.60310903474101341"/>
    <n v="-0.36752607542292731"/>
    <n v="-9.459401877344193E-3"/>
    <n v="-0.38375810958971218"/>
    <n v="-0.42388948647358438"/>
    <n v="-0.97772056712596733"/>
    <n v="-0.36274921033880853"/>
    <n v="-0.46562480283275604"/>
    <n v="-4.3784549005771022E-2"/>
    <x v="0"/>
    <n v="2.1321060283318332"/>
  </r>
  <r>
    <s v="Вологодская область"/>
    <n v="-0.30574348797902101"/>
    <n v="-0.27120098857261227"/>
    <n v="-0.9684470404770571"/>
    <n v="0.39237424439881424"/>
    <n v="-1.3133720999971172"/>
    <n v="1.1336570159096901"/>
    <n v="-0.46343202161056657"/>
    <n v="-0.99468254981953852"/>
    <n v="0.43196398347484655"/>
    <x v="0"/>
    <n v="5.6597562738817606"/>
  </r>
  <r>
    <s v="Воронежская область"/>
    <n v="-0.2065660541157405"/>
    <n v="-0.22303844514745472"/>
    <n v="0.37413565356254047"/>
    <n v="0.24952779887945364"/>
    <n v="0.5459395905456973"/>
    <n v="-1.2817386373755726"/>
    <n v="0.29888069230417297"/>
    <n v="0.21459230043596436"/>
    <n v="0.35572223147474757"/>
    <x v="3"/>
    <n v="2.4974790930776249"/>
  </r>
  <r>
    <s v="г. Москва"/>
    <n v="2.7956878664803124"/>
    <n v="-0.89731405309965961"/>
    <n v="2.1277130498591585"/>
    <n v="2.358893644382011"/>
    <n v="2.356098150479347"/>
    <n v="-0.75896966849895553"/>
    <n v="5.316240787346783"/>
    <n v="-0.76794351539663175"/>
    <n v="-1.1813114888472469"/>
    <x v="4"/>
    <n v="55.087468842687592"/>
  </r>
  <r>
    <s v="Еврейская автономная область"/>
    <n v="-0.27360149491109781"/>
    <n v="1.7774271978332722E-2"/>
    <n v="-1.6671380343139905"/>
    <n v="-1.8026994684153606"/>
    <n v="-1.443816946613746"/>
    <n v="-0.68436089332918626"/>
    <n v="-0.55932041329795523"/>
    <n v="-0.46562480283275604"/>
    <n v="1.4688518106761914"/>
    <x v="1"/>
    <n v="11.344376932762204"/>
  </r>
  <r>
    <s v="Забайкальский край"/>
    <n v="-0.3036590526309067"/>
    <n v="1.5589756615833725"/>
    <n v="-1.8452357386253659"/>
    <n v="-0.9027668616433886"/>
    <n v="0.17918161600039362"/>
    <n v="-0.17580311972300125"/>
    <n v="-0.64561996581660497"/>
    <n v="-0.65457399818517836"/>
    <n v="-6.8181909645802591E-2"/>
    <x v="1"/>
    <n v="7.6554506918167258"/>
  </r>
  <r>
    <s v="Ивановская область"/>
    <n v="-0.37244541911868007"/>
    <n v="-0.27120098857261227"/>
    <n v="-1.3383422725083747"/>
    <n v="-0.73135112702015614"/>
    <n v="-0.2509082768297945"/>
    <n v="-0.32958855425660777"/>
    <n v="8.0734601215363855E-2"/>
    <n v="0.78143988649323137"/>
    <n v="0.47160969451489787"/>
    <x v="1"/>
    <n v="3.5494657302768338"/>
  </r>
  <r>
    <s v="Иркутская область"/>
    <n v="-0.31512344704553558"/>
    <n v="1.7774271978332722E-2"/>
    <n v="-0.24235639982298909"/>
    <n v="-0.43137359142949905"/>
    <n v="-8.0762824721148818E-2"/>
    <n v="0.61900873004474877"/>
    <n v="-0.6504143854009744"/>
    <n v="0.40354149578838666"/>
    <n v="-5.9032899405790804E-2"/>
    <x v="0"/>
    <n v="1.3235024480406261"/>
  </r>
  <r>
    <s v="Кабардино-Балкарская Республика"/>
    <n v="-0.46249302615721971"/>
    <n v="2.6185516169368372"/>
    <n v="1.5660202901078981"/>
    <n v="0.73044416546130075"/>
    <n v="-0.42767049652044375"/>
    <n v="-1.9983889131559451"/>
    <n v="0.86701941305195063"/>
    <n v="2.0662944148897031"/>
    <n v="-0.90989085172689455"/>
    <x v="5"/>
    <n v="20.082337533180937"/>
  </r>
  <r>
    <s v="Калининградская область"/>
    <n v="-0.27093341766551149"/>
    <n v="-0.31936353199776979"/>
    <n v="0.18233812584259815"/>
    <n v="9.2396708808156466E-2"/>
    <n v="-1.6485653924549259E-2"/>
    <n v="-0.31486981629794586"/>
    <n v="0.51462957360079742"/>
    <n v="0.29017197857693328"/>
    <n v="-0.11087729076585773"/>
    <x v="0"/>
    <n v="0.67793425309656608"/>
  </r>
  <r>
    <s v="Калужская область"/>
    <n v="0.73810004564968046"/>
    <n v="-0.60833879254871481"/>
    <n v="-1.3246424490998074"/>
    <n v="1.3446838811945516"/>
    <n v="-0.9286543277292344"/>
    <n v="1.0128618561110159"/>
    <n v="0.14545926560435118"/>
    <n v="0.59249069114080899"/>
    <n v="0.23373542827458932"/>
    <x v="0"/>
    <n v="6.7928439896535355"/>
  </r>
  <r>
    <s v="Камчатский край"/>
    <n v="1.5429839109705534"/>
    <n v="-0.7528264228241871"/>
    <n v="0.37413565356254047"/>
    <n v="-1.7550839865755739"/>
    <n v="1.2000543286522698"/>
    <n v="0.1535920849380904"/>
    <n v="-0.71897458545745729"/>
    <n v="2.0662944148897031"/>
    <n v="0.90466284587545942"/>
    <x v="6"/>
    <n v="13.236477108135198"/>
  </r>
  <r>
    <s v="Карачаево-Черкесская Республика"/>
    <n v="-1.0181618012575417"/>
    <n v="1.79978837870916"/>
    <n v="2.3332104009876682"/>
    <n v="1.5922843867614427"/>
    <n v="-0.54299130294963704"/>
    <n v="0.29671912301887315"/>
    <n v="0.14545926560435118"/>
    <n v="-1.5993199749472899"/>
    <n v="-0.37619858772620207"/>
    <x v="3"/>
    <n v="15.358521955944628"/>
  </r>
  <r>
    <s v="Кемеровская область — Кузбасс"/>
    <n v="-0.44331622095456774"/>
    <n v="-0.12671335829713987"/>
    <n v="-0.31085551686582569"/>
    <n v="-0.55041229602896624"/>
    <n v="-0.62239251393367145"/>
    <n v="-0.31791507242732436"/>
    <n v="-0.29083291657326704"/>
    <n v="-0.35225528562130259"/>
    <n v="-8.0380589965818164E-2"/>
    <x v="0"/>
    <n v="1.3157414404492302"/>
  </r>
  <r>
    <s v="Кировская область"/>
    <n v="-0.49046614852891424"/>
    <n v="-0.22303844514745472"/>
    <n v="-0.87254827661708567"/>
    <n v="-1.0122824698748982"/>
    <n v="0.36917737085504809"/>
    <n v="0.13227529203244229"/>
    <n v="-0.45144597264964303"/>
    <n v="-0.31446544655081815"/>
    <n v="1.185232493235824"/>
    <x v="1"/>
    <n v="3.937616215061758"/>
  </r>
  <r>
    <s v="Костромская область"/>
    <n v="-0.2657223292952256"/>
    <n v="-0.27120098857261227"/>
    <n v="-0.11905798914588288"/>
    <n v="-1.1360827226583445"/>
    <n v="-0.9759169533149693"/>
    <n v="-0.11236028369428558"/>
    <n v="-0.39631014742939458"/>
    <n v="1.9529248976782498"/>
    <n v="1.2157291940358637"/>
    <x v="1"/>
    <n v="7.8630306852687335"/>
  </r>
  <r>
    <s v="Краснодарский край"/>
    <n v="0.19114421030447643"/>
    <n v="-0.80098896624934468"/>
    <n v="0.47003441742251212"/>
    <n v="0.66378249088559882"/>
    <n v="-0.44657554675473737"/>
    <n v="-0.80921639463369821"/>
    <n v="0.42353560149777819"/>
    <n v="-0.20109592933936477"/>
    <n v="0.15444400619448617"/>
    <x v="3"/>
    <n v="2.4375948038397319"/>
  </r>
  <r>
    <s v="Красноярский край"/>
    <n v="1.4092271835644004E-2"/>
    <n v="-0.80098896624934468"/>
    <n v="-9.1658342328748324E-2"/>
    <n v="0.26857399161536866"/>
    <n v="-3.8226461693987059E-2"/>
    <n v="4.8820772867810966E-3"/>
    <n v="-0.70075579103685348"/>
    <n v="2.5643105083542034E-2"/>
    <n v="0.10564928491442305"/>
    <x v="0"/>
    <n v="1.2266782728345682"/>
  </r>
  <r>
    <s v="Курганская область"/>
    <n v="-0.63491751815323827"/>
    <n v="0.49939970622990759"/>
    <n v="-1.1328449213798648"/>
    <n v="-0.53612765147702957"/>
    <n v="-1.763312295573314"/>
    <n v="1.5315704834817954"/>
    <n v="-0.40110456701376401"/>
    <n v="-0.65457399818517836"/>
    <n v="0.21543740779456533"/>
    <x v="0"/>
    <n v="8.3140344630641678"/>
  </r>
  <r>
    <s v="Курская область"/>
    <n v="-0.26359620524014898"/>
    <n v="-0.60833879254871481"/>
    <n v="2.3195105775791007"/>
    <n v="6.3827419704284613E-2"/>
    <n v="0.302064442523305"/>
    <n v="-1.2568690456523162"/>
    <n v="0.19100625165586077"/>
    <n v="0.59249069114080899"/>
    <n v="-9.5628940365837939E-2"/>
    <x v="3"/>
    <n v="7.8913985317955877"/>
  </r>
  <r>
    <s v="Ленинградская область"/>
    <n v="-0.16896284043575774"/>
    <n v="-0.41568861884808483"/>
    <n v="0.33303618333683888"/>
    <n v="2.7636252400201995"/>
    <n v="-1.3180983625556904"/>
    <n v="-0.7599847538754152"/>
    <n v="-0.19734173467806315"/>
    <n v="-0.80573335446711625"/>
    <n v="-0.29690716564609937"/>
    <x v="3"/>
    <n v="11.04114701922987"/>
  </r>
  <r>
    <s v="Липецкая область"/>
    <n v="-0.19109954383273209"/>
    <n v="-0.36752607542292731"/>
    <n v="1.0180273537652051"/>
    <n v="-6.4734381263140059E-2"/>
    <n v="-0.95512139805724605"/>
    <n v="-0.99700718927869658"/>
    <n v="0.62969564362566377"/>
    <n v="0.5547008520703246"/>
    <n v="0.19408971723453797"/>
    <x v="3"/>
    <n v="3.8603253626256659"/>
  </r>
  <r>
    <s v="Магаданская область"/>
    <n v="2.5478068148825543"/>
    <n v="-0.12671335829713987"/>
    <n v="1.3057236453451186"/>
    <n v="-0.99323627713898388"/>
    <n v="1.1745325108359725"/>
    <n v="-0.64121976482965959"/>
    <n v="-0.71609793370683561"/>
    <n v="0.4791211739293556"/>
    <n v="0.96565624747553858"/>
    <x v="6"/>
    <n v="12.664343125445225"/>
  </r>
  <r>
    <s v="Московская область"/>
    <n v="0.61816163571918104"/>
    <n v="-0.51201370569839966"/>
    <n v="1.6893187007850037"/>
    <n v="1.5446689049216558"/>
    <n v="-0.53164827280906024"/>
    <n v="-0.72141150956995603"/>
    <n v="1.3057088050217536"/>
    <n v="0.25238213950644883"/>
    <n v="-1.6662090315678759"/>
    <x v="3"/>
    <n v="11.231990758204233"/>
  </r>
  <r>
    <s v="Мурманская область"/>
    <n v="1.0732355609195048"/>
    <n v="-0.12671335829713987"/>
    <n v="0.5385335344653488"/>
    <n v="-1.2551214272578117"/>
    <n v="0.59131171110800262"/>
    <n v="0.40381063023534536"/>
    <n v="-0.67198927353063687"/>
    <n v="0.78143988649323137"/>
    <n v="-0.13832432148589352"/>
    <x v="6"/>
    <n v="4.6273030719404336"/>
  </r>
  <r>
    <s v="Ненецкий автономный округ"/>
    <n v="3.2584742024686593"/>
    <n v="1.2700004010324273"/>
    <n v="-1.3109426256912402"/>
    <n v="1.3970609112183168"/>
    <n v="0.23495151419156121"/>
    <n v="2.3070957110968155"/>
    <n v="-0.72496760993791909"/>
    <n v="-0.12551625119839582"/>
    <n v="-2.0443681214883664"/>
    <x v="2"/>
    <n v="25.999571119398791"/>
  </r>
  <r>
    <s v="Нижегородская область"/>
    <n v="2.3305476074309404E-2"/>
    <n v="-0.84915150967450226"/>
    <n v="3.1640068348357392E-2"/>
    <n v="-0.69325874154832678"/>
    <n v="2.4193963097450047E-3"/>
    <n v="0.86009150695386827"/>
    <n v="2.5598775995115394E-2"/>
    <n v="0.17680246136547989"/>
    <n v="1.5694909233163223"/>
    <x v="1"/>
    <n v="4.4381896281181366"/>
  </r>
  <r>
    <s v="Новгородская область"/>
    <n v="-0.46436901797052266"/>
    <n v="-0.65650133597387228"/>
    <n v="-1.3794417427340768"/>
    <n v="-0.33138107956594626"/>
    <n v="-0.42010847642672566"/>
    <n v="-0.24279875456932523"/>
    <n v="-0.24768314031394217"/>
    <n v="-0.23888576840984924"/>
    <n v="0.49600705515492943"/>
    <x v="1"/>
    <n v="3.2591842447719088"/>
  </r>
  <r>
    <s v="Новосибирская область"/>
    <n v="-4.4175140556113766E-3"/>
    <n v="-0.12671335829713987"/>
    <n v="0.18233812584259815"/>
    <n v="-0.57898158513283804"/>
    <n v="0.80966504131409844"/>
    <n v="-0.16615980864663657"/>
    <n v="-0.45863760202619719"/>
    <n v="-0.46562480283275604"/>
    <n v="-0.1596720120459213"/>
    <x v="0"/>
    <n v="1.5203592772319192"/>
  </r>
  <r>
    <s v="Омская область"/>
    <n v="-0.38511878603521527"/>
    <n v="-3.0388271446824808E-2"/>
    <n v="-1.4342410363683462"/>
    <n v="-9.8065218550990998E-2"/>
    <n v="0.19052464614097045"/>
    <n v="-0.20422551026386598"/>
    <n v="-0.48980132932459847"/>
    <n v="0.93259924277516926"/>
    <n v="1.5328948823562751"/>
    <x v="1"/>
    <n v="5.7533251739078661"/>
  </r>
  <r>
    <s v="Оренбургская область"/>
    <n v="-0.55387467181855266"/>
    <n v="-0.51201370569839966"/>
    <n v="0.71663123877672352"/>
    <n v="0.35904340711096261"/>
    <n v="-0.27359433711094749"/>
    <n v="0.46420821013468255"/>
    <n v="-0.33398269283259197"/>
    <n v="0.29017197857693328"/>
    <n v="-0.83059942964679179"/>
    <x v="0"/>
    <n v="2.3873904399337911"/>
  </r>
  <r>
    <s v="Орловская область"/>
    <n v="-0.26313762946356384"/>
    <n v="-0.17487590172229742"/>
    <n v="8.6439361982626972E-2"/>
    <n v="-0.35042727230186127"/>
    <n v="-0.37946261842299361"/>
    <n v="1.5381685384287815"/>
    <n v="0.25093649646047866"/>
    <n v="-4.9936573057426895E-2"/>
    <n v="-0.17187069236593686"/>
    <x v="0"/>
    <n v="2.8350506823872705"/>
  </r>
  <r>
    <s v="Пензенская область"/>
    <n v="-0.56750687899522045"/>
    <n v="-0.36752607542292731"/>
    <n v="-0.26975604664012365"/>
    <n v="-8.8542122183033492E-2"/>
    <n v="-0.28304686222809461"/>
    <n v="-0.40419732942637765"/>
    <n v="-6.0700776523534367E-2"/>
    <n v="0.59249069114080899"/>
    <n v="0.75522901195526582"/>
    <x v="1"/>
    <n v="1.7063391771128447"/>
  </r>
  <r>
    <s v="Пермский край"/>
    <n v="-0.18355388787255814"/>
    <n v="-0.41568861884808483"/>
    <n v="-0.58485198503717195"/>
    <n v="0.39713579258279269"/>
    <n v="-6.4693532021998762E-2"/>
    <n v="0.39772011797658841"/>
    <n v="-0.37713246909191683"/>
    <n v="-0.46562480283275604"/>
    <n v="-0.55917879252643954"/>
    <x v="0"/>
    <n v="1.5403405633417719"/>
  </r>
  <r>
    <s v="Приморский край"/>
    <n v="0.18559961227849228"/>
    <n v="-0.51201370569839966"/>
    <n v="-1.7219373279482599"/>
    <n v="-0.70754338610026268"/>
    <n v="0.30395494754673402"/>
    <n v="0.22820086010786025"/>
    <n v="-0.50418458807770672"/>
    <n v="-0.50341464190324048"/>
    <n v="0.81012307339533696"/>
    <x v="1"/>
    <n v="5.0706830927740167"/>
  </r>
  <r>
    <s v="Псковская область"/>
    <n v="-0.4228887545430472"/>
    <n v="-0.36752607542292731"/>
    <n v="0.18233812584259815"/>
    <n v="-0.77896660885994307"/>
    <n v="-1.4958058347580543"/>
    <n v="-0.44683091523767449"/>
    <n v="2.0804356410745965E-2"/>
    <n v="1.7261858632553431"/>
    <n v="0.51735474571495721"/>
    <x v="1"/>
    <n v="6.6388458354597226"/>
  </r>
  <r>
    <s v="Республика Адыгея (Адыгея)"/>
    <n v="-0.30674401694611592"/>
    <n v="0.1622619022538051"/>
    <n v="1.908515875322081"/>
    <n v="1.5922843867614427"/>
    <n v="-1.2746167470168142"/>
    <n v="-1.128460745530196"/>
    <n v="0.65846216113188027"/>
    <n v="-0.73015367632614725"/>
    <n v="-0.38534759796621387"/>
    <x v="3"/>
    <n v="10.311484317467611"/>
  </r>
  <r>
    <s v="Республика Алтай"/>
    <n v="-0.63470907461842685"/>
    <n v="2.5222265300865225"/>
    <n v="-0.83144880639138385"/>
    <n v="0.4780821117104298"/>
    <n v="-0.43334201159073149"/>
    <n v="0.39568994722366962"/>
    <n v="-0.6096618189338342"/>
    <n v="-0.91910287167856963"/>
    <n v="1.7951665092366154"/>
    <x v="1"/>
    <n v="12.467768153084085"/>
  </r>
  <r>
    <s v="Республика Башкортостан"/>
    <n v="-0.41771935487972361"/>
    <n v="-0.65650133597387228"/>
    <n v="-0.11905798914588288"/>
    <n v="0.56378997902204664"/>
    <n v="-0.56284160569564579"/>
    <n v="0.91033823308861106"/>
    <n v="4.9570873916962549E-2"/>
    <n v="-1.2146733986942432E-2"/>
    <n v="-0.35790056724617852"/>
    <x v="0"/>
    <n v="2.2137214112492778"/>
  </r>
  <r>
    <s v="Республика Бурятия"/>
    <n v="-0.48483817308900551"/>
    <n v="0.98102514048148248"/>
    <n v="-0.95474721706848986"/>
    <n v="-7.5958030553956862E-3"/>
    <n v="-0.61483049383995403"/>
    <n v="-0.61228983160056505"/>
    <n v="-0.66479764415408271"/>
    <n v="1.083758599057107"/>
    <n v="0.29472882987466847"/>
    <x v="1"/>
    <n v="4.5653473909643409"/>
  </r>
  <r>
    <s v="Республика Дагестан"/>
    <n v="-0.431726760419052"/>
    <n v="3.9671028328412472"/>
    <n v="-0.20125692959728703"/>
    <n v="1.5494304531056342"/>
    <n v="-0.96457392317439317"/>
    <n v="-0.24635155338693296"/>
    <n v="0.41394676232903932"/>
    <n v="-4.9936573057426895E-2"/>
    <n v="-1.4771294866076305"/>
    <x v="5"/>
    <n v="21.712381007422362"/>
  </r>
  <r>
    <s v="Республика Калмыкия"/>
    <n v="-0.89242866105928442"/>
    <n v="1.3663254878827424"/>
    <n v="1.908515875322081"/>
    <n v="0.4780821117104298"/>
    <n v="-0.17528807589261877"/>
    <n v="-0.88788551130930571"/>
    <n v="-0.60726460914164948"/>
    <n v="-0.27667560748033371"/>
    <n v="3.0546802522782492"/>
    <x v="1"/>
    <n v="17.129727337504395"/>
  </r>
  <r>
    <s v="Республика Карелия"/>
    <n v="0.12615151615027118"/>
    <n v="0.78837496678085239"/>
    <n v="-1.3657419193255096"/>
    <n v="-0.24567321225433"/>
    <n v="0.90513554499728299"/>
    <n v="3.363799587991104"/>
    <n v="-0.61445623851820363"/>
    <n v="-0.27667560748033371"/>
    <n v="0.2733811393146407"/>
    <x v="2"/>
    <n v="15.22631674184418"/>
  </r>
  <r>
    <s v="Республика Коми"/>
    <n v="0.25471948842196396"/>
    <n v="0.49939970622990759"/>
    <n v="-0.32455534027439276"/>
    <n v="-1.2503598790738326"/>
    <n v="0.32191474526931307"/>
    <n v="1.5539023617639025"/>
    <n v="-0.68876974207592989"/>
    <n v="-8.7726412127911366E-2"/>
    <n v="0.56005012683501276"/>
    <x v="1"/>
    <n v="5.2970155591319523"/>
  </r>
  <r>
    <s v="Республика Крым"/>
    <n v="-0.71566854353918807"/>
    <n v="-3.0388271446824808E-2"/>
    <n v="0.82622982604526229"/>
    <n v="-0.3075733386460528"/>
    <n v="-0.33503575037240285"/>
    <n v="-1.3126987413575861"/>
    <n v="0.49784910505550439"/>
    <n v="0.74365004742274687"/>
    <n v="-0.77265569812671653"/>
    <x v="3"/>
    <n v="4.5236548872191866"/>
  </r>
  <r>
    <s v="Республика Марий Эл"/>
    <n v="-0.79329291590296624"/>
    <n v="-0.12671335829713987"/>
    <n v="0.82622982604526229"/>
    <n v="5.9065871520306193E-2"/>
    <n v="-1.2642189693879524"/>
    <n v="0.65250654746791081"/>
    <n v="-0.18775289550932431"/>
    <n v="-0.61678415911469386"/>
    <n v="-5.2933559245782809E-2"/>
    <x v="0"/>
    <n v="3.774004635668216"/>
  </r>
  <r>
    <s v="Республика Мордовия"/>
    <n v="-0.80855098265116321"/>
    <n v="-0.56017624912355723"/>
    <n v="1.524920819882196"/>
    <n v="0.46855901534247296"/>
    <n v="0.39848019871820395"/>
    <n v="-0.92493612755007593"/>
    <n v="1.6266780732682388E-3"/>
    <n v="-0.46562480283275604"/>
    <n v="-0.80010272884675226"/>
    <x v="3"/>
    <n v="5.3837499680176437"/>
  </r>
  <r>
    <s v="Республика Саха (Якутия)"/>
    <n v="0.79162834538925686"/>
    <n v="0.98102514048148248"/>
    <n v="0.6481321217338869"/>
    <n v="-0.36471191685379717"/>
    <n v="0.94010988793072725"/>
    <n v="1.3006385603372703"/>
    <n v="-0.71969374839511269"/>
    <n v="-0.99468254981953852"/>
    <n v="-0.60797351380650311"/>
    <x v="2"/>
    <n v="6.5946273189049505"/>
  </r>
  <r>
    <s v="Республика Северная Осетия — Алания"/>
    <n v="-0.61557395812273719"/>
    <n v="3.1001770511884121"/>
    <n v="1.4427218794307919"/>
    <n v="-0.85038983161962334"/>
    <n v="1.9959569435160465"/>
    <n v="-1.0406558604664531"/>
    <n v="0.98927711245337113"/>
    <n v="4.7115831498236158"/>
    <n v="0.8894144954754396"/>
    <x v="6"/>
    <n v="41.830190201725372"/>
  </r>
  <r>
    <s v="Республика Татарстан (Татарстан)"/>
    <n v="0.1034728595627871"/>
    <n v="-0.7528264228241871"/>
    <n v="0.37413565356254047"/>
    <n v="1.8398848923283353"/>
    <n v="-0.47871413215303749"/>
    <n v="-7.3787039388826331E-2"/>
    <n v="0.4115495525368546"/>
    <n v="-1.7504793312292279"/>
    <n v="-0.5195330814863881"/>
    <x v="3"/>
    <n v="7.8406854533706394"/>
  </r>
  <r>
    <s v="Республика Тыва"/>
    <n v="-0.87996373767756064"/>
    <n v="1.4626505747330574"/>
    <n v="-0.44785375095149893"/>
    <n v="-1.2979753609136195"/>
    <n v="8.7492122364067851E-2"/>
    <n v="-0.93762469475581911"/>
    <n v="-0.6767836931150063"/>
    <n v="-1.0324723888900229"/>
    <n v="1.5084975217162433"/>
    <x v="1"/>
    <n v="9.4853910169769833"/>
  </r>
  <r>
    <s v="Республика Хакасия"/>
    <n v="-0.62712172995129067"/>
    <n v="-0.7528264228241871"/>
    <n v="-0.68075074889714338"/>
    <n v="1.5494304531056342"/>
    <n v="-0.9702454382446809"/>
    <n v="0.20942178064336017"/>
    <n v="-0.501787378285522"/>
    <n v="-1.2970012623834142"/>
    <n v="-5.2933559245782809E-2"/>
    <x v="0"/>
    <n v="6.7462241001822152"/>
  </r>
  <r>
    <s v="Ростовская область"/>
    <n v="-0.13348575081085159"/>
    <n v="-0.27120098857261227"/>
    <n v="0.77143053241099313"/>
    <n v="4.9542775152348686E-2"/>
    <n v="-1.1139238200253156"/>
    <n v="-0.47170050696093091"/>
    <n v="-7.5084035276642661E-2"/>
    <n v="-0.31446544655081815"/>
    <n v="-0.99833128404700944"/>
    <x v="3"/>
    <n v="3.2534471019997731"/>
  </r>
  <r>
    <s v="Рязанская область"/>
    <n v="-0.42259693359431116"/>
    <n v="-0.36752607542292731"/>
    <n v="-0.98214686388562433"/>
    <n v="0.40189734076677108"/>
    <n v="0.64708160929917025"/>
    <n v="-0.26919097435727057"/>
    <n v="-4.6317517770426073E-2"/>
    <n v="2.5643105083542034E-2"/>
    <n v="1.1394874420357646"/>
    <x v="1"/>
    <n v="3.2322104207714348"/>
  </r>
  <r>
    <s v="Самарская область"/>
    <n v="-0.30603530892775704"/>
    <n v="-0.80098896624934468"/>
    <n v="3.1640068348357392E-2"/>
    <n v="0.78282119548506601"/>
    <n v="3.4557981708044444E-2"/>
    <n v="0.46826855164052011"/>
    <n v="0.11429553830594988"/>
    <n v="-0.65457399818517836"/>
    <n v="-0.11697663092586573"/>
    <x v="0"/>
    <n v="2.0247348643042469"/>
  </r>
  <r>
    <s v="Санкт-Петербург"/>
    <n v="0.91694459851789123"/>
    <n v="-0.99363913994997455"/>
    <n v="0.29193671311113684"/>
    <n v="-0.24091166407035158"/>
    <n v="3.8826809568985876"/>
    <n v="1.4254940616417822"/>
    <n v="5.3641849831904773"/>
    <n v="-4.9936573057426895E-2"/>
    <n v="-0.87329481076684701"/>
    <x v="4"/>
    <n v="48.618234366105121"/>
  </r>
  <r>
    <s v="Саратовская область"/>
    <n v="-0.69594978514602635"/>
    <n v="-0.46385116227324219"/>
    <n v="1.1687254112594454"/>
    <n v="-0.76468196430800706"/>
    <n v="3.9284244266618348E-2"/>
    <n v="-0.54986208094830902"/>
    <n v="-0.29323012636545176"/>
    <n v="-0.69236383725566286"/>
    <n v="0.31607652043469625"/>
    <x v="0"/>
    <n v="3.619309114478741"/>
  </r>
  <r>
    <s v="Сахалинская область"/>
    <n v="1.5783359344745727"/>
    <n v="-0.41568861884808483"/>
    <n v="-0.55745233822003737"/>
    <n v="-1.8550764984391259"/>
    <n v="2.1367995677615377"/>
    <n v="-0.76506018075771254"/>
    <n v="-0.6504143854009744"/>
    <n v="2.2552436102421254"/>
    <n v="-0.22371508372600421"/>
    <x v="6"/>
    <n v="17.126443800269627"/>
  </r>
  <r>
    <s v="Свердловская область"/>
    <n v="0.14053412005226015"/>
    <n v="-0.60833879254871481"/>
    <n v="-0.61225163185430675"/>
    <n v="-0.38851965777369063"/>
    <n v="-0.46831635452417586"/>
    <n v="0.39924274604127735"/>
    <n v="-0.41788503555905698"/>
    <n v="-0.73015367632614725"/>
    <n v="-1.0410266651670645"/>
    <x v="0"/>
    <n v="3.0858293003703725"/>
  </r>
  <r>
    <s v="Севастополь"/>
    <n v="-0.41997054505568709"/>
    <n v="-0.17487590172229742"/>
    <n v="0.44263477060537709"/>
    <n v="1.5637150976575709"/>
    <n v="-0.30195191246238817"/>
    <n v="-1.5187610727788545"/>
    <n v="2.1782931693769902"/>
    <n v="0.66807036928177799"/>
    <n v="-0.2481124443660358"/>
    <x v="3"/>
    <n v="10.498736375252765"/>
  </r>
  <r>
    <s v="Смоленская область"/>
    <n v="-0.30465958159800155"/>
    <n v="-0.31936353199776979"/>
    <n v="-0.58485198503717195"/>
    <n v="-0.80753589796381486"/>
    <n v="0.35405333066761319"/>
    <n v="-0.89093076743868416"/>
    <n v="7.8337391423179137E-2"/>
    <n v="0.32796181764741777"/>
    <n v="0.23068575819458512"/>
    <x v="1"/>
    <n v="2.2749996102208141"/>
  </r>
  <r>
    <s v="Ставропольский край"/>
    <n v="-0.71337566465626223"/>
    <n v="6.5936815403490043E-2"/>
    <n v="0.19603794925116566"/>
    <n v="-2.8342548714172704E-3"/>
    <n v="-0.52219574769191379"/>
    <n v="1.6048016427834707E-2"/>
    <n v="-5.5906356939164938E-2"/>
    <n v="-1.0702622279605074"/>
    <n v="-0.42499330900626564"/>
    <x v="0"/>
    <n v="2.1538434208806709"/>
  </r>
  <r>
    <s v="Тамбовская область"/>
    <n v="-0.45077849950081711"/>
    <n v="-0.27120098857261227"/>
    <n v="1.1002262942166088"/>
    <n v="0.24000470251149547"/>
    <n v="-0.40025817368071687"/>
    <n v="-0.89346848087983277"/>
    <n v="-1.2756580679840056E-2"/>
    <n v="-0.50341464190324048"/>
    <n v="0.40146728267480697"/>
    <x v="3"/>
    <n v="2.9181089305436538"/>
  </r>
  <r>
    <s v="Тверская область"/>
    <n v="-0.36552509376294046"/>
    <n v="-0.22303844514745472"/>
    <n v="-0.35195498709152728"/>
    <n v="-0.74563577157209204"/>
    <n v="-0.10722989504916051"/>
    <n v="5.5636346109753633E-2"/>
    <n v="-0.1110421821594134"/>
    <n v="-0.42783496376227154"/>
    <n v="0.5996958378750642"/>
    <x v="1"/>
    <n v="1.4328016327722652"/>
  </r>
  <r>
    <s v="Томская область"/>
    <n v="-0.35193457529323491"/>
    <n v="0.1622619022538051"/>
    <n v="-0.3656548105000948"/>
    <n v="-1.3884447764092147"/>
    <n v="1.2841818021948774"/>
    <n v="-0.34735254834464818"/>
    <n v="-0.66719485394626743"/>
    <n v="-0.27667560748033371"/>
    <n v="-1.8735865970081449"/>
    <x v="0"/>
    <n v="8.0134710031153062"/>
  </r>
  <r>
    <s v="Тульская область"/>
    <n v="-0.31962582739746254"/>
    <n v="-0.46385116227324219"/>
    <n v="-0.31085551686582569"/>
    <n v="0.12572754609600739"/>
    <n v="-0.79442847106574688"/>
    <n v="-0.38643333533833729"/>
    <n v="0.29408627271980353"/>
    <n v="0.74365004742274687"/>
    <n v="0.52345408587496522"/>
    <x v="1"/>
    <n v="2.1237107656488412"/>
  </r>
  <r>
    <s v="Тюменская область без автономных округов"/>
    <n v="-0.27897933810923287"/>
    <n v="-0.27120098857261227"/>
    <n v="0.27823688970256932"/>
    <n v="0.61616700904581201"/>
    <n v="0.89284726234499234"/>
    <n v="-0.60822949009472749"/>
    <n v="-0.50658179786989144"/>
    <n v="2.1040842539601878"/>
    <n v="2.3380077834773192"/>
    <x v="6"/>
    <n v="11.925652404917113"/>
  </r>
  <r>
    <s v="Удмуртская Республика"/>
    <n v="-0.4628682245198803"/>
    <n v="-0.56017624912355723"/>
    <n v="-0.10535816573731585"/>
    <n v="2.5735034232455253E-2"/>
    <n v="0.34460080555046607"/>
    <n v="0.2789551289308328"/>
    <n v="-8.2275664653196814E-2"/>
    <n v="-1.4481606186653522"/>
    <n v="-0.30605617588611117"/>
    <x v="0"/>
    <n v="2.9339815828150182"/>
  </r>
  <r>
    <s v="Ульяновская область"/>
    <n v="-0.59443778369285771"/>
    <n v="-0.41568861884808483"/>
    <n v="-0.99584668729419168"/>
    <n v="-0.12187295947088443"/>
    <n v="-0.58363716095336915"/>
    <n v="-0.61127474622410538"/>
    <n v="-9.9056133198489812E-2"/>
    <n v="0.4791211739293556"/>
    <n v="-0.38839726804621805"/>
    <x v="0"/>
    <n v="2.6372277550410113"/>
  </r>
  <r>
    <s v="Хабаровский край"/>
    <n v="0.33559557992880051"/>
    <n v="-0.7528264228241871"/>
    <n v="-0.25605622323155613"/>
    <n v="-0.3028117904620744"/>
    <n v="0.44101656174536574"/>
    <n v="-0.59300320944783569"/>
    <n v="-0.69835858124466876"/>
    <n v="-0.91910287167856963"/>
    <n v="8.7351264434399473E-2"/>
    <x v="0"/>
    <n v="2.722865240341751"/>
  </r>
  <r>
    <s v="Ханты-Мансийский автономный округ — Югра"/>
    <n v="0.94183275657437648"/>
    <n v="-0.89731405309965961"/>
    <n v="-0.61225163185430675"/>
    <n v="0.79234429185302424"/>
    <n v="0.7463331230292134"/>
    <n v="0.1815069327907253"/>
    <n v="-0.70075579103685348"/>
    <n v="-1.5237402968063209"/>
    <n v="-0.81230140916676785"/>
    <x v="0"/>
    <n v="6.7575176360860167"/>
  </r>
  <r>
    <s v="Челябинская область"/>
    <n v="-0.43101805240069313"/>
    <n v="-0.60833879254871481"/>
    <n v="0.16863830243403063"/>
    <n v="0.597120816309897"/>
    <n v="-0.67816241212483908"/>
    <n v="0.48806271648147931"/>
    <n v="-0.13261707028907585"/>
    <n v="-0.35225528562130259"/>
    <n v="0.24288443851460109"/>
    <x v="0"/>
    <n v="1.8396181908243614"/>
  </r>
  <r>
    <s v="Чеченская Республика"/>
    <n v="-0.58872643083902443"/>
    <n v="3.3891523117393567"/>
    <n v="0.12753883220832904"/>
    <n v="2.6350634390527752"/>
    <n v="-1.6073456311403886"/>
    <n v="-2.1054804203724169"/>
    <n v="0.83345847596136458"/>
    <n v="-0.65457399818517836"/>
    <n v="-2.7335935595692606"/>
    <x v="5"/>
    <n v="34.405039361778599"/>
  </r>
  <r>
    <s v="Чувашская Республика — Чувашия"/>
    <n v="-0.6633909050084803"/>
    <n v="-0.60833879254871481"/>
    <n v="0.27823688970256932"/>
    <n v="2.5735034232455253E-2"/>
    <n v="0.40793272383535112"/>
    <n v="9.4717133103442139E-2"/>
    <n v="0.40196071336811573"/>
    <n v="0.40354149578838666"/>
    <n v="-0.76655635796670851"/>
    <x v="0"/>
    <n v="1.9756488844786884"/>
  </r>
  <r>
    <s v="Чукотский автономный округ"/>
    <n v="4.4584419436711249"/>
    <n v="-0.94547659652481719"/>
    <n v="-2.2425306174738182"/>
    <n v="-2.3550390577568878"/>
    <n v="2.4657474418382521"/>
    <n v="2.1111842334401407"/>
    <n v="-0.72640593581322987"/>
    <n v="-0.16330609026888029"/>
    <n v="-2.2395470066086198"/>
    <x v="2"/>
    <n v="47.45369766550143"/>
  </r>
  <r>
    <s v="Ямало-Ненецкий автономный округ"/>
    <n v="3.7356848310659574"/>
    <n v="-1.0418016833751322"/>
    <n v="1.1276259410337433"/>
    <n v="6.8588967888263033E-2"/>
    <n v="1.8456617941534088"/>
    <n v="2.9729917180542151"/>
    <n v="-0.72065263231198662"/>
    <n v="-0.84352319353760064"/>
    <n v="-1.4832288267676386"/>
    <x v="2"/>
    <n v="31.992923175012884"/>
  </r>
  <r>
    <s v="Ярославская область"/>
    <n v="-0.13998918909696834"/>
    <n v="6.5936815403490043E-2"/>
    <n v="-0.76294968934854723"/>
    <n v="-0.66945100062843343"/>
    <n v="0.48638868230767102"/>
    <n v="0.4022880021706558"/>
    <n v="-4.1523098186056644E-2"/>
    <n v="0.36575165671790222"/>
    <n v="0.5905468276350524"/>
    <x v="1"/>
    <n v="1.936855092081168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235D6D-5250-4DAD-B082-D386A769D4BD}" name="Сводная таблица3" cacheId="2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2">
  <location ref="A50:G60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5"/>
        <item x="1"/>
        <item x="0"/>
        <item x="4"/>
        <item x="2"/>
        <item x="3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BC4C77-9D54-4221-8A08-9DCCDD0C30D4}" name="Сводная таблица2" cacheId="1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5">
  <location ref="A26:G36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4"/>
        <item x="5"/>
        <item x="2"/>
        <item x="3"/>
        <item x="1"/>
        <item x="0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18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3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3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4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4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4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4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4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4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E85B46-5E67-4E2C-BBA8-CA7C5BFF2FEF}" name="Сводная таблица1" cacheId="0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4">
  <location ref="A1:G11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5"/>
        <item x="2"/>
        <item x="1"/>
        <item x="4"/>
        <item x="3"/>
        <item x="0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18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3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3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3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01F1E8-18B2-4904-B0F1-77DD55E894D0}" name="Сводная таблица5" cacheId="4" dataOnRows="1" applyNumberFormats="0" applyBorderFormats="0" applyFontFormats="0" applyPatternFormats="0" applyAlignmentFormats="0" applyWidthHeightFormats="1" dataCaption="Значения" updatedVersion="8" minRefreshableVersion="3" useAutoFormatting="1" colGrandTotals="0" itemPrintTitles="1" createdVersion="8" indent="0" outline="1" outlineData="1" multipleFieldFilters="0" chartFormat="7" colHeaderCaption="K-Means">
  <location ref="A23:H33" firstHeaderRow="1" firstDataRow="2" firstDataCol="1"/>
  <pivotFields count="12"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Col" numFmtId="1" showAll="0">
      <items count="8">
        <item x="3"/>
        <item x="1"/>
        <item x="0"/>
        <item x="2"/>
        <item x="6"/>
        <item x="4"/>
        <item x="5"/>
        <item t="default"/>
      </items>
    </pivotField>
    <pivotField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9">
    <dataField name="Среднее по полю X1" fld="1" subtotal="average" baseField="10" baseItem="6"/>
    <dataField name="Среднее по полю X2" fld="2" subtotal="average" baseField="10" baseItem="6"/>
    <dataField name="Среднее по полю X3" fld="3" subtotal="average" baseField="10" baseItem="6"/>
    <dataField name="Среднее по полю X4" fld="4" subtotal="average" baseField="10" baseItem="6"/>
    <dataField name="Среднее по полю X5" fld="5" subtotal="average" baseField="10" baseItem="6"/>
    <dataField name="Среднее по полю X6" fld="6" subtotal="average" baseField="10" baseItem="6"/>
    <dataField name="Среднее по полю X7" fld="7" subtotal="average" baseField="10" baseItem="6"/>
    <dataField name="Среднее по полю X8" fld="8" subtotal="average" baseField="10" baseItem="6"/>
    <dataField name="Среднее по полю X9" fld="9" subtotal="average" baseField="10" baseItem="6"/>
  </dataFields>
  <chartFormats count="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322C80-2910-4DF9-89C6-ED6C49B5845D}" name="Сводная таблица4" cacheId="3" dataOnRows="1" applyNumberFormats="0" applyBorderFormats="0" applyFontFormats="0" applyPatternFormats="0" applyAlignmentFormats="0" applyWidthHeightFormats="1" dataCaption="Значения" updatedVersion="8" minRefreshableVersion="3" useAutoFormatting="1" colGrandTotals="0" itemPrintTitles="1" createdVersion="8" indent="0" outline="1" outlineData="1" multipleFieldFilters="0" chartFormat="8" colHeaderCaption="Ward">
  <location ref="A2:H12" firstHeaderRow="1" firstDataRow="2" firstDataCol="1"/>
  <pivotFields count="12"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Col" showAll="0">
      <items count="8">
        <item x="4"/>
        <item x="3"/>
        <item x="6"/>
        <item x="0"/>
        <item x="1"/>
        <item x="5"/>
        <item x="2"/>
        <item t="default"/>
      </items>
    </pivotField>
    <pivotField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5"/>
    <dataField name="Среднее по полю X7" fld="7" subtotal="average" baseField="10" baseItem="5"/>
    <dataField name="Среднее по полю X8" fld="8" subtotal="average" baseField="10" baseItem="5"/>
    <dataField name="Среднее по полю X9" fld="9" subtotal="average" baseField="10" baseItem="5"/>
  </dataFields>
  <chartFormats count="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F2D57B-C28D-43FB-BC88-CE9A937B7EA3}" name="Таблица3" displayName="Таблица3" ref="A1:L86" totalsRowCount="1" headerRowDxfId="441" dataDxfId="440">
  <autoFilter ref="A1:L85" xr:uid="{48F2D57B-C28D-43FB-BC88-CE9A937B7EA3}"/>
  <sortState xmlns:xlrd2="http://schemas.microsoft.com/office/spreadsheetml/2017/richdata2" ref="A2:L85">
    <sortCondition ref="A1:A85"/>
  </sortState>
  <tableColumns count="12">
    <tableColumn id="1" xr3:uid="{06DD982F-AA81-4F74-B2B7-75B4AC9E328E}" name="Наименование" dataDxfId="439" totalsRowDxfId="438"/>
    <tableColumn id="2" xr3:uid="{1F11E389-970F-484F-B16D-EC731AE9CE58}" name="X1" totalsRowFunction="average" dataDxfId="437" totalsRowDxfId="436"/>
    <tableColumn id="3" xr3:uid="{C1279DCC-09E9-4A9F-ADB1-3A97CD2DCE70}" name="X2" totalsRowFunction="average" dataDxfId="435" totalsRowDxfId="434"/>
    <tableColumn id="4" xr3:uid="{76A3DE7A-BC95-4D9B-8773-CFCD4E748CFB}" name="X3" totalsRowFunction="average" dataDxfId="433" totalsRowDxfId="432"/>
    <tableColumn id="5" xr3:uid="{30562905-6499-40C0-AD8A-6B326C1B99DF}" name="X4" totalsRowFunction="average" dataDxfId="431" totalsRowDxfId="430"/>
    <tableColumn id="6" xr3:uid="{F68AAA36-156B-4E7F-873C-B7B26FC94728}" name="X5" totalsRowFunction="average" dataDxfId="429" totalsRowDxfId="428"/>
    <tableColumn id="7" xr3:uid="{0706F1B7-3438-4D5E-868D-19A3F180BDFC}" name="X6" totalsRowFunction="average" dataDxfId="427" totalsRowDxfId="426"/>
    <tableColumn id="8" xr3:uid="{5F82475A-43FB-443A-BCAB-541847ADC80C}" name="X7" totalsRowFunction="average" dataDxfId="425" totalsRowDxfId="424"/>
    <tableColumn id="9" xr3:uid="{BA27192C-A8C2-4DBB-BDFA-168597ACF508}" name="X8" totalsRowFunction="average" dataDxfId="423" totalsRowDxfId="422"/>
    <tableColumn id="10" xr3:uid="{02FC9E86-C3BD-4C17-964A-86FF6A3CFC72}" name="X9" totalsRowFunction="average" dataDxfId="421" totalsRowDxfId="420"/>
    <tableColumn id="12" xr3:uid="{C64269AA-8197-4320-BA9B-B2D0D618F80D}" name="Clasters" dataDxfId="419" totalsRowDxfId="418"/>
    <tableColumn id="11" xr3:uid="{65933531-BE06-49FC-8A7D-0A2441568D86}" name="MSW" dataDxfId="417" totalsRowDxfId="416">
      <calculatedColumnFormula>SUMXMY2(Таблица3[[#This Row],[X1]:[X9]],Таблица3[[#Totals],[X1]:[X9]])</calculatedColumnFormula>
    </tableColumn>
  </tableColumns>
  <tableStyleInfo name="TableStyleMedium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D99FAF2-C61E-47B7-BFD4-7722FF2BE7A8}" name="Таблица114" displayName="Таблица114" ref="A1:K53" totalsRowShown="0" headerRowDxfId="198" dataDxfId="196" headerRowBorderDxfId="197" tableBorderDxfId="195" totalsRowBorderDxfId="194">
  <autoFilter ref="A1:K53" xr:uid="{B0C1F970-AC77-401D-B102-EA2C6AB6972A}"/>
  <sortState xmlns:xlrd2="http://schemas.microsoft.com/office/spreadsheetml/2017/richdata2" ref="A2:J53">
    <sortCondition ref="A1:A53"/>
  </sortState>
  <tableColumns count="11">
    <tableColumn id="1" xr3:uid="{AF6EE997-96A3-4C89-B17E-75DE78D6EFB8}" name="Наименование" dataDxfId="193" totalsRowDxfId="192"/>
    <tableColumn id="6" xr3:uid="{7F5CCE6D-F555-448D-A84B-323A4F6035F0}" name="X1" dataDxfId="191" totalsRowDxfId="190"/>
    <tableColumn id="7" xr3:uid="{1DDEB585-3A9B-4133-9C3D-6CE5896885EC}" name="X2" dataDxfId="189" totalsRowDxfId="188"/>
    <tableColumn id="8" xr3:uid="{82C72313-9D7A-4FE9-B2B4-E8E6466FE514}" name="X3" dataDxfId="187" totalsRowDxfId="186"/>
    <tableColumn id="9" xr3:uid="{AE09FEC8-AACF-46F6-8609-B25C0ECFFD91}" name="X4" dataDxfId="185" totalsRowDxfId="184"/>
    <tableColumn id="10" xr3:uid="{CBA51D29-F7FC-4A46-9B97-9F1C38624B17}" name="X5" dataDxfId="183" totalsRowDxfId="182"/>
    <tableColumn id="11" xr3:uid="{C446D0EA-D006-4577-A672-ED593F0E8464}" name="X6" dataDxfId="181" totalsRowDxfId="180"/>
    <tableColumn id="12" xr3:uid="{8E7F2748-28EE-4A91-B336-B4162597E61D}" name="X7" dataDxfId="179" totalsRowDxfId="178"/>
    <tableColumn id="13" xr3:uid="{F7DE5F6F-A499-4488-8B22-73D7807416F7}" name="X8" dataDxfId="177" totalsRowDxfId="176"/>
    <tableColumn id="14" xr3:uid="{CC87AD5E-E6ED-4324-B7E8-EB218D007D36}" name="X9" dataDxfId="175" totalsRowDxfId="174"/>
    <tableColumn id="2" xr3:uid="{79E8DB68-A80C-4367-AF50-740CB951E1D7}" name="Pred_class" totalsRowDxfId="173"/>
  </tableColumns>
  <tableStyleInfo name="TableStyleLight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F362B8F-9DE0-405F-BB29-B4C843447A4E}" name="Таблица11415" displayName="Таблица11415" ref="A1:B85" totalsRowShown="0" headerRowDxfId="172" dataDxfId="170" headerRowBorderDxfId="171" tableBorderDxfId="169" totalsRowBorderDxfId="168">
  <autoFilter ref="A1:B85" xr:uid="{B0C1F970-AC77-401D-B102-EA2C6AB6972A}"/>
  <sortState xmlns:xlrd2="http://schemas.microsoft.com/office/spreadsheetml/2017/richdata2" ref="A2:B85">
    <sortCondition ref="A1:A85"/>
  </sortState>
  <tableColumns count="2">
    <tableColumn id="1" xr3:uid="{CC2ADED3-1189-48DC-8DBC-4824EEC5D5A3}" name="Наименование" dataDxfId="167" totalsRowDxfId="166"/>
    <tableColumn id="2" xr3:uid="{4799D26E-2DB0-4CE6-86C3-40A36950AD0F}" name="Pred_class" totalsRowDxfId="165"/>
  </tableColumns>
  <tableStyleInfo name="TableStyleLight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0747DD0-8A9A-49F0-A72E-46C3C0F29633}" name="Таблица9" displayName="Таблица9" ref="A1:D85" totalsRowShown="0" headerRowDxfId="164" dataDxfId="163">
  <autoFilter ref="A1:D85" xr:uid="{10747DD0-8A9A-49F0-A72E-46C3C0F29633}"/>
  <sortState xmlns:xlrd2="http://schemas.microsoft.com/office/spreadsheetml/2017/richdata2" ref="A2:D85">
    <sortCondition ref="A1:A85"/>
  </sortState>
  <tableColumns count="4">
    <tableColumn id="1" xr3:uid="{6E688487-4517-4EF6-8BE7-F21E3766277D}" name=" Case" dataDxfId="162"/>
    <tableColumn id="5" xr3:uid="{A44067E6-C0B2-4187-A928-6A820B2838E7}" name="Y" dataDxfId="161"/>
    <tableColumn id="2" xr3:uid="{0E579A62-C2D9-4005-A392-9C3F31C1A317}" name="Factor 1"/>
    <tableColumn id="3" xr3:uid="{E86DD7F1-E7F5-4D08-872D-E8CF0997C89B}" name="Factor 2"/>
  </tableColumns>
  <tableStyleInfo name="TableStyleLight1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2864724-B374-4DE1-979B-C18B80979DEB}" name="Таблица7" displayName="Таблица7" ref="A1:D85" totalsRowShown="0" headerRowDxfId="160" dataDxfId="159">
  <autoFilter ref="A1:D85" xr:uid="{92864724-B374-4DE1-979B-C18B80979DEB}"/>
  <sortState xmlns:xlrd2="http://schemas.microsoft.com/office/spreadsheetml/2017/richdata2" ref="A2:D85">
    <sortCondition ref="A1:A85"/>
  </sortState>
  <tableColumns count="4">
    <tableColumn id="1" xr3:uid="{88148386-24FD-4F6E-AB2A-DB88B4535640}" name=" Case" dataDxfId="158"/>
    <tableColumn id="2" xr3:uid="{B52E26A6-5D34-4CBA-8D53-1BED1495FAFD}" name="Factor 1" dataDxfId="157"/>
    <tableColumn id="3" xr3:uid="{6988B7EB-CC2B-4843-8104-6DDCF787D0BA}" name="Factor 2" dataDxfId="156"/>
    <tableColumn id="5" xr3:uid="{64F07BCC-BACC-4F33-97B6-572D52FAB9F9}" name="Уорд" dataDxfId="155"/>
  </tableColumns>
  <tableStyleInfo name="TableStyleLight1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8CA977-754A-48FD-BDDE-9B4DCDF42546}" name="Таблица5" displayName="Таблица5" ref="A1:L86" totalsRowCount="1" headerRowDxfId="154" dataDxfId="153">
  <autoFilter ref="A1:L85" xr:uid="{388CA977-754A-48FD-BDDE-9B4DCDF42546}"/>
  <sortState xmlns:xlrd2="http://schemas.microsoft.com/office/spreadsheetml/2017/richdata2" ref="A2:L85">
    <sortCondition ref="A1:A85"/>
  </sortState>
  <tableColumns count="12">
    <tableColumn id="1" xr3:uid="{7FE1BA0F-0FE1-4424-AC94-694279CC3C42}" name="Наименование" dataDxfId="152" totalsRowDxfId="151"/>
    <tableColumn id="2" xr3:uid="{2C6A20C3-84F0-4498-AC9B-3C0401E2F93C}" name="X1" totalsRowFunction="average" dataDxfId="150" totalsRowDxfId="149"/>
    <tableColumn id="3" xr3:uid="{BF36148F-F6DB-4A2C-A24E-26FA00A5EBBD}" name="X2" totalsRowFunction="average" dataDxfId="148" totalsRowDxfId="147"/>
    <tableColumn id="4" xr3:uid="{A3937DEE-6840-4C33-AB05-7FB4DA65D2AB}" name="X3" totalsRowFunction="average" dataDxfId="146" totalsRowDxfId="145"/>
    <tableColumn id="5" xr3:uid="{77934BFC-477B-437C-B12E-65BB72285857}" name="X4" totalsRowFunction="average" dataDxfId="144" totalsRowDxfId="143"/>
    <tableColumn id="6" xr3:uid="{BD553B30-3DA1-48CF-983F-F05C2CD39F1C}" name="X5" totalsRowFunction="average" dataDxfId="142" totalsRowDxfId="141"/>
    <tableColumn id="7" xr3:uid="{3BC71B2F-43D1-4D97-BF2A-1444D5C80339}" name="X6" totalsRowFunction="average" dataDxfId="140" totalsRowDxfId="139"/>
    <tableColumn id="8" xr3:uid="{F2010A36-7863-4E3F-9A09-C6D48A7C61FE}" name="X7" totalsRowFunction="average" dataDxfId="138" totalsRowDxfId="137"/>
    <tableColumn id="9" xr3:uid="{DD7AE68B-2F18-4CC5-9858-F5B60BC693E9}" name="X8" totalsRowFunction="average" dataDxfId="136" totalsRowDxfId="135"/>
    <tableColumn id="10" xr3:uid="{E25C69D8-466E-4E66-B2A4-258DDAC60176}" name="X9" totalsRowFunction="average" dataDxfId="134" totalsRowDxfId="133"/>
    <tableColumn id="11" xr3:uid="{F3B7F14F-1043-4A03-9207-FBD717B8ABBE}" name="Clusters" totalsRowDxfId="132"/>
    <tableColumn id="12" xr3:uid="{B4C11EF4-ACF7-46DB-8417-1C816CF9C852}" name="MSW" totalsRowFunction="sum" dataDxfId="131">
      <calculatedColumnFormula>SUMXMY2(Таблица5[[#This Row],[X1]:[X9]],Таблица5[[#Totals],[X1]:[X9]])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877A3DE-D49E-439F-AA68-C0A029FA9CE2}" name="Таблица4" displayName="Таблица4" ref="A1:L86" totalsRowCount="1" headerRowDxfId="415" dataDxfId="414">
  <autoFilter ref="A1:L85" xr:uid="{C877A3DE-D49E-439F-AA68-C0A029FA9CE2}"/>
  <sortState xmlns:xlrd2="http://schemas.microsoft.com/office/spreadsheetml/2017/richdata2" ref="A2:L85">
    <sortCondition ref="A1:A85"/>
  </sortState>
  <tableColumns count="12">
    <tableColumn id="1" xr3:uid="{05FA3CB4-DB40-44DB-91AC-ED0747DCA825}" name="Наименование" dataDxfId="413" totalsRowDxfId="412"/>
    <tableColumn id="2" xr3:uid="{1D1A69DC-3067-494F-B34E-18EEF7FA199F}" name="X1" totalsRowFunction="average" dataDxfId="411" totalsRowDxfId="410"/>
    <tableColumn id="3" xr3:uid="{B4584D12-A0CB-41CA-86A6-4AC0F4D04CBA}" name="X2" totalsRowFunction="average" dataDxfId="409" totalsRowDxfId="408"/>
    <tableColumn id="4" xr3:uid="{9797C87B-5038-4370-B94B-30F131B4F0EF}" name="X3" totalsRowFunction="average" dataDxfId="407" totalsRowDxfId="406"/>
    <tableColumn id="5" xr3:uid="{947210C1-433D-400F-ACB4-7A3BCE41FCC0}" name="X4" totalsRowFunction="average" dataDxfId="405" totalsRowDxfId="404"/>
    <tableColumn id="6" xr3:uid="{5F258688-7AAE-48A0-869B-69E8F3041F44}" name="X5" totalsRowFunction="average" dataDxfId="403" totalsRowDxfId="402"/>
    <tableColumn id="7" xr3:uid="{A8B8ACD6-0F99-49FE-8A35-67720AAFCC02}" name="X6" totalsRowFunction="average" dataDxfId="401" totalsRowDxfId="400"/>
    <tableColumn id="8" xr3:uid="{DA3BD922-427E-47FE-A2D2-C7078CCCFD6C}" name="X7" totalsRowFunction="average" dataDxfId="399" totalsRowDxfId="398"/>
    <tableColumn id="9" xr3:uid="{9F47C996-33AB-4FD1-A1CF-3586138F8E21}" name="X8" totalsRowFunction="average" dataDxfId="397" totalsRowDxfId="396"/>
    <tableColumn id="10" xr3:uid="{B1888F58-D25E-447A-BD2F-FAC2E4F19FFD}" name="X9" totalsRowFunction="average" dataDxfId="395" totalsRowDxfId="394"/>
    <tableColumn id="12" xr3:uid="{4B1E9C56-7809-4D45-BFC2-ED0B7794172A}" name="Cluster" dataDxfId="393" totalsRowDxfId="392"/>
    <tableColumn id="11" xr3:uid="{3CAFD53C-C453-402A-8B28-B0F859C5E7A1}" name="MSW" totalsRowFunction="custom" dataDxfId="391" totalsRowDxfId="390">
      <calculatedColumnFormula>SUMXMY2(Таблица4[[#This Row],[X1]:[X9]],Таблица4[[#Totals],[X1]:[X9]])</calculatedColumnFormula>
      <totalsRowFormula>SUBTOTAL(109,L17:L81)</totalsRowFormula>
    </tableColumn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5460EB-C55A-4D96-AABA-386A9E2E48F0}" name="Таблица2" displayName="Таблица2" ref="A1:L86" totalsRowCount="1" headerRowDxfId="389" dataDxfId="388">
  <autoFilter ref="A1:L85" xr:uid="{445460EB-C55A-4D96-AABA-386A9E2E48F0}"/>
  <sortState xmlns:xlrd2="http://schemas.microsoft.com/office/spreadsheetml/2017/richdata2" ref="A2:L85">
    <sortCondition ref="A1:A85"/>
  </sortState>
  <tableColumns count="12">
    <tableColumn id="1" xr3:uid="{57379397-774C-4644-A474-22650F86D47F}" name="Наименование" totalsRowLabel="Промежуточные итоги" dataDxfId="387" totalsRowDxfId="386"/>
    <tableColumn id="2" xr3:uid="{206700A7-A6D2-424F-9E23-33B1F3077B23}" name="X1" totalsRowFunction="average" dataDxfId="385" totalsRowDxfId="384"/>
    <tableColumn id="3" xr3:uid="{EBE934DE-8D19-4965-8CCF-BB73BDFF0E7A}" name="X2" totalsRowFunction="average" dataDxfId="383" totalsRowDxfId="382"/>
    <tableColumn id="4" xr3:uid="{48C03A81-6B2E-49DB-B240-03F621CE9A84}" name="X3" totalsRowFunction="average" dataDxfId="381" totalsRowDxfId="380"/>
    <tableColumn id="5" xr3:uid="{8A80088F-E4B1-439E-9DA8-218C2D17AA5B}" name="X4" totalsRowFunction="average" dataDxfId="379" totalsRowDxfId="378"/>
    <tableColumn id="6" xr3:uid="{40CBB7C9-8503-4759-A1C9-597E92E33000}" name="X5" totalsRowFunction="average" dataDxfId="377" totalsRowDxfId="376"/>
    <tableColumn id="7" xr3:uid="{9F665D30-18FB-40D4-AD48-3B056ADAED97}" name="X6" totalsRowFunction="average" dataDxfId="375" totalsRowDxfId="374"/>
    <tableColumn id="8" xr3:uid="{CC637F60-93CF-4D8A-9C10-8CC2510CB7F4}" name="X7" totalsRowFunction="average" dataDxfId="373" totalsRowDxfId="372"/>
    <tableColumn id="9" xr3:uid="{00F82E7C-7E08-4AD7-BD5C-F53D4FA4AC08}" name="X8" totalsRowFunction="average" dataDxfId="371" totalsRowDxfId="370"/>
    <tableColumn id="10" xr3:uid="{78DC8980-C0F4-4A0B-8D7E-B7744F084E95}" name="X9" totalsRowFunction="average" dataDxfId="369" totalsRowDxfId="368"/>
    <tableColumn id="17" xr3:uid="{7A47DDB6-7294-4691-9F5B-6B97D4CF465B}" name="Clusters" totalsRowDxfId="367"/>
    <tableColumn id="11" xr3:uid="{278FFE48-0DA7-435C-8DA8-5EE66CA92D82}" name="MSW" totalsRowFunction="custom" dataDxfId="366" totalsRowDxfId="365">
      <calculatedColumnFormula>SUMXMY2(Таблица2[[#This Row],[X1]:[X9]],Таблица2[[#Totals],[X1]:[X9]])</calculatedColumnFormula>
      <totalsRowFormula>SUBTOTAL(109,L17:L81)</totalsRowFormula>
    </tableColumn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E4F0AF-27C2-477E-9CCF-D7A5278A7990}" name="Таблица17" displayName="Таблица17" ref="B1:Z86" totalsRowCount="1" headerRowDxfId="364" dataDxfId="362" headerRowBorderDxfId="363" tableBorderDxfId="361" totalsRowBorderDxfId="360">
  <autoFilter ref="B1:Z85" xr:uid="{B0C1F970-AC77-401D-B102-EA2C6AB6972A}"/>
  <sortState xmlns:xlrd2="http://schemas.microsoft.com/office/spreadsheetml/2017/richdata2" ref="B2:Q67">
    <sortCondition ref="Q1:Q85"/>
  </sortState>
  <tableColumns count="25">
    <tableColumn id="1" xr3:uid="{B9ED6D93-C1D3-48F8-AB63-26D0DCE986EF}" name="Наименование" totalsRowFunction="count" dataDxfId="359" totalsRowDxfId="358"/>
    <tableColumn id="2" xr3:uid="{1CEC6598-F617-4466-AE00-2B08455BBF0F}" name="Полная связь" dataDxfId="357" totalsRowDxfId="356"/>
    <tableColumn id="3" xr3:uid="{96956521-0CB8-4AEC-874A-928A3BD4BCC4}" name="Средняя связь" dataDxfId="355" totalsRowDxfId="354"/>
    <tableColumn id="4" xr3:uid="{F5ED31F5-558C-450A-B345-6351AC431D2B}" name="Уорд" dataDxfId="353" totalsRowDxfId="352"/>
    <tableColumn id="5" xr3:uid="{1D5555BA-5C4B-42EE-BD5B-2EDD49F8DDE8}" name="К-средних" dataDxfId="351" totalsRowDxfId="350"/>
    <tableColumn id="16" xr3:uid="{01A1206A-AEAA-43F6-B72D-F1F508B0D251}" name="Train" totalsRowFunction="countNums" dataDxfId="349" totalsRowDxfId="348"/>
    <tableColumn id="6" xr3:uid="{74E084F5-2DCD-4703-9D1A-B8A53B4ED8A4}" name="X1" totalsRowFunction="average" dataDxfId="347" totalsRowDxfId="346"/>
    <tableColumn id="7" xr3:uid="{00037F07-D582-489C-9B1A-DECCF2C5A2EA}" name="X2" totalsRowFunction="average" dataDxfId="345" totalsRowDxfId="344"/>
    <tableColumn id="8" xr3:uid="{7F8FC7C9-A290-4A57-BECB-3867EAFDD3C6}" name="X3" totalsRowFunction="average" dataDxfId="343" totalsRowDxfId="342"/>
    <tableColumn id="9" xr3:uid="{18227E6D-B2B5-4EF4-A53A-729DADCC0270}" name="X4" totalsRowFunction="average" dataDxfId="341" totalsRowDxfId="340"/>
    <tableColumn id="10" xr3:uid="{35317889-DD27-4C85-9791-4A73E62A3424}" name="X5" totalsRowFunction="average" dataDxfId="339" totalsRowDxfId="338"/>
    <tableColumn id="11" xr3:uid="{51F1B528-1573-47E0-84E5-24EEB18E4DE2}" name="X6" totalsRowFunction="average" dataDxfId="337" totalsRowDxfId="336"/>
    <tableColumn id="12" xr3:uid="{267D548A-D0E4-47F2-A959-667CA73BAB20}" name="X7" totalsRowFunction="average" dataDxfId="335" totalsRowDxfId="334"/>
    <tableColumn id="13" xr3:uid="{96743653-BCE6-4605-B982-BC456F5EA433}" name="X8" totalsRowFunction="average" dataDxfId="333" totalsRowDxfId="332"/>
    <tableColumn id="14" xr3:uid="{5FECF47B-D41D-4D1D-BAFA-D9674D40B58F}" name="X9" totalsRowFunction="average" dataDxfId="331" totalsRowDxfId="330"/>
    <tableColumn id="15" xr3:uid="{5DAFB69A-A819-4C63-9D1A-A728B0257A39}" name="Квадрат расстояния " totalsRowFunction="sum" dataDxfId="329" totalsRowDxfId="328">
      <calculatedColumnFormula>SUMXMY2(Таблица17[[#This Row],[X1]:[X9]],Таблица17[[#Totals],[X1]:[X9]])</calculatedColumnFormula>
    </tableColumn>
    <tableColumn id="25" xr3:uid="{6DBA8533-6A64-4053-BF0B-1D713217F35E}" name="ДА Итог" dataDxfId="327" totalsRowDxfId="326"/>
    <tableColumn id="24" xr3:uid="{C09FB76D-0F2C-414F-984F-A5AC959A32F8}" name="ДА Мах Итог" dataDxfId="325" totalsRowDxfId="324"/>
    <tableColumn id="44" xr3:uid="{3B3E5AE7-396A-4CAF-AFA0-AC5F2331A8A1}" name="ДА Ап Итог" dataDxfId="323" totalsRowDxfId="322"/>
    <tableColumn id="54" xr3:uid="{03EE406B-D434-4411-BC74-BC48F8C352CF}" name="ПДАсВ Итог" dataDxfId="321" totalsRowDxfId="320"/>
    <tableColumn id="64" xr3:uid="{329818C5-C29B-4AFA-8D4E-2A81EF43D712}" name="ПДАсВ Мах Итог" dataDxfId="319" totalsRowDxfId="318"/>
    <tableColumn id="74" xr3:uid="{34A92E9F-C161-4863-B880-4D0F7FBF1F2A}" name="ПДАсВ Ап Итог" dataDxfId="317" totalsRowDxfId="316"/>
    <tableColumn id="84" xr3:uid="{7110C61B-D9B0-4314-9911-96AB302CDFCA}" name="ПДАсИ Итог" dataDxfId="315" totalsRowDxfId="314"/>
    <tableColumn id="94" xr3:uid="{8435E4B6-9E77-4C22-8CDB-100C05C4F8C1}" name="ПДАсИ Мах Итог" dataDxfId="313" totalsRowDxfId="312"/>
    <tableColumn id="104" xr3:uid="{4F16E3CC-41A0-4818-A975-2A1049A2DB4A}" name="ПДАсИ Ап Итог" dataDxfId="311" totalsRowDxfId="310"/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C1F970-AC77-401D-B102-EA2C6AB6972A}" name="Таблица1" displayName="Таблица1" ref="A1:DU86" totalsRowCount="1" headerRowDxfId="309" dataDxfId="307" headerRowBorderDxfId="308" tableBorderDxfId="306" totalsRowBorderDxfId="305">
  <autoFilter ref="A1:DU85" xr:uid="{B0C1F970-AC77-401D-B102-EA2C6AB6972A}"/>
  <sortState xmlns:xlrd2="http://schemas.microsoft.com/office/spreadsheetml/2017/richdata2" ref="A2:DU85">
    <sortCondition ref="A1:A85"/>
  </sortState>
  <tableColumns count="125">
    <tableColumn id="1" xr3:uid="{12357CE2-69F2-4117-B65E-BB13A0545C9B}" name="Наименование" totalsRowFunction="count" dataDxfId="304" totalsRowDxfId="124"/>
    <tableColumn id="6" xr3:uid="{41AD5555-9565-499F-8699-179F4DA35D15}" name="X1" totalsRowFunction="average" dataDxfId="303" totalsRowDxfId="123"/>
    <tableColumn id="7" xr3:uid="{57619165-0863-4162-B033-CF78D316638F}" name="X2" totalsRowFunction="average" dataDxfId="302" totalsRowDxfId="122"/>
    <tableColumn id="8" xr3:uid="{33239BEE-44F3-42C7-8E2C-478D0FD575EC}" name="X3" totalsRowFunction="average" dataDxfId="301" totalsRowDxfId="121"/>
    <tableColumn id="9" xr3:uid="{6512D540-65E8-40D7-B371-A8574374E3E6}" name="X4" totalsRowFunction="average" dataDxfId="300" totalsRowDxfId="120"/>
    <tableColumn id="10" xr3:uid="{68365261-FB55-4457-8867-53943A085C68}" name="X5" totalsRowFunction="average" dataDxfId="299" totalsRowDxfId="119"/>
    <tableColumn id="11" xr3:uid="{D1930A1F-B928-427F-8958-870BC805BA49}" name="X6" totalsRowFunction="average" dataDxfId="298" totalsRowDxfId="118"/>
    <tableColumn id="12" xr3:uid="{45C7C46D-1972-41FD-BF68-E8E6AB00DDA6}" name="X7" totalsRowFunction="average" dataDxfId="297" totalsRowDxfId="117"/>
    <tableColumn id="13" xr3:uid="{28D876D1-E4AA-49CF-89BA-B65422D86B6E}" name="X8" totalsRowFunction="average" dataDxfId="296" totalsRowDxfId="116"/>
    <tableColumn id="14" xr3:uid="{19F71BE6-63B1-48EF-8DA8-F7BDB91B5A72}" name="X9" totalsRowFunction="average" dataDxfId="295" totalsRowDxfId="115"/>
    <tableColumn id="118" xr3:uid="{709EF508-68AA-4C27-ACDB-744A929C330E}" name="ГК1" dataDxfId="294" totalsRowDxfId="114"/>
    <tableColumn id="119" xr3:uid="{856A963A-713A-4739-A50A-25E80A8FBD25}" name="ГК2" dataDxfId="293" totalsRowDxfId="113"/>
    <tableColumn id="120" xr3:uid="{4D78283D-0600-444C-AF6B-021C354F04D6}" name="Ф1" dataDxfId="292" totalsRowDxfId="112"/>
    <tableColumn id="121" xr3:uid="{01181629-7D84-47C5-96DA-1F1D3589D1D1}" name="Ф2" dataDxfId="291" totalsRowDxfId="111"/>
    <tableColumn id="122" xr3:uid="{6B17EA9D-3C0E-4A3F-8A1B-AE908083D02C}" name="Ф3" dataDxfId="290" totalsRowDxfId="110"/>
    <tableColumn id="2" xr3:uid="{2B9E4B21-BB6B-448A-8636-CABDDC847E86}" name="Полная связь" dataDxfId="289" totalsRowDxfId="109"/>
    <tableColumn id="3" xr3:uid="{18BCD00E-4A3B-411D-BA57-A654635E4AB2}" name="Средняя связь" dataDxfId="288" totalsRowDxfId="108"/>
    <tableColumn id="4" xr3:uid="{6B5EE605-99B4-4C6C-8D52-6234E086BB93}" name="Уорд" dataDxfId="287" totalsRowDxfId="107"/>
    <tableColumn id="5" xr3:uid="{CB54E3BD-5904-4833-889A-45D475E258DB}" name="К-средних" dataDxfId="286" totalsRowDxfId="106"/>
    <tableColumn id="110" xr3:uid="{0D42494C-C97E-4AAA-9CE9-F8040C57251F}" name="МГК Уорд" dataDxfId="285" totalsRowDxfId="105"/>
    <tableColumn id="117" xr3:uid="{BD597F84-0599-4EE9-89D0-F4B04C66EACD}" name="МГК Уорд Python" dataDxfId="284" totalsRowDxfId="104" dataCellStyle="Открывавшаяся гиперссылка"/>
    <tableColumn id="111" xr3:uid="{AE66AF42-A6B3-4BC5-BCDD-73C4A9FB4267}" name="МГК К-средних" dataDxfId="283" totalsRowDxfId="103"/>
    <tableColumn id="116" xr3:uid="{65615DFA-1299-44DB-8A8C-0BA8AFD78537}" name="МГК К-средних Python" dataDxfId="282" totalsRowDxfId="102" dataCellStyle="Открывавшаяся гиперссылка"/>
    <tableColumn id="114" xr3:uid="{647197D8-8CDF-4E76-907F-9A27CBDB8FC7}" name="ФА3 Уорд" dataDxfId="281" totalsRowDxfId="101"/>
    <tableColumn id="115" xr3:uid="{4FD8898A-862C-4DBD-A602-555B0F84304A}" name="ФА3 К-средних" dataDxfId="280" totalsRowDxfId="100"/>
    <tableColumn id="112" xr3:uid="{345554E9-7B5E-4B26-816C-703129C05D00}" name="ФА2 Уорд" dataDxfId="279" totalsRowDxfId="99"/>
    <tableColumn id="113" xr3:uid="{E0E23C3E-D285-46B4-A2AC-02B35B761872}" name="ФА2 К-средних" dataDxfId="278" totalsRowDxfId="98" dataCellStyle="Финансовый_Test"/>
    <tableColumn id="123" xr3:uid="{0AF4A8E5-9CCD-42A7-8BCF-F2064339E08B}" name="НС" dataDxfId="277" totalsRowDxfId="97" dataCellStyle="Обычный_ФА_Data"/>
    <tableColumn id="124" xr3:uid="{4A4B8C55-1986-4422-8278-57D2FC6824C6}" name="Точность НС" totalsRowFunction="custom" dataDxfId="130" totalsRowDxfId="96" dataCellStyle="Обычный_ФА_Data">
      <calculatedColumnFormula>IF(Таблица1[[#This Row],[Train]]=Таблица1[[#This Row],[НС]],1,0)</calculatedColumnFormula>
      <totalsRowFormula>SUM(Таблица1[Точность НС])/AE86</totalsRowFormula>
    </tableColumn>
    <tableColumn id="125" xr3:uid="{542E11F4-E752-460F-A799-C9EFC6E62201}" name="Совпадение НС" totalsRowFunction="custom" dataDxfId="125" totalsRowDxfId="95" dataCellStyle="Обычный_ФА_Data">
      <calculatedColumnFormula>IF(Таблица1[[#This Row],[НС]]=Таблица1[[#This Row],[К-средних]],1,0)</calculatedColumnFormula>
      <totalsRowFormula>SUM(Таблица1[Совпадение НС])/Таблица1[[#Totals],[Наименование]]</totalsRowFormula>
    </tableColumn>
    <tableColumn id="16" xr3:uid="{49269DE1-B09C-4FC2-AC36-C0BD3787B902}" name="Train" totalsRowFunction="countNums" dataDxfId="276" totalsRowDxfId="94"/>
    <tableColumn id="15" xr3:uid="{A16FD2B2-BE5B-4CBA-B0E8-EF391092B21E}" name="Квадрат расстояния " totalsRowFunction="sum" dataDxfId="275" totalsRowDxfId="93">
      <calculatedColumnFormula>SUMXMY2(Таблица1[[#This Row],[X1]:[X9]],Таблица1[[#Totals],[X1]:[X9]])</calculatedColumnFormula>
    </tableColumn>
    <tableColumn id="17" xr3:uid="{6E0B6B02-CA05-41EB-BB8C-0794DD794CB9}" name="ДА1" totalsRowDxfId="92"/>
    <tableColumn id="18" xr3:uid="{0DBD36B6-BC91-403F-B78F-0052BA01E6D3}" name="ДА2" totalsRowDxfId="91"/>
    <tableColumn id="19" xr3:uid="{9AB5DF0E-C9ED-4C53-9A1B-B530CEFC565C}" name="ДА3" totalsRowDxfId="90"/>
    <tableColumn id="20" xr3:uid="{96875318-5D79-4E77-AAA8-D607786B865A}" name="ДА4" totalsRowDxfId="89"/>
    <tableColumn id="21" xr3:uid="{18557403-FF22-441E-8403-EDDEB5AB4857}" name="ДА5" totalsRowDxfId="88"/>
    <tableColumn id="22" xr3:uid="{5C6195A3-1159-4F3C-AAEE-EE49A9193554}" name="ДА6" totalsRowDxfId="87"/>
    <tableColumn id="23" xr3:uid="{F887D48E-82A0-41F0-9D25-4BF0CD4E64E6}" name="ДА7" totalsRowDxfId="86"/>
    <tableColumn id="107" xr3:uid="{3416F8FB-5F5C-489C-BE30-EF2FDBC5CAC5}" name="ДА Итог" dataDxfId="274" totalsRowDxfId="85">
      <calculatedColumnFormula>RIGHT(Таблица1[[#This Row],[ДА1]],1)</calculatedColumnFormula>
    </tableColumn>
    <tableColumn id="25" xr3:uid="{5E8A3E9E-E3D5-4208-BEF1-BD9209695D14}" name="ДА Итог Копия" dataDxfId="273" totalsRowDxfId="84"/>
    <tableColumn id="26" xr3:uid="{F11BC528-85D9-4FD5-899E-CB75351AED48}" name="Точность ДА" totalsRowFunction="custom" dataDxfId="272" totalsRowDxfId="83">
      <calculatedColumnFormula>IF(Таблица1[[#This Row],[ДА Итог Копия]]=Таблица1[[#This Row],[Train]],1,0)</calculatedColumnFormula>
      <totalsRowFormula>SUBTOTAL(109,Таблица1[Точность ДА])/Таблица1[[#Totals],[Train]]</totalsRowFormula>
    </tableColumn>
    <tableColumn id="27" xr3:uid="{B6CB44F6-7188-49EC-8AF2-461B3AD0073C}" name="Совпадение ДА" totalsRowFunction="custom" dataDxfId="271" totalsRowDxfId="82">
      <calculatedColumnFormula>IF(Таблица1[[#This Row],[ДА Итог Копия]]=Таблица1[[#This Row],[К-средних]],1,0)</calculatedColumnFormula>
      <totalsRowFormula>SUBTOTAL(109,Таблица1[Совпадение ДА])/Таблица1[[#Totals],[Наименование]]</totalsRowFormula>
    </tableColumn>
    <tableColumn id="28" xr3:uid="{CDD4F559-3603-423B-A4E0-81DE6235612D}" name="1 ДА Мах" totalsRowDxfId="81"/>
    <tableColumn id="29" xr3:uid="{ADD22545-3A7A-4F70-8679-1AF78F801888}" name="2_ДА_Мах" totalsRowDxfId="80"/>
    <tableColumn id="30" xr3:uid="{CDDE9494-3689-4426-A39E-2852CB7543FB}" name="3_ДА_Мах" totalsRowDxfId="79"/>
    <tableColumn id="31" xr3:uid="{ABBB6EF1-0823-458A-A15D-220677401334}" name="4_ДА_Мах" totalsRowDxfId="78"/>
    <tableColumn id="32" xr3:uid="{F188850E-55D5-491C-9E6E-892D08C11E9D}" name="5_ДА_Мах" totalsRowDxfId="77"/>
    <tableColumn id="33" xr3:uid="{F851CE43-E5AC-4426-A80F-76E7E3174A06}" name="6_ДА_Мах" totalsRowDxfId="76"/>
    <tableColumn id="34" xr3:uid="{67FE122E-D84A-481F-A17B-9AFE40FFBA63}" name="7_ДА_Мах" totalsRowDxfId="75"/>
    <tableColumn id="24" xr3:uid="{D4A26CB1-F5C0-4F09-B2E7-84AF60D4EEF1}" name="ДА_Мах_Итог" dataDxfId="270" totalsRowDxfId="74">
      <calculatedColumnFormula>MATCH(MIN(Таблица1[[#This Row],[1 ДА Мах]:[7_ДА_Мах]]),Таблица1[[#This Row],[1 ДА Мах]:[7_ДА_Мах]],0)</calculatedColumnFormula>
    </tableColumn>
    <tableColumn id="35" xr3:uid="{31C978FA-98F0-497A-BF04-FC4F6384914F}" name="Точность_ДА_Мах" totalsRowFunction="custom" dataDxfId="269" totalsRowDxfId="73">
      <calculatedColumnFormula>IF(Таблица1[[#This Row],[ДА_Мах_Итог]]=Таблица1[[#This Row],[Train]],1,0)</calculatedColumnFormula>
      <totalsRowFormula>SUBTOTAL(109,Таблица1[Точность_ДА_Мах])/Таблица1[[#Totals],[Train]]</totalsRowFormula>
    </tableColumn>
    <tableColumn id="36" xr3:uid="{3CF3389E-CF75-4FA6-B06D-7D26F84CB759}" name="Совпадение_ДА_Мах" totalsRowFunction="custom" dataDxfId="268" totalsRowDxfId="72">
      <calculatedColumnFormula>IF(Таблица1[[#This Row],[ДА_Мах_Итог]]=Таблица1[[#This Row],[К-средних]],1,0)</calculatedColumnFormula>
      <totalsRowFormula>SUBTOTAL(109,Таблица1[Совпадение_ДА_Мах])/Таблица1[[#Totals],[Наименование]]</totalsRowFormula>
    </tableColumn>
    <tableColumn id="37" xr3:uid="{9A723B08-76FA-40C3-9741-7B6968E12BCF}" name="1_ДА_Ап" totalsRowDxfId="71"/>
    <tableColumn id="38" xr3:uid="{49AF97C9-A2BC-4692-B4EA-2823581CFE19}" name="2_ДА_Ап" totalsRowDxfId="70"/>
    <tableColumn id="39" xr3:uid="{F10DF21B-D4CE-4A83-BC97-CC79C757863F}" name="3_ДА_Ап" totalsRowDxfId="69"/>
    <tableColumn id="40" xr3:uid="{36315A51-CA07-4AE8-8965-BC914E09496E}" name="4_ДА_Ап" totalsRowDxfId="68"/>
    <tableColumn id="41" xr3:uid="{57A4340B-D530-4DA8-9640-12615979C326}" name="5_ДА_Ап" totalsRowDxfId="67"/>
    <tableColumn id="42" xr3:uid="{B03A7AC7-5202-4208-9E7F-C7E8B2BFD292}" name="6_ДА_Ап" totalsRowDxfId="66"/>
    <tableColumn id="43" xr3:uid="{C6CD7E87-B6DC-44A1-BE04-0494B17D42CC}" name="7_ДА_Ап" totalsRowDxfId="65"/>
    <tableColumn id="44" xr3:uid="{2DEAB8B8-829E-4D16-8DD1-874C95C1A935}" name="ДА_Ап_Итог" dataDxfId="267" totalsRowDxfId="64">
      <calculatedColumnFormula>MATCH(MAX(Таблица1[[#This Row],[1_ДА_Ап]:[7_ДА_Ап]]),Таблица1[[#This Row],[1_ДА_Ап]:[7_ДА_Ап]],0)</calculatedColumnFormula>
    </tableColumn>
    <tableColumn id="45" xr3:uid="{6A9FE0FB-A4B3-4714-B8DC-09AB6D8CD2D4}" name="Точность_ДА_Ап" totalsRowFunction="custom" dataDxfId="266" totalsRowDxfId="63">
      <calculatedColumnFormula>IF(Таблица1[[#This Row],[ДА_Ап_Итог]]=Таблица1[[#This Row],[Train]],1,0)</calculatedColumnFormula>
      <totalsRowFormula>SUBTOTAL(109,Таблица1[Точность_ДА_Ап])/Таблица1[[#Totals],[Train]]</totalsRowFormula>
    </tableColumn>
    <tableColumn id="46" xr3:uid="{B5982481-E008-4BD9-B0D0-DD8394DA0E52}" name="Совпадение_ДА_Ап" totalsRowFunction="custom" dataDxfId="265" totalsRowDxfId="62">
      <calculatedColumnFormula>IF(Таблица1[[#This Row],[ДА_Ап_Итог]]=Таблица1[[#This Row],[К-средних]],1,0)</calculatedColumnFormula>
      <totalsRowFormula>SUBTOTAL(109,Таблица1[Совпадение_ДА_Ап])/Таблица1[[#Totals],[Наименование]]</totalsRowFormula>
    </tableColumn>
    <tableColumn id="47" xr3:uid="{76D3F103-60BB-4712-A84B-5398B4820AF4}" name="ПДАсВ 1" totalsRowDxfId="61"/>
    <tableColumn id="48" xr3:uid="{1871ED1D-65C0-438A-921F-2C50EB65755B}" name="ПДАсВ 2" totalsRowDxfId="60"/>
    <tableColumn id="49" xr3:uid="{CF54FABB-5DE8-451E-8266-82BD2C82DFC0}" name="ПДАсВ 3" totalsRowDxfId="59"/>
    <tableColumn id="50" xr3:uid="{422A9DEF-98B1-44A7-A26B-0C0BF4F74F31}" name="ПДАсВ 4" totalsRowDxfId="58"/>
    <tableColumn id="51" xr3:uid="{7489658C-A3FD-42CF-A083-E275CEE6227B}" name="ПДАсВ 5" totalsRowDxfId="57"/>
    <tableColumn id="52" xr3:uid="{C71F9A4B-3C64-4B85-A5C1-A9E290CC5C77}" name="ПДАсВ 6" totalsRowDxfId="56"/>
    <tableColumn id="53" xr3:uid="{39A08D23-31BF-4B37-9DDD-FE7C82B1DA5E}" name="ПДАсВ 7" totalsRowDxfId="55"/>
    <tableColumn id="108" xr3:uid="{A7EA437A-C85F-4E48-A6DD-42488468CFFC}" name="ПДАсВ Итог" dataDxfId="264" totalsRowDxfId="54">
      <calculatedColumnFormula>RIGHT(Таблица1[[#This Row],[ПДАсВ 1]],1)</calculatedColumnFormula>
    </tableColumn>
    <tableColumn id="54" xr3:uid="{28002DD3-30A1-4514-A7F4-C726379D64BC}" name="ПДАсВ Итог Копия" dataDxfId="263" totalsRowDxfId="53"/>
    <tableColumn id="55" xr3:uid="{B5CEF980-A425-4FF4-8017-C6FA092E2A82}" name="ПДАсВ Точность " totalsRowFunction="custom" dataDxfId="262" totalsRowDxfId="52">
      <calculatedColumnFormula>IF(Таблица1[[#This Row],[ПДАсВ Итог Копия]]=Таблица1[[#This Row],[Train]],1,0)</calculatedColumnFormula>
      <totalsRowFormula>SUBTOTAL(109,Таблица1[[ПДАсВ Точность ]])/Таблица1[[#Totals],[Train]]</totalsRowFormula>
    </tableColumn>
    <tableColumn id="56" xr3:uid="{45B6874B-B267-4954-A8E5-5BD74C276A98}" name="ПДАсВ Совпадение" totalsRowFunction="custom" dataDxfId="261" totalsRowDxfId="51">
      <calculatedColumnFormula>IF(Таблица1[[#This Row],[ПДАсВ Итог Копия]]=Таблица1[[#This Row],[К-средних]],1,0)</calculatedColumnFormula>
      <totalsRowFormula>SUBTOTAL(109,Таблица1[ПДАсВ Совпадение])/Таблица1[[#Totals],[Наименование]]</totalsRowFormula>
    </tableColumn>
    <tableColumn id="57" xr3:uid="{665756C0-C638-487B-8E6E-FA52031A9210}" name="ПДАсВ Мах 1" totalsRowDxfId="50"/>
    <tableColumn id="58" xr3:uid="{3B1DCD48-66E5-4A06-BFFF-76DCA397678E}" name="ПДАсВ Мах 2" totalsRowDxfId="49"/>
    <tableColumn id="59" xr3:uid="{2811BB42-E200-4C8E-86D8-9113642542B5}" name="ПДАсВ Мах 3" totalsRowDxfId="48"/>
    <tableColumn id="60" xr3:uid="{CE8679E5-EDCC-45C4-8C5A-C925076A9A3E}" name="ПДАсВ Мах 4" totalsRowDxfId="47"/>
    <tableColumn id="61" xr3:uid="{98A88A0E-BAEF-4AD5-AC8E-688D2A2B6332}" name="ПДАсВ Мах 5" totalsRowDxfId="46"/>
    <tableColumn id="62" xr3:uid="{5FDC320A-C651-488A-B127-512FF47104FA}" name="ПДАсВ Мах 6" totalsRowDxfId="45"/>
    <tableColumn id="63" xr3:uid="{534C0E4A-6339-4CB1-9D34-A8EFCF3CFE85}" name="ПДАсВ Мах 7" totalsRowDxfId="44"/>
    <tableColumn id="64" xr3:uid="{3E4A0551-24EA-47BD-97DC-694F6E098E1D}" name="ПДАсВ Мах Итог" dataDxfId="260" totalsRowDxfId="43">
      <calculatedColumnFormula>MATCH(MIN(Таблица1[[#This Row],[1 ДА Мах]:[7_ДА_Мах]]),Таблица1[[#This Row],[1 ДА Мах]:[7_ДА_Мах]],0)</calculatedColumnFormula>
    </tableColumn>
    <tableColumn id="65" xr3:uid="{75F98FC1-0394-492A-94FA-BACA5884BFC6}" name="ПДАсВ Мах Точность" totalsRowFunction="custom" dataDxfId="259" totalsRowDxfId="42">
      <calculatedColumnFormula>IF(Таблица1[[#This Row],[ДА_Мах_Итог]]=Таблица1[[#This Row],[Train]],1,0)</calculatedColumnFormula>
      <totalsRowFormula>SUBTOTAL(109,Таблица1[ПДАсВ Мах Точность])/Таблица1[[#Totals],[Train]]</totalsRowFormula>
    </tableColumn>
    <tableColumn id="66" xr3:uid="{9CCE4119-0D92-4D06-97A7-5F35AB48B4F5}" name="ПДАсВ Мах Совпадение" totalsRowFunction="custom" dataDxfId="258" totalsRowDxfId="41">
      <calculatedColumnFormula>IF(Таблица1[[#This Row],[ДА_Мах_Итог]]=Таблица1[[#This Row],[К-средних]],1,0)</calculatedColumnFormula>
      <totalsRowFormula>SUBTOTAL(109,Таблица1[ПДАсВ Мах Совпадение])/Таблица1[[#Totals],[Наименование]]</totalsRowFormula>
    </tableColumn>
    <tableColumn id="67" xr3:uid="{C2606CCC-72EB-4AA2-8C55-97EF34B401BD}" name="ПДАсВ Ап 1" totalsRowDxfId="40"/>
    <tableColumn id="68" xr3:uid="{F869B48E-5BF3-4DBC-94BF-D1EA2BEEF98C}" name="ПДАсВ Ап 2" totalsRowDxfId="39"/>
    <tableColumn id="69" xr3:uid="{68DFB5A8-BD45-4A46-9A90-14BAE293021C}" name="ПДАсВ Ап 3" totalsRowDxfId="38"/>
    <tableColumn id="70" xr3:uid="{ED467458-0675-4F48-89BE-043559025119}" name="ПДАсВ Ап 4" totalsRowDxfId="37"/>
    <tableColumn id="71" xr3:uid="{05A12A93-5136-4309-896D-D36CF0145BE5}" name="ПДАсВ Ап 5" totalsRowDxfId="36"/>
    <tableColumn id="72" xr3:uid="{A2B66F3E-AAF3-4F4C-AE50-FC31E2386F7D}" name="ПДАсВ Ап 6" totalsRowDxfId="35"/>
    <tableColumn id="73" xr3:uid="{9F427368-5BCB-435A-A598-4941B6901172}" name="ПДАсВ Ап 7" totalsRowDxfId="34"/>
    <tableColumn id="74" xr3:uid="{81FAA022-0F96-4479-9095-BC127083A2E8}" name="ПДАсВ Ап Итог" dataDxfId="257" totalsRowDxfId="33">
      <calculatedColumnFormula>MATCH(MAX(Таблица1[[#This Row],[1_ДА_Ап]:[7_ДА_Ап]]),Таблица1[[#This Row],[1_ДА_Ап]:[7_ДА_Ап]],0)</calculatedColumnFormula>
    </tableColumn>
    <tableColumn id="75" xr3:uid="{6842319F-6284-475A-A12F-1CC579C69BCE}" name="ПДАсВ Ап Точность" totalsRowFunction="custom" dataDxfId="256" totalsRowDxfId="32">
      <calculatedColumnFormula>IF(Таблица1[[#This Row],[ПДАсВ Итог Копия]]=Таблица1[[#This Row],[Train]],1,0)</calculatedColumnFormula>
      <totalsRowFormula>SUBTOTAL(109,Таблица1[ПДАсВ Ап Точность])/Таблица1[[#Totals],[Train]]</totalsRowFormula>
    </tableColumn>
    <tableColumn id="76" xr3:uid="{608F8838-77EC-435E-99F9-769E17F5C4E0}" name="ПДАсВ Ап Совпадение" totalsRowFunction="custom" dataDxfId="255" totalsRowDxfId="31">
      <calculatedColumnFormula>IF(Таблица1[[#This Row],[ПДАсВ Итог Копия]]=Таблица1[[#This Row],[К-средних]],1,0)</calculatedColumnFormula>
      <totalsRowFormula>SUBTOTAL(109,Таблица1[ПДАсВ Ап Совпадение])/Таблица1[[#Totals],[Наименование]]</totalsRowFormula>
    </tableColumn>
    <tableColumn id="77" xr3:uid="{47634262-27A5-43E7-B2DB-34DA90154926}" name="ПДАсИ 1" totalsRowDxfId="30"/>
    <tableColumn id="78" xr3:uid="{312375D1-B123-45C3-A435-93092319A359}" name="ПДАсИ 2" totalsRowDxfId="29"/>
    <tableColumn id="79" xr3:uid="{15634C81-1082-4469-B72A-4352D153F4E5}" name="ПДАсИ 3" totalsRowDxfId="28"/>
    <tableColumn id="80" xr3:uid="{EB513E73-E73D-4347-876B-ACE718EAF93D}" name="ПДАсИ 4" totalsRowDxfId="27"/>
    <tableColumn id="81" xr3:uid="{D7F49BAE-D031-46C5-BDEE-14FDCA8585A9}" name="ПДАсИ 5" totalsRowDxfId="26"/>
    <tableColumn id="82" xr3:uid="{EE4419FC-74C3-4AB9-91F6-DA353BEF88DA}" name="ПДАсИ 6" totalsRowDxfId="25"/>
    <tableColumn id="83" xr3:uid="{91FA87E4-00F9-4FD9-AD9D-B11BE93E0968}" name="ПДАсИ 7" totalsRowDxfId="24"/>
    <tableColumn id="109" xr3:uid="{0FBAD750-CE64-4594-8490-46CDFD452E3C}" name="ПДАсИ Итог" dataDxfId="254" totalsRowDxfId="23">
      <calculatedColumnFormula>RIGHT(Таблица1[[#This Row],[ПДАсИ 1]],1)</calculatedColumnFormula>
    </tableColumn>
    <tableColumn id="84" xr3:uid="{A843E371-D3CE-4911-9040-33AFBF63579C}" name="ПДАсИ Итог Копия" dataDxfId="253" totalsRowDxfId="22"/>
    <tableColumn id="85" xr3:uid="{FB9812EA-8299-415C-B13D-DD9B4C660AEE}" name="ПДАсИ Точность" totalsRowFunction="custom" dataDxfId="252" totalsRowDxfId="21">
      <calculatedColumnFormula>IF(Таблица1[[#This Row],[ПДАсИ Итог Копия]]=Таблица1[[#This Row],[Train]],1,0)</calculatedColumnFormula>
      <totalsRowFormula>SUBTOTAL(109,Таблица1[ПДАсИ Точность])/Таблица1[[#Totals],[Train]]</totalsRowFormula>
    </tableColumn>
    <tableColumn id="86" xr3:uid="{79AC5767-F746-4C5D-AC80-4235B834640F}" name="ПДАсИ Совпадение" totalsRowFunction="custom" dataDxfId="251" totalsRowDxfId="20">
      <calculatedColumnFormula>IF(Таблица1[[#This Row],[ПДАсИ Итог Копия]]=Таблица1[[#This Row],[К-средних]],1,0)</calculatedColumnFormula>
      <totalsRowFormula>SUBTOTAL(109,Таблица1[ПДАсИ Совпадение])/Таблица1[[#Totals],[Наименование]]</totalsRowFormula>
    </tableColumn>
    <tableColumn id="87" xr3:uid="{36DAB2D9-1F58-45E2-AA25-1F6C348047BF}" name="ПДАсИ Мах 1" totalsRowDxfId="19"/>
    <tableColumn id="88" xr3:uid="{94A3A487-1786-4D3C-AC6A-0F9ADD23EE7D}" name="ПДАсИ Мах 2" totalsRowDxfId="18"/>
    <tableColumn id="89" xr3:uid="{5F7382C3-4D7C-4875-82BE-D19276B42052}" name="ПДАсИ Мах 3" totalsRowDxfId="17"/>
    <tableColumn id="90" xr3:uid="{2F10FA19-CF33-46D9-95CD-42E91F6E5E77}" name="ПДАсИ Мах 4" totalsRowDxfId="16"/>
    <tableColumn id="91" xr3:uid="{E24C5F60-3AA7-4EB2-A6D8-9D71E1D42CFE}" name="ПДАсИ Мах 5" totalsRowDxfId="15"/>
    <tableColumn id="92" xr3:uid="{A188EFA6-270C-4A2D-985A-8E65664A38AA}" name="ПДАсИ Мах 6" totalsRowDxfId="14"/>
    <tableColumn id="93" xr3:uid="{6F855730-0D4A-4DC0-91DD-EBEF58DFCC6E}" name="ПДАсИ Мах 7" totalsRowDxfId="13"/>
    <tableColumn id="94" xr3:uid="{7992663D-FB90-4638-BA50-753156BF1B6C}" name="ПДАсИ Мах Итог" dataDxfId="250" totalsRowDxfId="12">
      <calculatedColumnFormula>MATCH(MIN(Таблица1[[#This Row],[ПДАсИ Мах 1]:[ПДАсИ Мах 7]]),Таблица1[[#This Row],[ПДАсИ Мах 1]:[ПДАсИ Мах 7]],0)</calculatedColumnFormula>
    </tableColumn>
    <tableColumn id="95" xr3:uid="{BB15911E-06B9-4CB7-BAD4-7E64AA6A165E}" name="ПДАсИ Мах Точность" totalsRowFunction="custom" dataDxfId="249" totalsRowDxfId="11">
      <calculatedColumnFormula>IF(Таблица1[[#This Row],[ПДАсИ Мах Итог]]=Таблица1[[#This Row],[Train]],1,0)</calculatedColumnFormula>
      <totalsRowFormula>SUBTOTAL(109,Таблица1[ПДАсИ Мах Точность])/Таблица1[[#Totals],[Train]]</totalsRowFormula>
    </tableColumn>
    <tableColumn id="96" xr3:uid="{BCDA6154-A4DD-45C4-A06D-9AF74CE1DAD7}" name="ПДАсИ Мах Совпадение" totalsRowFunction="custom" dataDxfId="248" totalsRowDxfId="10">
      <calculatedColumnFormula>IF(Таблица1[[#This Row],[ПДАсИ Мах Итог]]=Таблица1[[#This Row],[К-средних]],1,0)</calculatedColumnFormula>
      <totalsRowFormula>SUBTOTAL(109,Таблица1[ПДАсИ Мах Совпадение])/Таблица1[[#Totals],[Наименование]]</totalsRowFormula>
    </tableColumn>
    <tableColumn id="97" xr3:uid="{EB38F849-C250-44A4-A19D-65526BE119B1}" name="ПДАсИ Ап 1" totalsRowDxfId="9"/>
    <tableColumn id="98" xr3:uid="{951DC395-7803-4224-ACFB-ECA5EBBFFAEE}" name="ПДАсИ Ап 2" totalsRowDxfId="8"/>
    <tableColumn id="99" xr3:uid="{9E9DC9D2-F3B6-43FA-8052-9F369B7ABAEE}" name="ПДАсИ Ап 3" totalsRowDxfId="7"/>
    <tableColumn id="100" xr3:uid="{D5B05B5F-22E0-47D8-A809-247E08B204AD}" name="ПДАсИ Ап 4" totalsRowDxfId="6"/>
    <tableColumn id="101" xr3:uid="{114D5E26-4F71-42C1-AF82-1E10B93EAB39}" name="ПДАсИ Ап 5" totalsRowDxfId="5"/>
    <tableColumn id="102" xr3:uid="{6DBAE398-0209-465A-A9E4-A08B75B88D42}" name="ПДАсИ Ап 6" totalsRowDxfId="4"/>
    <tableColumn id="103" xr3:uid="{C20897C3-D8B4-4B55-809A-1D9A2B466311}" name="ПДАсИ Ап 7" totalsRowDxfId="3"/>
    <tableColumn id="104" xr3:uid="{A1A058CF-EC85-4043-A0A9-55B6E4E7642C}" name="ПДАсИ Ап Итог" dataDxfId="247" totalsRowDxfId="2">
      <calculatedColumnFormula>MATCH(MAX(Таблица1[[#This Row],[ПДАсИ Ап 1]:[ПДАсИ Ап 7]]),Таблица1[[#This Row],[ПДАсИ Ап 1]:[ПДАсИ Ап 7]],0)</calculatedColumnFormula>
    </tableColumn>
    <tableColumn id="105" xr3:uid="{460FFE7E-9188-4B20-B7D2-35B3C26D624F}" name="ПДАсИ Ап Точность" totalsRowFunction="custom" dataDxfId="246" totalsRowDxfId="1">
      <calculatedColumnFormula>IF(Таблица1[[#This Row],[ПДАсИ Ап Итог]]=Таблица1[[#This Row],[Train]],1,0)</calculatedColumnFormula>
      <totalsRowFormula>SUBTOTAL(109,Таблица1[ПДАсИ Ап Точность])/Таблица1[[#Totals],[Train]]</totalsRowFormula>
    </tableColumn>
    <tableColumn id="106" xr3:uid="{07149EF3-2E6A-4138-9ADA-2530CFB02523}" name="ПДАсИ Ап Совпадение" totalsRowFunction="custom" dataDxfId="245" totalsRowDxfId="0">
      <calculatedColumnFormula>IF(Таблица1[[#This Row],[ПДАсИ Ап Итог]]=Таблица1[[#This Row],[К-средних]],1,0)</calculatedColumnFormula>
      <totalsRowFormula>SUBTOTAL(109,Таблица1[ПДАсИ Ап Совпадение])/Таблица1[[#Totals],[Наименование]]</totalsRow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7A09772-0365-4014-80E8-527E76C07491}" name="Таблица79" displayName="Таблица79" ref="A151:D235" totalsRowShown="0" headerRowDxfId="244" dataDxfId="243">
  <autoFilter ref="A151:D235" xr:uid="{B7A09772-0365-4014-80E8-527E76C07491}"/>
  <sortState xmlns:xlrd2="http://schemas.microsoft.com/office/spreadsheetml/2017/richdata2" ref="A152:D235">
    <sortCondition ref="A1:A85"/>
  </sortState>
  <tableColumns count="4">
    <tableColumn id="1" xr3:uid="{2955D668-013A-469B-85A1-00219856208D}" name=" Case" dataDxfId="242"/>
    <tableColumn id="2" xr3:uid="{18822F6F-8920-49DE-B4D3-4306E36B804F}" name="Factor 1" dataDxfId="241"/>
    <tableColumn id="3" xr3:uid="{A30AB932-98C0-412D-B393-1BE94777543E}" name="Factor 2" dataDxfId="240"/>
    <tableColumn id="5" xr3:uid="{03B2D235-2B47-43BB-BCED-099075AA060F}" name="Уорд" dataDxfId="239"/>
  </tableColumns>
  <tableStyleInfo name="TableStyleLight1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E75BF2D-0F53-4D9A-BADE-242DDE560E94}" name="Таблица10" displayName="Таблица10" ref="AA151:AD235" totalsRowShown="0">
  <autoFilter ref="AA151:AD235" xr:uid="{AE75BF2D-0F53-4D9A-BADE-242DDE560E94}"/>
  <sortState xmlns:xlrd2="http://schemas.microsoft.com/office/spreadsheetml/2017/richdata2" ref="AA152:AD235">
    <sortCondition ref="AD151:AD235"/>
  </sortState>
  <tableColumns count="4">
    <tableColumn id="1" xr3:uid="{F50B9601-9742-4A94-945F-AEAFF35A3697}" name=" Case" dataDxfId="238" dataCellStyle="Финансовый_Test"/>
    <tableColumn id="2" xr3:uid="{2FB73C4E-118B-4097-A8F6-C6753E1992EB}" name="Factor 1" dataDxfId="237" dataCellStyle="Финансовый_Test"/>
    <tableColumn id="3" xr3:uid="{7A55B5B4-8017-4CC9-8647-F6AA07CAF327}" name="Factor 2" dataDxfId="236" dataCellStyle="Финансовый_Test"/>
    <tableColumn id="4" xr3:uid="{B7C699D4-FB25-42EB-9882-CC80EB862912}" name="Уорд" dataDxfId="235" dataCellStyle="Финансовый_Test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03AB758-C017-4D69-B5F0-FCA0698CA778}" name="Таблица11" displayName="Таблица11" ref="AG151:AJ235" totalsRowShown="0" dataDxfId="234" dataCellStyle="Финансовый_Test">
  <autoFilter ref="AG151:AJ235" xr:uid="{303AB758-C017-4D69-B5F0-FCA0698CA778}"/>
  <sortState xmlns:xlrd2="http://schemas.microsoft.com/office/spreadsheetml/2017/richdata2" ref="AG152:AJ235">
    <sortCondition ref="AJ151:AJ235"/>
  </sortState>
  <tableColumns count="4">
    <tableColumn id="1" xr3:uid="{A8D48232-9F4B-474C-B89A-E9D7C6BC4A10}" name=" Case" dataDxfId="233" dataCellStyle="Финансовый_Test"/>
    <tableColumn id="2" xr3:uid="{3A2317C1-35B8-4539-B038-FBD1EDE52B33}" name="Factor 1" dataDxfId="232" dataCellStyle="Финансовый_Test"/>
    <tableColumn id="3" xr3:uid="{7741DA0D-7180-4C21-A596-7428232A13DD}" name="Factor 2" dataDxfId="231" dataCellStyle="Финансовый_Test"/>
    <tableColumn id="4" xr3:uid="{F2318745-51B1-4018-BC0E-E21DC11C9F7A}" name="К-средних" dataDxfId="230" dataCellStyle="Финансовый_Test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BDF8C2C-B480-436E-901D-6C48DB42137A}" name="Таблица113" displayName="Таблица113" ref="A1:M34" totalsRowCount="1" headerRowDxfId="229" dataDxfId="227" headerRowBorderDxfId="228" tableBorderDxfId="226" totalsRowBorderDxfId="225">
  <autoFilter ref="A1:M33" xr:uid="{B0C1F970-AC77-401D-B102-EA2C6AB6972A}"/>
  <sortState xmlns:xlrd2="http://schemas.microsoft.com/office/spreadsheetml/2017/richdata2" ref="A2:K33">
    <sortCondition ref="A1:A33"/>
  </sortState>
  <tableColumns count="13">
    <tableColumn id="1" xr3:uid="{DC6D4BFE-42BA-4EF3-8C43-D25A31B15635}" name="Наименование" dataDxfId="224" totalsRowDxfId="223"/>
    <tableColumn id="6" xr3:uid="{8DB4F61B-8648-4B9E-A599-84CBEDB19F19}" name="X1" dataDxfId="222" totalsRowDxfId="221"/>
    <tableColumn id="7" xr3:uid="{09079F68-D208-4EDC-A32F-343BE060F9CD}" name="X2" dataDxfId="220" totalsRowDxfId="219"/>
    <tableColumn id="8" xr3:uid="{F0390DE2-ABF8-4570-9B5E-2724E36068B1}" name="X3" dataDxfId="218" totalsRowDxfId="217"/>
    <tableColumn id="9" xr3:uid="{89B9921C-51D0-48E1-B8EA-D73121D643B1}" name="X4" dataDxfId="216" totalsRowDxfId="215"/>
    <tableColumn id="10" xr3:uid="{153491E6-82AF-4A45-B2E4-B7B4B2EED917}" name="X5" dataDxfId="214" totalsRowDxfId="213"/>
    <tableColumn id="11" xr3:uid="{9037EC21-2A6B-4F51-B0B3-55103D82D3DE}" name="X6" dataDxfId="212" totalsRowDxfId="211"/>
    <tableColumn id="12" xr3:uid="{4DED0AB5-EA9A-4E2C-8ABA-15CB867A4FBC}" name="X7" dataDxfId="210" totalsRowDxfId="209"/>
    <tableColumn id="13" xr3:uid="{BF0E29F7-0D79-4D59-AFC2-C56F74B3FF48}" name="X8" dataDxfId="208" totalsRowDxfId="207"/>
    <tableColumn id="14" xr3:uid="{891F63E8-B39D-49B8-B9C9-7F99B60FF10F}" name="X9" dataDxfId="206" totalsRowDxfId="205"/>
    <tableColumn id="16" xr3:uid="{8FBA6E46-C64B-411F-A1A4-A0A316E2FD0E}" name="Train" dataDxfId="204" totalsRowDxfId="203"/>
    <tableColumn id="2" xr3:uid="{7FC66FC8-51FC-4530-A1DE-C9AF603C0C2A}" name="Pred_train" dataDxfId="202" totalsRowDxfId="201"/>
    <tableColumn id="3" xr3:uid="{D6939494-8D91-40DC-B193-C1D5A177DA46}" name="Точность" totalsRowFunction="custom" dataDxfId="200" totalsRowDxfId="199">
      <calculatedColumnFormula>IF(Таблица113[[#This Row],[Train]]=Таблица113[[#This Row],[Pred_train]],1,0)</calculatedColumnFormula>
      <totalsRowFormula>AVERAGE(Таблица113[Точность])</totalsRow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osstat.gov.ru/folder/210/document/13204" TargetMode="External"/><Relationship Id="rId117" Type="http://schemas.openxmlformats.org/officeDocument/2006/relationships/hyperlink" Target="http://crimestat.ru/" TargetMode="External"/><Relationship Id="rId21" Type="http://schemas.openxmlformats.org/officeDocument/2006/relationships/hyperlink" Target="https://rosstat.gov.ru/folder/210/document/13204" TargetMode="External"/><Relationship Id="rId42" Type="http://schemas.openxmlformats.org/officeDocument/2006/relationships/hyperlink" Target="https://rosstat.gov.ru/folder/210/document/13204" TargetMode="External"/><Relationship Id="rId47" Type="http://schemas.openxmlformats.org/officeDocument/2006/relationships/hyperlink" Target="https://rosstat.gov.ru/folder/210/document/13204" TargetMode="External"/><Relationship Id="rId63" Type="http://schemas.openxmlformats.org/officeDocument/2006/relationships/hyperlink" Target="https://rosstat.gov.ru/folder/210/document/13204" TargetMode="External"/><Relationship Id="rId68" Type="http://schemas.openxmlformats.org/officeDocument/2006/relationships/hyperlink" Target="https://rosstat.gov.ru/folder/210/document/13204" TargetMode="External"/><Relationship Id="rId84" Type="http://schemas.openxmlformats.org/officeDocument/2006/relationships/hyperlink" Target="https://rosstat.gov.ru/folder/210/document/13204" TargetMode="External"/><Relationship Id="rId89" Type="http://schemas.openxmlformats.org/officeDocument/2006/relationships/hyperlink" Target="https://rosstat.gov.ru/folder/210/document/13204" TargetMode="External"/><Relationship Id="rId112" Type="http://schemas.openxmlformats.org/officeDocument/2006/relationships/hyperlink" Target="https://rosstat.gov.ru/folder/210/document/13204" TargetMode="External"/><Relationship Id="rId16" Type="http://schemas.openxmlformats.org/officeDocument/2006/relationships/hyperlink" Target="https://rosstat.gov.ru/folder/210/document/13204" TargetMode="External"/><Relationship Id="rId107" Type="http://schemas.openxmlformats.org/officeDocument/2006/relationships/hyperlink" Target="https://rosstat.gov.ru/folder/210/document/13204" TargetMode="External"/><Relationship Id="rId11" Type="http://schemas.openxmlformats.org/officeDocument/2006/relationships/hyperlink" Target="https://rosstat.gov.ru/folder/210/document/13204" TargetMode="External"/><Relationship Id="rId32" Type="http://schemas.openxmlformats.org/officeDocument/2006/relationships/hyperlink" Target="https://minfin.gov.ru/ru/perfomance/regions/monitoring_results/" TargetMode="External"/><Relationship Id="rId37" Type="http://schemas.openxmlformats.org/officeDocument/2006/relationships/hyperlink" Target="https://rosstat.gov.ru/folder/210/document/13204" TargetMode="External"/><Relationship Id="rId53" Type="http://schemas.openxmlformats.org/officeDocument/2006/relationships/hyperlink" Target="https://rosstat.gov.ru/folder/210/document/13204" TargetMode="External"/><Relationship Id="rId58" Type="http://schemas.openxmlformats.org/officeDocument/2006/relationships/hyperlink" Target="https://rosstat.gov.ru/folder/210/document/13204" TargetMode="External"/><Relationship Id="rId74" Type="http://schemas.openxmlformats.org/officeDocument/2006/relationships/hyperlink" Target="https://rosstat.gov.ru/folder/210/document/13204" TargetMode="External"/><Relationship Id="rId79" Type="http://schemas.openxmlformats.org/officeDocument/2006/relationships/hyperlink" Target="https://rosstat.gov.ru/folder/210/document/13204" TargetMode="External"/><Relationship Id="rId102" Type="http://schemas.openxmlformats.org/officeDocument/2006/relationships/hyperlink" Target="https://rosstat.gov.ru/folder/210/document/13204" TargetMode="External"/><Relationship Id="rId5" Type="http://schemas.openxmlformats.org/officeDocument/2006/relationships/hyperlink" Target="https://rosstat.gov.ru/folder/210/document/13205" TargetMode="External"/><Relationship Id="rId90" Type="http://schemas.openxmlformats.org/officeDocument/2006/relationships/hyperlink" Target="https://rosstat.gov.ru/folder/210/document/13204" TargetMode="External"/><Relationship Id="rId95" Type="http://schemas.openxmlformats.org/officeDocument/2006/relationships/hyperlink" Target="https://rosstat.gov.ru/folder/210/document/13204" TargetMode="External"/><Relationship Id="rId22" Type="http://schemas.openxmlformats.org/officeDocument/2006/relationships/hyperlink" Target="https://rosstat.gov.ru/folder/210/document/13204" TargetMode="External"/><Relationship Id="rId27" Type="http://schemas.openxmlformats.org/officeDocument/2006/relationships/hyperlink" Target="https://rosstat.gov.ru/folder/210/document/13204" TargetMode="External"/><Relationship Id="rId43" Type="http://schemas.openxmlformats.org/officeDocument/2006/relationships/hyperlink" Target="https://rosstat.gov.ru/folder/210/document/13204" TargetMode="External"/><Relationship Id="rId48" Type="http://schemas.openxmlformats.org/officeDocument/2006/relationships/hyperlink" Target="https://rosstat.gov.ru/folder/210/document/13204" TargetMode="External"/><Relationship Id="rId64" Type="http://schemas.openxmlformats.org/officeDocument/2006/relationships/hyperlink" Target="https://rosstat.gov.ru/folder/210/document/13204" TargetMode="External"/><Relationship Id="rId69" Type="http://schemas.openxmlformats.org/officeDocument/2006/relationships/hyperlink" Target="https://rosstat.gov.ru/folder/210/document/13204" TargetMode="External"/><Relationship Id="rId113" Type="http://schemas.openxmlformats.org/officeDocument/2006/relationships/hyperlink" Target="https://rosstat.gov.ru/folder/210/document/13204" TargetMode="External"/><Relationship Id="rId118" Type="http://schemas.openxmlformats.org/officeDocument/2006/relationships/hyperlink" Target="http://crimestat.ru/" TargetMode="External"/><Relationship Id="rId80" Type="http://schemas.openxmlformats.org/officeDocument/2006/relationships/hyperlink" Target="https://rosstat.gov.ru/folder/210/document/13204" TargetMode="External"/><Relationship Id="rId85" Type="http://schemas.openxmlformats.org/officeDocument/2006/relationships/hyperlink" Target="https://rosstat.gov.ru/folder/210/document/13204" TargetMode="External"/><Relationship Id="rId12" Type="http://schemas.openxmlformats.org/officeDocument/2006/relationships/hyperlink" Target="https://rosstat.gov.ru/folder/210/document/13204" TargetMode="External"/><Relationship Id="rId17" Type="http://schemas.openxmlformats.org/officeDocument/2006/relationships/hyperlink" Target="https://rosstat.gov.ru/folder/210/document/13204" TargetMode="External"/><Relationship Id="rId33" Type="http://schemas.openxmlformats.org/officeDocument/2006/relationships/hyperlink" Target="https://rosstat.gov.ru/folder/210/document/13204" TargetMode="External"/><Relationship Id="rId38" Type="http://schemas.openxmlformats.org/officeDocument/2006/relationships/hyperlink" Target="https://rosstat.gov.ru/folder/210/document/13204" TargetMode="External"/><Relationship Id="rId59" Type="http://schemas.openxmlformats.org/officeDocument/2006/relationships/hyperlink" Target="https://rosstat.gov.ru/folder/210/document/13204" TargetMode="External"/><Relationship Id="rId103" Type="http://schemas.openxmlformats.org/officeDocument/2006/relationships/hyperlink" Target="https://rosstat.gov.ru/folder/210/document/13204" TargetMode="External"/><Relationship Id="rId108" Type="http://schemas.openxmlformats.org/officeDocument/2006/relationships/hyperlink" Target="https://rosstat.gov.ru/folder/210/document/13204" TargetMode="External"/><Relationship Id="rId54" Type="http://schemas.openxmlformats.org/officeDocument/2006/relationships/hyperlink" Target="https://rosstat.gov.ru/folder/210/document/13204" TargetMode="External"/><Relationship Id="rId70" Type="http://schemas.openxmlformats.org/officeDocument/2006/relationships/hyperlink" Target="https://rosstat.gov.ru/folder/210/document/13204" TargetMode="External"/><Relationship Id="rId75" Type="http://schemas.openxmlformats.org/officeDocument/2006/relationships/hyperlink" Target="https://rosstat.gov.ru/folder/210/document/13204" TargetMode="External"/><Relationship Id="rId91" Type="http://schemas.openxmlformats.org/officeDocument/2006/relationships/hyperlink" Target="https://rosstat.gov.ru/folder/210/document/13204" TargetMode="External"/><Relationship Id="rId96" Type="http://schemas.openxmlformats.org/officeDocument/2006/relationships/hyperlink" Target="https://rosstat.gov.ru/folder/210/document/13204" TargetMode="External"/><Relationship Id="rId1" Type="http://schemas.openxmlformats.org/officeDocument/2006/relationships/hyperlink" Target="https://www.fedstat.ru/indicator/40639?" TargetMode="External"/><Relationship Id="rId6" Type="http://schemas.openxmlformats.org/officeDocument/2006/relationships/hyperlink" Target="http://stat.&#1072;&#1087;&#1080;-&#1087;&#1088;&#1077;&#1089;&#1089;.&#1088;&#1092;/stats/adm/t/31/s/1" TargetMode="External"/><Relationship Id="rId23" Type="http://schemas.openxmlformats.org/officeDocument/2006/relationships/hyperlink" Target="https://rosstat.gov.ru/folder/210/document/13204" TargetMode="External"/><Relationship Id="rId28" Type="http://schemas.openxmlformats.org/officeDocument/2006/relationships/hyperlink" Target="https://rosstat.gov.ru/folder/210/document/13204" TargetMode="External"/><Relationship Id="rId49" Type="http://schemas.openxmlformats.org/officeDocument/2006/relationships/hyperlink" Target="https://rosstat.gov.ru/folder/210/document/13204" TargetMode="External"/><Relationship Id="rId114" Type="http://schemas.openxmlformats.org/officeDocument/2006/relationships/hyperlink" Target="https://rosstat.gov.ru/folder/210/document/13204" TargetMode="External"/><Relationship Id="rId119" Type="http://schemas.openxmlformats.org/officeDocument/2006/relationships/hyperlink" Target="http://crimestat.ru/" TargetMode="External"/><Relationship Id="rId44" Type="http://schemas.openxmlformats.org/officeDocument/2006/relationships/hyperlink" Target="https://rosstat.gov.ru/folder/210/document/13204" TargetMode="External"/><Relationship Id="rId60" Type="http://schemas.openxmlformats.org/officeDocument/2006/relationships/hyperlink" Target="https://rosstat.gov.ru/folder/210/document/13204" TargetMode="External"/><Relationship Id="rId65" Type="http://schemas.openxmlformats.org/officeDocument/2006/relationships/hyperlink" Target="https://rosstat.gov.ru/folder/210/document/13204" TargetMode="External"/><Relationship Id="rId81" Type="http://schemas.openxmlformats.org/officeDocument/2006/relationships/hyperlink" Target="https://rosstat.gov.ru/folder/210/document/13204" TargetMode="External"/><Relationship Id="rId86" Type="http://schemas.openxmlformats.org/officeDocument/2006/relationships/hyperlink" Target="https://rosstat.gov.ru/folder/210/document/13204" TargetMode="External"/><Relationship Id="rId4" Type="http://schemas.openxmlformats.org/officeDocument/2006/relationships/hyperlink" Target="https://rosstat.gov.ru/folder/210/document/13204" TargetMode="External"/><Relationship Id="rId9" Type="http://schemas.openxmlformats.org/officeDocument/2006/relationships/hyperlink" Target="http://gks.ru/free_doc/new_site/besopasn/pok-besopasn.htm" TargetMode="External"/><Relationship Id="rId13" Type="http://schemas.openxmlformats.org/officeDocument/2006/relationships/hyperlink" Target="https://rosstat.gov.ru/folder/210/document/13204" TargetMode="External"/><Relationship Id="rId18" Type="http://schemas.openxmlformats.org/officeDocument/2006/relationships/hyperlink" Target="https://rosstat.gov.ru/folder/210/document/13204" TargetMode="External"/><Relationship Id="rId39" Type="http://schemas.openxmlformats.org/officeDocument/2006/relationships/hyperlink" Target="https://rosstat.gov.ru/folder/210/document/13204" TargetMode="External"/><Relationship Id="rId109" Type="http://schemas.openxmlformats.org/officeDocument/2006/relationships/hyperlink" Target="https://rosstat.gov.ru/folder/210/document/13204" TargetMode="External"/><Relationship Id="rId34" Type="http://schemas.openxmlformats.org/officeDocument/2006/relationships/hyperlink" Target="https://minfin.gov.ru/ru/perfomance/regions/monitoring_results/" TargetMode="External"/><Relationship Id="rId50" Type="http://schemas.openxmlformats.org/officeDocument/2006/relationships/hyperlink" Target="https://rosstat.gov.ru/folder/210/document/13204" TargetMode="External"/><Relationship Id="rId55" Type="http://schemas.openxmlformats.org/officeDocument/2006/relationships/hyperlink" Target="https://rosstat.gov.ru/folder/210/document/13204" TargetMode="External"/><Relationship Id="rId76" Type="http://schemas.openxmlformats.org/officeDocument/2006/relationships/hyperlink" Target="https://rosstat.gov.ru/folder/210/document/13204" TargetMode="External"/><Relationship Id="rId97" Type="http://schemas.openxmlformats.org/officeDocument/2006/relationships/hyperlink" Target="https://rosstat.gov.ru/folder/210/document/13204" TargetMode="External"/><Relationship Id="rId104" Type="http://schemas.openxmlformats.org/officeDocument/2006/relationships/hyperlink" Target="https://rosstat.gov.ru/folder/210/document/13204" TargetMode="External"/><Relationship Id="rId120" Type="http://schemas.openxmlformats.org/officeDocument/2006/relationships/hyperlink" Target="http://crimestat.ru/" TargetMode="External"/><Relationship Id="rId7" Type="http://schemas.openxmlformats.org/officeDocument/2006/relationships/hyperlink" Target="https://data.ovdinfo.org/20_2/?" TargetMode="External"/><Relationship Id="rId71" Type="http://schemas.openxmlformats.org/officeDocument/2006/relationships/hyperlink" Target="https://rosstat.gov.ru/folder/210/document/13204" TargetMode="External"/><Relationship Id="rId92" Type="http://schemas.openxmlformats.org/officeDocument/2006/relationships/hyperlink" Target="https://rosstat.gov.ru/folder/210/document/13204" TargetMode="External"/><Relationship Id="rId2" Type="http://schemas.openxmlformats.org/officeDocument/2006/relationships/hyperlink" Target="https://gogov.ru/news/789591" TargetMode="External"/><Relationship Id="rId29" Type="http://schemas.openxmlformats.org/officeDocument/2006/relationships/hyperlink" Target="https://rosstat.gov.ru/folder/210/document/13204" TargetMode="External"/><Relationship Id="rId24" Type="http://schemas.openxmlformats.org/officeDocument/2006/relationships/hyperlink" Target="https://rosstat.gov.ru/folder/210/document/13204" TargetMode="External"/><Relationship Id="rId40" Type="http://schemas.openxmlformats.org/officeDocument/2006/relationships/hyperlink" Target="https://rosstat.gov.ru/folder/210/document/13204" TargetMode="External"/><Relationship Id="rId45" Type="http://schemas.openxmlformats.org/officeDocument/2006/relationships/hyperlink" Target="https://rosstat.gov.ru/folder/210/document/13204" TargetMode="External"/><Relationship Id="rId66" Type="http://schemas.openxmlformats.org/officeDocument/2006/relationships/hyperlink" Target="https://rosstat.gov.ru/folder/210/document/13204" TargetMode="External"/><Relationship Id="rId87" Type="http://schemas.openxmlformats.org/officeDocument/2006/relationships/hyperlink" Target="https://rosstat.gov.ru/folder/210/document/13204" TargetMode="External"/><Relationship Id="rId110" Type="http://schemas.openxmlformats.org/officeDocument/2006/relationships/hyperlink" Target="https://rosstat.gov.ru/folder/210/document/13204" TargetMode="External"/><Relationship Id="rId115" Type="http://schemas.openxmlformats.org/officeDocument/2006/relationships/hyperlink" Target="http://crimestat.ru/" TargetMode="External"/><Relationship Id="rId61" Type="http://schemas.openxmlformats.org/officeDocument/2006/relationships/hyperlink" Target="https://rosstat.gov.ru/folder/210/document/13204" TargetMode="External"/><Relationship Id="rId82" Type="http://schemas.openxmlformats.org/officeDocument/2006/relationships/hyperlink" Target="https://rosstat.gov.ru/folder/210/document/13204" TargetMode="External"/><Relationship Id="rId19" Type="http://schemas.openxmlformats.org/officeDocument/2006/relationships/hyperlink" Target="https://rosstat.gov.ru/folder/210/document/13204" TargetMode="External"/><Relationship Id="rId14" Type="http://schemas.openxmlformats.org/officeDocument/2006/relationships/hyperlink" Target="https://rosstat.gov.ru/folder/210/document/13204" TargetMode="External"/><Relationship Id="rId30" Type="http://schemas.openxmlformats.org/officeDocument/2006/relationships/hyperlink" Target="https://rosstat.gov.ru/folder/210/document/13204" TargetMode="External"/><Relationship Id="rId35" Type="http://schemas.openxmlformats.org/officeDocument/2006/relationships/hyperlink" Target="https://rosstat.gov.ru/folder/210/document/13204" TargetMode="External"/><Relationship Id="rId56" Type="http://schemas.openxmlformats.org/officeDocument/2006/relationships/hyperlink" Target="https://rosstat.gov.ru/folder/210/document/13204" TargetMode="External"/><Relationship Id="rId77" Type="http://schemas.openxmlformats.org/officeDocument/2006/relationships/hyperlink" Target="https://rosstat.gov.ru/folder/210/document/13204" TargetMode="External"/><Relationship Id="rId100" Type="http://schemas.openxmlformats.org/officeDocument/2006/relationships/hyperlink" Target="https://rosstat.gov.ru/folder/210/document/13204" TargetMode="External"/><Relationship Id="rId105" Type="http://schemas.openxmlformats.org/officeDocument/2006/relationships/hyperlink" Target="https://rosstat.gov.ru/folder/210/document/13204" TargetMode="External"/><Relationship Id="rId8" Type="http://schemas.openxmlformats.org/officeDocument/2006/relationships/hyperlink" Target="https://data.ovdinfo.org/20_2/?" TargetMode="External"/><Relationship Id="rId51" Type="http://schemas.openxmlformats.org/officeDocument/2006/relationships/hyperlink" Target="https://rosstat.gov.ru/folder/210/document/13204" TargetMode="External"/><Relationship Id="rId72" Type="http://schemas.openxmlformats.org/officeDocument/2006/relationships/hyperlink" Target="https://rosstat.gov.ru/folder/210/document/13204" TargetMode="External"/><Relationship Id="rId93" Type="http://schemas.openxmlformats.org/officeDocument/2006/relationships/hyperlink" Target="https://rosstat.gov.ru/folder/210/document/13204" TargetMode="External"/><Relationship Id="rId98" Type="http://schemas.openxmlformats.org/officeDocument/2006/relationships/hyperlink" Target="https://rosstat.gov.ru/folder/210/document/13204" TargetMode="External"/><Relationship Id="rId121" Type="http://schemas.openxmlformats.org/officeDocument/2006/relationships/hyperlink" Target="http://crimestat.ru/" TargetMode="External"/><Relationship Id="rId3" Type="http://schemas.openxmlformats.org/officeDocument/2006/relationships/hyperlink" Target="https://rosstat.gov.ru/folder/210/document/13204" TargetMode="External"/><Relationship Id="rId25" Type="http://schemas.openxmlformats.org/officeDocument/2006/relationships/hyperlink" Target="https://rosstat.gov.ru/folder/210/document/13204" TargetMode="External"/><Relationship Id="rId46" Type="http://schemas.openxmlformats.org/officeDocument/2006/relationships/hyperlink" Target="https://rosstat.gov.ru/folder/210/document/13204" TargetMode="External"/><Relationship Id="rId67" Type="http://schemas.openxmlformats.org/officeDocument/2006/relationships/hyperlink" Target="https://rosstat.gov.ru/folder/210/document/13204" TargetMode="External"/><Relationship Id="rId116" Type="http://schemas.openxmlformats.org/officeDocument/2006/relationships/hyperlink" Target="http://crimestat.ru/" TargetMode="External"/><Relationship Id="rId20" Type="http://schemas.openxmlformats.org/officeDocument/2006/relationships/hyperlink" Target="https://rosstat.gov.ru/folder/210/document/13204" TargetMode="External"/><Relationship Id="rId41" Type="http://schemas.openxmlformats.org/officeDocument/2006/relationships/hyperlink" Target="https://rosstat.gov.ru/folder/210/document/13204" TargetMode="External"/><Relationship Id="rId62" Type="http://schemas.openxmlformats.org/officeDocument/2006/relationships/hyperlink" Target="https://rosstat.gov.ru/folder/210/document/13204" TargetMode="External"/><Relationship Id="rId83" Type="http://schemas.openxmlformats.org/officeDocument/2006/relationships/hyperlink" Target="https://rosstat.gov.ru/folder/210/document/13204" TargetMode="External"/><Relationship Id="rId88" Type="http://schemas.openxmlformats.org/officeDocument/2006/relationships/hyperlink" Target="https://rosstat.gov.ru/folder/210/document/13204" TargetMode="External"/><Relationship Id="rId111" Type="http://schemas.openxmlformats.org/officeDocument/2006/relationships/hyperlink" Target="https://rosstat.gov.ru/folder/210/document/13204" TargetMode="External"/><Relationship Id="rId15" Type="http://schemas.openxmlformats.org/officeDocument/2006/relationships/hyperlink" Target="https://rosstat.gov.ru/folder/210/document/13204" TargetMode="External"/><Relationship Id="rId36" Type="http://schemas.openxmlformats.org/officeDocument/2006/relationships/hyperlink" Target="https://rosstat.gov.ru/folder/210/document/13204" TargetMode="External"/><Relationship Id="rId57" Type="http://schemas.openxmlformats.org/officeDocument/2006/relationships/hyperlink" Target="https://rosstat.gov.ru/folder/210/document/13204" TargetMode="External"/><Relationship Id="rId106" Type="http://schemas.openxmlformats.org/officeDocument/2006/relationships/hyperlink" Target="https://rosstat.gov.ru/folder/210/document/13204" TargetMode="External"/><Relationship Id="rId10" Type="http://schemas.openxmlformats.org/officeDocument/2006/relationships/hyperlink" Target="https://rosstat.gov.ru/folder/210/document/13204" TargetMode="External"/><Relationship Id="rId31" Type="http://schemas.openxmlformats.org/officeDocument/2006/relationships/hyperlink" Target="https://rosstat.gov.ru/folder/210/document/13204" TargetMode="External"/><Relationship Id="rId52" Type="http://schemas.openxmlformats.org/officeDocument/2006/relationships/hyperlink" Target="https://rosstat.gov.ru/folder/210/document/13204" TargetMode="External"/><Relationship Id="rId73" Type="http://schemas.openxmlformats.org/officeDocument/2006/relationships/hyperlink" Target="https://rosstat.gov.ru/folder/210/document/13204" TargetMode="External"/><Relationship Id="rId78" Type="http://schemas.openxmlformats.org/officeDocument/2006/relationships/hyperlink" Target="https://rosstat.gov.ru/folder/210/document/13204" TargetMode="External"/><Relationship Id="rId94" Type="http://schemas.openxmlformats.org/officeDocument/2006/relationships/hyperlink" Target="https://rosstat.gov.ru/folder/210/document/13204" TargetMode="External"/><Relationship Id="rId99" Type="http://schemas.openxmlformats.org/officeDocument/2006/relationships/hyperlink" Target="https://rosstat.gov.ru/folder/210/document/13204" TargetMode="External"/><Relationship Id="rId101" Type="http://schemas.openxmlformats.org/officeDocument/2006/relationships/hyperlink" Target="https://rosstat.gov.ru/folder/210/document/13204" TargetMode="External"/><Relationship Id="rId122" Type="http://schemas.openxmlformats.org/officeDocument/2006/relationships/hyperlink" Target="http://crimestat.ru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7" Type="http://schemas.openxmlformats.org/officeDocument/2006/relationships/table" Target="../tables/table8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4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0"/>
  <sheetViews>
    <sheetView workbookViewId="0">
      <selection activeCell="D2" sqref="D2"/>
    </sheetView>
  </sheetViews>
  <sheetFormatPr defaultColWidth="12.77734375" defaultRowHeight="15" customHeight="1"/>
  <cols>
    <col min="1" max="1" width="22.77734375" customWidth="1"/>
    <col min="2" max="2" width="18.21875" customWidth="1"/>
    <col min="3" max="3" width="7.77734375" customWidth="1"/>
    <col min="4" max="4" width="97.77734375" customWidth="1"/>
    <col min="5" max="5" width="28.77734375" customWidth="1"/>
    <col min="6" max="6" width="32.77734375" customWidth="1"/>
    <col min="7" max="7" width="50" customWidth="1"/>
    <col min="8" max="8" width="13.77734375" customWidth="1"/>
  </cols>
  <sheetData>
    <row r="1" spans="1:17" ht="28.5" customHeight="1">
      <c r="A1" s="1" t="s">
        <v>0</v>
      </c>
      <c r="B1" s="1"/>
      <c r="C1" s="1"/>
      <c r="D1" s="1" t="s">
        <v>1</v>
      </c>
      <c r="E1" s="2"/>
      <c r="F1" s="2"/>
      <c r="G1" s="3" t="s">
        <v>2</v>
      </c>
      <c r="H1" s="4">
        <f t="shared" ref="H1:H6" si="0">COUNTIF(A$12:A$187,G1)</f>
        <v>32</v>
      </c>
      <c r="I1" s="1"/>
      <c r="J1" s="1"/>
      <c r="K1" s="5"/>
      <c r="L1" s="5"/>
      <c r="M1" s="5"/>
      <c r="N1" s="5"/>
      <c r="O1" s="5"/>
      <c r="P1" s="5"/>
      <c r="Q1" s="5"/>
    </row>
    <row r="2" spans="1:17" ht="16.5" customHeight="1">
      <c r="A2" s="1"/>
      <c r="B2" s="1"/>
      <c r="C2" s="1"/>
      <c r="D2" s="1"/>
      <c r="E2" s="2"/>
      <c r="F2" s="2"/>
      <c r="G2" s="6" t="s">
        <v>3</v>
      </c>
      <c r="H2" s="7">
        <f t="shared" si="0"/>
        <v>25</v>
      </c>
      <c r="I2" s="1"/>
      <c r="J2" s="1"/>
      <c r="K2" s="5"/>
      <c r="L2" s="5"/>
      <c r="M2" s="5"/>
      <c r="N2" s="5"/>
      <c r="O2" s="5"/>
      <c r="P2" s="5"/>
      <c r="Q2" s="5"/>
    </row>
    <row r="3" spans="1:17" ht="15.75" customHeight="1">
      <c r="A3" s="1"/>
      <c r="B3" s="1"/>
      <c r="C3" s="1"/>
      <c r="D3" s="1"/>
      <c r="E3" s="2"/>
      <c r="F3" s="2"/>
      <c r="G3" s="6" t="s">
        <v>4</v>
      </c>
      <c r="H3" s="7">
        <f t="shared" si="0"/>
        <v>21</v>
      </c>
      <c r="I3" s="1"/>
      <c r="J3" s="1"/>
      <c r="K3" s="5"/>
      <c r="L3" s="5"/>
      <c r="M3" s="5"/>
      <c r="N3" s="5"/>
      <c r="O3" s="5"/>
      <c r="P3" s="5"/>
      <c r="Q3" s="5"/>
    </row>
    <row r="4" spans="1:17" ht="15.75" customHeight="1">
      <c r="A4" s="1"/>
      <c r="B4" s="1"/>
      <c r="C4" s="1"/>
      <c r="D4" s="1"/>
      <c r="E4" s="2"/>
      <c r="F4" s="2"/>
      <c r="G4" s="6" t="s">
        <v>5</v>
      </c>
      <c r="H4" s="7">
        <f t="shared" si="0"/>
        <v>23</v>
      </c>
      <c r="I4" s="1"/>
      <c r="J4" s="1"/>
      <c r="K4" s="5"/>
      <c r="L4" s="5"/>
      <c r="M4" s="5"/>
      <c r="N4" s="5"/>
      <c r="O4" s="5"/>
      <c r="P4" s="5"/>
      <c r="Q4" s="5"/>
    </row>
    <row r="5" spans="1:17" ht="15.75" customHeight="1">
      <c r="A5" s="1"/>
      <c r="B5" s="1"/>
      <c r="C5" s="1"/>
      <c r="D5" s="1"/>
      <c r="E5" s="2"/>
      <c r="F5" s="2"/>
      <c r="G5" s="6" t="s">
        <v>6</v>
      </c>
      <c r="H5" s="7">
        <f t="shared" si="0"/>
        <v>16</v>
      </c>
      <c r="I5" s="1"/>
      <c r="J5" s="1"/>
      <c r="K5" s="5"/>
      <c r="L5" s="5"/>
      <c r="M5" s="5"/>
      <c r="N5" s="5"/>
      <c r="O5" s="5"/>
      <c r="P5" s="5"/>
      <c r="Q5" s="5"/>
    </row>
    <row r="6" spans="1:17" ht="15.75" customHeight="1">
      <c r="A6" s="1"/>
      <c r="B6" s="1"/>
      <c r="C6" s="1"/>
      <c r="D6" s="1"/>
      <c r="E6" s="2"/>
      <c r="F6" s="2"/>
      <c r="G6" s="8" t="s">
        <v>7</v>
      </c>
      <c r="H6" s="9">
        <f t="shared" si="0"/>
        <v>14</v>
      </c>
      <c r="I6" s="1"/>
      <c r="J6" s="1"/>
      <c r="K6" s="5"/>
      <c r="L6" s="5"/>
      <c r="M6" s="5"/>
      <c r="N6" s="5"/>
      <c r="O6" s="5"/>
      <c r="P6" s="5"/>
      <c r="Q6" s="5"/>
    </row>
    <row r="7" spans="1:17" ht="15.75" customHeight="1">
      <c r="A7" s="1"/>
      <c r="B7" s="1"/>
      <c r="C7" s="1"/>
      <c r="D7" s="1"/>
      <c r="E7" s="1"/>
      <c r="F7" s="1"/>
      <c r="G7" s="1"/>
      <c r="H7" s="1">
        <f>SUM(H1:H6)</f>
        <v>131</v>
      </c>
      <c r="I7" s="1" t="s">
        <v>8</v>
      </c>
      <c r="J7" s="1"/>
      <c r="K7" s="5"/>
      <c r="L7" s="5"/>
      <c r="M7" s="5"/>
      <c r="N7" s="5"/>
      <c r="O7" s="5"/>
      <c r="P7" s="5"/>
      <c r="Q7" s="5"/>
    </row>
    <row r="8" spans="1:17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5"/>
      <c r="L8" s="5"/>
      <c r="M8" s="5"/>
      <c r="N8" s="5"/>
      <c r="O8" s="5"/>
      <c r="P8" s="5"/>
      <c r="Q8" s="5"/>
    </row>
    <row r="9" spans="1:17" ht="15.75" customHeight="1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349" t="s">
        <v>16</v>
      </c>
      <c r="I9" s="345"/>
      <c r="J9" s="1"/>
      <c r="K9" s="5"/>
      <c r="L9" s="5"/>
      <c r="M9" s="5"/>
      <c r="N9" s="5"/>
      <c r="O9" s="5"/>
      <c r="P9" s="5"/>
      <c r="Q9" s="5"/>
    </row>
    <row r="10" spans="1:17" ht="15.75" customHeight="1">
      <c r="A10" s="1"/>
      <c r="B10" s="10"/>
      <c r="C10" s="10"/>
      <c r="D10" s="11" t="s">
        <v>17</v>
      </c>
      <c r="E10" s="1"/>
      <c r="F10" s="1"/>
      <c r="G10" s="12" t="s">
        <v>18</v>
      </c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.75" customHeight="1">
      <c r="A11" s="13" t="s">
        <v>5</v>
      </c>
      <c r="B11" s="14"/>
      <c r="C11" s="14">
        <v>1</v>
      </c>
      <c r="D11" s="15" t="s">
        <v>19</v>
      </c>
      <c r="E11" s="16"/>
      <c r="F11" s="15"/>
      <c r="G11" s="17" t="s">
        <v>20</v>
      </c>
      <c r="H11" s="15"/>
      <c r="I11" s="5"/>
      <c r="J11" s="5"/>
      <c r="K11" s="5"/>
      <c r="L11" s="5"/>
      <c r="M11" s="5"/>
      <c r="N11" s="5"/>
      <c r="O11" s="5"/>
      <c r="P11" s="5"/>
      <c r="Q11" s="5"/>
    </row>
    <row r="12" spans="1:17" ht="15.75" customHeight="1">
      <c r="A12" s="13" t="s">
        <v>2</v>
      </c>
      <c r="B12" s="14"/>
      <c r="C12" s="14">
        <v>2</v>
      </c>
      <c r="D12" s="15" t="s">
        <v>21</v>
      </c>
      <c r="E12" s="16">
        <v>44563</v>
      </c>
      <c r="F12" s="15"/>
      <c r="G12" s="18" t="s">
        <v>22</v>
      </c>
      <c r="H12" s="15" t="s">
        <v>23</v>
      </c>
      <c r="I12" s="5"/>
      <c r="J12" s="5"/>
      <c r="K12" s="5"/>
      <c r="L12" s="5"/>
      <c r="M12" s="5"/>
      <c r="N12" s="5"/>
      <c r="O12" s="5"/>
      <c r="P12" s="5"/>
      <c r="Q12" s="5"/>
    </row>
    <row r="13" spans="1:17" ht="15.75" customHeight="1">
      <c r="A13" s="13" t="s">
        <v>2</v>
      </c>
      <c r="B13" s="14"/>
      <c r="C13" s="14">
        <v>3</v>
      </c>
      <c r="D13" s="15" t="s">
        <v>24</v>
      </c>
      <c r="E13" s="15" t="s">
        <v>25</v>
      </c>
      <c r="F13" s="15"/>
      <c r="G13" s="17" t="s">
        <v>22</v>
      </c>
      <c r="H13" s="15" t="s">
        <v>23</v>
      </c>
      <c r="I13" s="5"/>
      <c r="J13" s="5"/>
      <c r="K13" s="5"/>
      <c r="L13" s="5"/>
      <c r="M13" s="5"/>
      <c r="N13" s="5"/>
      <c r="O13" s="5"/>
      <c r="P13" s="5"/>
      <c r="Q13" s="5"/>
    </row>
    <row r="14" spans="1:17" ht="15.75" customHeight="1">
      <c r="A14" s="13" t="s">
        <v>2</v>
      </c>
      <c r="B14" s="14"/>
      <c r="C14" s="14">
        <v>4</v>
      </c>
      <c r="D14" s="15" t="s">
        <v>26</v>
      </c>
      <c r="E14" s="15" t="s">
        <v>27</v>
      </c>
      <c r="F14" s="15"/>
      <c r="G14" s="19" t="s">
        <v>28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ht="15.75" customHeight="1">
      <c r="A15" s="20" t="s">
        <v>2</v>
      </c>
      <c r="B15" s="14"/>
      <c r="C15" s="14">
        <v>5</v>
      </c>
      <c r="D15" s="15" t="s">
        <v>29</v>
      </c>
      <c r="E15" s="15"/>
      <c r="F15" s="15"/>
      <c r="G15" s="18" t="s">
        <v>30</v>
      </c>
      <c r="H15" s="21" t="s">
        <v>31</v>
      </c>
      <c r="I15" s="22"/>
      <c r="J15" s="23" t="s">
        <v>32</v>
      </c>
      <c r="K15" s="15"/>
      <c r="L15" s="344"/>
      <c r="M15" s="345"/>
      <c r="N15" s="345"/>
      <c r="O15" s="345"/>
      <c r="P15" s="344" t="s">
        <v>33</v>
      </c>
      <c r="Q15" s="345"/>
    </row>
    <row r="16" spans="1:17" ht="15.75" customHeight="1">
      <c r="A16" s="20" t="s">
        <v>2</v>
      </c>
      <c r="B16" s="14"/>
      <c r="C16" s="14">
        <v>6</v>
      </c>
      <c r="D16" s="15" t="s">
        <v>34</v>
      </c>
      <c r="E16" s="15"/>
      <c r="F16" s="15"/>
      <c r="G16" s="15"/>
      <c r="H16" s="21" t="s">
        <v>31</v>
      </c>
      <c r="I16" s="22"/>
      <c r="J16" s="24" t="s">
        <v>35</v>
      </c>
      <c r="K16" s="15"/>
      <c r="L16" s="15"/>
      <c r="M16" s="15"/>
      <c r="N16" s="15"/>
      <c r="O16" s="15"/>
      <c r="P16" s="15"/>
      <c r="Q16" s="15"/>
    </row>
    <row r="17" spans="1:17" ht="15.75" customHeight="1">
      <c r="A17" s="25"/>
      <c r="B17" s="14"/>
      <c r="C17" s="14">
        <v>7</v>
      </c>
      <c r="D17" s="15" t="s">
        <v>36</v>
      </c>
      <c r="E17" s="15"/>
      <c r="F17" s="15"/>
      <c r="G17" s="15" t="s">
        <v>37</v>
      </c>
      <c r="H17" s="15"/>
      <c r="I17" s="15"/>
      <c r="J17" s="15"/>
      <c r="K17" s="15"/>
      <c r="L17" s="344" t="s">
        <v>38</v>
      </c>
      <c r="M17" s="345"/>
      <c r="N17" s="345"/>
      <c r="O17" s="345"/>
      <c r="P17" s="344" t="s">
        <v>33</v>
      </c>
      <c r="Q17" s="345"/>
    </row>
    <row r="18" spans="1:17" ht="15.75" customHeight="1">
      <c r="A18" s="26" t="s">
        <v>39</v>
      </c>
      <c r="B18" s="14"/>
      <c r="C18" s="14">
        <v>8</v>
      </c>
      <c r="D18" s="15" t="s">
        <v>40</v>
      </c>
      <c r="E18" s="15"/>
      <c r="F18" s="15"/>
      <c r="G18" s="27" t="s">
        <v>41</v>
      </c>
      <c r="H18" s="346" t="s">
        <v>42</v>
      </c>
      <c r="I18" s="345"/>
      <c r="J18" s="28" t="s">
        <v>43</v>
      </c>
      <c r="K18" s="344" t="s">
        <v>44</v>
      </c>
      <c r="L18" s="345"/>
      <c r="M18" s="345"/>
      <c r="N18" s="5"/>
      <c r="O18" s="5"/>
      <c r="P18" s="5"/>
      <c r="Q18" s="5"/>
    </row>
    <row r="19" spans="1:17" ht="15.75" customHeight="1">
      <c r="A19" s="25"/>
      <c r="B19" s="14"/>
      <c r="C19" s="14">
        <v>9</v>
      </c>
      <c r="D19" s="29" t="s">
        <v>45</v>
      </c>
      <c r="E19" s="15"/>
      <c r="F19" s="15"/>
      <c r="G19" s="26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5.75" customHeight="1">
      <c r="A20" s="25"/>
      <c r="B20" s="14"/>
      <c r="C20" s="14">
        <v>10</v>
      </c>
      <c r="D20" s="29" t="s">
        <v>46</v>
      </c>
      <c r="E20" s="15"/>
      <c r="F20" s="15"/>
      <c r="G20" s="26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5.75" customHeight="1">
      <c r="A21" s="26" t="s">
        <v>47</v>
      </c>
      <c r="B21" s="14" t="s">
        <v>7</v>
      </c>
      <c r="C21" s="14">
        <v>11</v>
      </c>
      <c r="D21" s="5" t="s">
        <v>48</v>
      </c>
      <c r="E21" s="15" t="s">
        <v>23</v>
      </c>
      <c r="F21" s="15" t="str">
        <f t="shared" ref="F21:F26" si="1">D21</f>
        <v>Индекс социальной напряженности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5.75" customHeight="1">
      <c r="A22" s="26" t="s">
        <v>47</v>
      </c>
      <c r="B22" s="14" t="s">
        <v>5</v>
      </c>
      <c r="C22" s="14">
        <v>12</v>
      </c>
      <c r="D22" s="5" t="s">
        <v>49</v>
      </c>
      <c r="E22" s="15" t="s">
        <v>23</v>
      </c>
      <c r="F22" s="15" t="str">
        <f t="shared" si="1"/>
        <v>Индекс акций протестов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5.75" customHeight="1">
      <c r="A23" s="26" t="s">
        <v>47</v>
      </c>
      <c r="B23" s="14" t="s">
        <v>4</v>
      </c>
      <c r="C23" s="14">
        <v>13</v>
      </c>
      <c r="D23" s="5" t="s">
        <v>50</v>
      </c>
      <c r="E23" s="15" t="s">
        <v>23</v>
      </c>
      <c r="F23" s="15" t="str">
        <f t="shared" si="1"/>
        <v>Индекс митингов и оппозиций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5.75" customHeight="1">
      <c r="A24" s="20" t="s">
        <v>2</v>
      </c>
      <c r="B24" s="14"/>
      <c r="C24" s="14">
        <v>14</v>
      </c>
      <c r="D24" s="15" t="s">
        <v>51</v>
      </c>
      <c r="E24" s="15" t="s">
        <v>23</v>
      </c>
      <c r="F24" s="15" t="str">
        <f t="shared" si="1"/>
        <v>Индекс общественного протестного потенциала</v>
      </c>
      <c r="G24" s="30" t="s">
        <v>52</v>
      </c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75" customHeight="1">
      <c r="A25" s="20" t="s">
        <v>2</v>
      </c>
      <c r="B25" s="14"/>
      <c r="C25" s="14">
        <v>15</v>
      </c>
      <c r="D25" s="15" t="s">
        <v>53</v>
      </c>
      <c r="E25" s="15" t="s">
        <v>23</v>
      </c>
      <c r="F25" s="15" t="str">
        <f t="shared" si="1"/>
        <v>Индекс личного протестного потенциала</v>
      </c>
      <c r="G25" s="30" t="s">
        <v>52</v>
      </c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5.75" customHeight="1">
      <c r="A26" s="20" t="s">
        <v>2</v>
      </c>
      <c r="B26" s="14"/>
      <c r="C26" s="14">
        <v>16</v>
      </c>
      <c r="D26" s="5" t="s">
        <v>54</v>
      </c>
      <c r="E26" s="15" t="s">
        <v>23</v>
      </c>
      <c r="F26" s="15" t="str">
        <f t="shared" si="1"/>
        <v>Индекс «В какой мере Вас устраивает сейчас жизнь, которую Вы ведете?» (Опрос ВЦИОМ)</v>
      </c>
      <c r="G26" s="30" t="s">
        <v>52</v>
      </c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5.75" customHeight="1">
      <c r="A27" s="1"/>
      <c r="B27" s="14"/>
      <c r="C27" s="14"/>
      <c r="D27" s="5"/>
      <c r="E27" s="15"/>
      <c r="F27" s="1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15.75" customHeight="1">
      <c r="A28" s="1"/>
      <c r="B28" s="10"/>
      <c r="C28" s="10"/>
      <c r="D28" s="11" t="s">
        <v>55</v>
      </c>
      <c r="E28" s="15"/>
      <c r="F28" s="1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15.75" customHeight="1">
      <c r="A29" s="20" t="s">
        <v>3</v>
      </c>
      <c r="B29" s="14"/>
      <c r="C29" s="14">
        <v>17</v>
      </c>
      <c r="D29" s="15" t="s">
        <v>56</v>
      </c>
      <c r="E29" s="15"/>
      <c r="F29" s="15"/>
      <c r="G29" s="30" t="s">
        <v>52</v>
      </c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15.75" customHeight="1">
      <c r="A30" s="20" t="s">
        <v>3</v>
      </c>
      <c r="B30" s="14" t="s">
        <v>6</v>
      </c>
      <c r="C30" s="14">
        <v>18</v>
      </c>
      <c r="D30" s="15" t="s">
        <v>57</v>
      </c>
      <c r="E30" s="15"/>
      <c r="F30" s="15"/>
      <c r="G30" s="30" t="s">
        <v>52</v>
      </c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5.75" customHeight="1">
      <c r="A31" s="20" t="s">
        <v>3</v>
      </c>
      <c r="B31" s="14"/>
      <c r="C31" s="14">
        <v>19</v>
      </c>
      <c r="D31" s="15" t="s">
        <v>58</v>
      </c>
      <c r="E31" s="15"/>
      <c r="F31" s="15"/>
      <c r="G31" s="30" t="s">
        <v>52</v>
      </c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5.75" customHeight="1">
      <c r="A32" s="20" t="s">
        <v>3</v>
      </c>
      <c r="B32" s="14" t="s">
        <v>6</v>
      </c>
      <c r="C32" s="14">
        <v>20</v>
      </c>
      <c r="D32" s="15" t="s">
        <v>59</v>
      </c>
      <c r="E32" s="15"/>
      <c r="F32" s="15"/>
      <c r="G32" s="30" t="s">
        <v>52</v>
      </c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15.75" customHeight="1">
      <c r="A33" s="1"/>
      <c r="B33" s="31"/>
      <c r="C33" s="31"/>
      <c r="D33" s="32"/>
      <c r="E33" s="15"/>
      <c r="F33" s="1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15.75" customHeight="1">
      <c r="A34" s="1"/>
      <c r="B34" s="10"/>
      <c r="C34" s="10"/>
      <c r="D34" s="11" t="s">
        <v>60</v>
      </c>
      <c r="E34" s="15"/>
      <c r="F34" s="1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5.75" customHeight="1">
      <c r="A35" s="20" t="s">
        <v>3</v>
      </c>
      <c r="B35" s="14"/>
      <c r="C35" s="14">
        <v>21</v>
      </c>
      <c r="D35" s="15" t="s">
        <v>61</v>
      </c>
      <c r="E35" s="15"/>
      <c r="F35" s="15"/>
      <c r="G35" s="17" t="s">
        <v>22</v>
      </c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15.75" customHeight="1">
      <c r="A36" s="1"/>
      <c r="B36" s="14"/>
      <c r="C36" s="14"/>
      <c r="D36" s="5"/>
      <c r="E36" s="15"/>
      <c r="F36" s="1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5.75" customHeight="1">
      <c r="A37" s="1"/>
      <c r="B37" s="10"/>
      <c r="C37" s="10"/>
      <c r="D37" s="11" t="s">
        <v>62</v>
      </c>
      <c r="E37" s="15"/>
      <c r="F37" s="1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15.75" customHeight="1">
      <c r="A38" s="20" t="s">
        <v>3</v>
      </c>
      <c r="B38" s="14"/>
      <c r="C38" s="14">
        <v>22</v>
      </c>
      <c r="D38" s="15" t="s">
        <v>63</v>
      </c>
      <c r="E38" s="15"/>
      <c r="F38" s="15" t="str">
        <f t="shared" ref="F38:F43" si="2">D38</f>
        <v>Численность населения, тыс. человек</v>
      </c>
      <c r="G38" s="17" t="s">
        <v>22</v>
      </c>
      <c r="H38" s="5" t="s">
        <v>64</v>
      </c>
      <c r="I38" s="5"/>
      <c r="J38" s="5"/>
      <c r="K38" s="5"/>
      <c r="L38" s="5"/>
      <c r="M38" s="5"/>
      <c r="N38" s="5"/>
      <c r="O38" s="5"/>
      <c r="P38" s="5"/>
      <c r="Q38" s="5"/>
    </row>
    <row r="39" spans="1:17" ht="15.75" customHeight="1">
      <c r="A39" s="20" t="s">
        <v>3</v>
      </c>
      <c r="B39" s="14" t="s">
        <v>5</v>
      </c>
      <c r="C39" s="14">
        <v>23</v>
      </c>
      <c r="D39" s="15" t="s">
        <v>65</v>
      </c>
      <c r="E39" s="15"/>
      <c r="F39" s="15" t="str">
        <f t="shared" si="2"/>
        <v>Соотношение мужчин и женщин (на 1000 мужчин приходится женщин)</v>
      </c>
      <c r="G39" s="17" t="s">
        <v>22</v>
      </c>
      <c r="H39" s="5" t="s">
        <v>64</v>
      </c>
      <c r="I39" s="5"/>
      <c r="J39" s="5"/>
      <c r="K39" s="5"/>
      <c r="L39" s="5"/>
      <c r="M39" s="5"/>
      <c r="N39" s="5"/>
      <c r="O39" s="5"/>
      <c r="P39" s="5"/>
      <c r="Q39" s="5"/>
    </row>
    <row r="40" spans="1:17" ht="15.75" customHeight="1">
      <c r="A40" s="20" t="s">
        <v>3</v>
      </c>
      <c r="B40" s="14" t="s">
        <v>5</v>
      </c>
      <c r="C40" s="14">
        <v>24</v>
      </c>
      <c r="D40" s="15" t="s">
        <v>66</v>
      </c>
      <c r="E40" s="15"/>
      <c r="F40" s="15" t="str">
        <f t="shared" si="2"/>
        <v>Возрастной состав населения: моложе трудоспособного возраста (в процентах от общей численности населения)</v>
      </c>
      <c r="G40" s="17" t="s">
        <v>22</v>
      </c>
      <c r="H40" s="5" t="s">
        <v>64</v>
      </c>
      <c r="I40" s="5"/>
      <c r="J40" s="5"/>
      <c r="K40" s="5"/>
      <c r="L40" s="5"/>
      <c r="M40" s="5"/>
      <c r="N40" s="5"/>
      <c r="O40" s="5"/>
      <c r="P40" s="5"/>
      <c r="Q40" s="5"/>
    </row>
    <row r="41" spans="1:17" ht="15.75" customHeight="1">
      <c r="A41" s="20"/>
      <c r="B41" s="14" t="s">
        <v>7</v>
      </c>
      <c r="C41" s="14">
        <v>25</v>
      </c>
      <c r="D41" s="15" t="s">
        <v>67</v>
      </c>
      <c r="E41" s="15"/>
      <c r="F41" s="15" t="str">
        <f t="shared" si="2"/>
        <v>Возрастной состав населения: в трудоспособном возрасте (в процентах от общей численности населения)</v>
      </c>
      <c r="G41" s="17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15.75" customHeight="1">
      <c r="A42" s="20"/>
      <c r="B42" s="14"/>
      <c r="C42" s="14">
        <v>26</v>
      </c>
      <c r="D42" s="15" t="s">
        <v>68</v>
      </c>
      <c r="E42" s="15"/>
      <c r="F42" s="15" t="str">
        <f t="shared" si="2"/>
        <v>Возрастной состав населения: старше трудоспособного возраста (в процентах от общей численности населения)</v>
      </c>
      <c r="G42" s="17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15.75" customHeight="1">
      <c r="A43" s="20" t="s">
        <v>3</v>
      </c>
      <c r="B43" s="14" t="s">
        <v>5</v>
      </c>
      <c r="C43" s="14">
        <v>27</v>
      </c>
      <c r="D43" s="15" t="s">
        <v>69</v>
      </c>
      <c r="E43" s="15"/>
      <c r="F43" s="15" t="str">
        <f t="shared" si="2"/>
        <v>Ожидаемая продолжительность жизни граждан (число лет)</v>
      </c>
      <c r="G43" s="17" t="s">
        <v>22</v>
      </c>
      <c r="H43" s="5" t="s">
        <v>64</v>
      </c>
      <c r="I43" s="5"/>
      <c r="J43" s="5"/>
      <c r="K43" s="5"/>
      <c r="L43" s="5"/>
      <c r="M43" s="5"/>
      <c r="N43" s="5"/>
      <c r="O43" s="5"/>
      <c r="P43" s="5"/>
      <c r="Q43" s="5"/>
    </row>
    <row r="44" spans="1:17" ht="15.75" customHeight="1">
      <c r="A44" s="20" t="s">
        <v>3</v>
      </c>
      <c r="B44" s="14" t="s">
        <v>4</v>
      </c>
      <c r="C44" s="14">
        <v>28</v>
      </c>
      <c r="D44" s="15" t="s">
        <v>70</v>
      </c>
      <c r="E44" s="15"/>
      <c r="F44" s="15"/>
      <c r="G44" s="18" t="s">
        <v>22</v>
      </c>
      <c r="H44" s="5" t="s">
        <v>71</v>
      </c>
      <c r="I44" s="5"/>
      <c r="J44" s="5"/>
      <c r="K44" s="5"/>
      <c r="L44" s="5"/>
      <c r="M44" s="5"/>
      <c r="N44" s="5"/>
      <c r="O44" s="5"/>
      <c r="P44" s="5"/>
      <c r="Q44" s="5"/>
    </row>
    <row r="45" spans="1:17" ht="15.75" customHeight="1">
      <c r="A45" s="33" t="s">
        <v>3</v>
      </c>
      <c r="B45" s="14" t="s">
        <v>6</v>
      </c>
      <c r="C45" s="14">
        <v>29</v>
      </c>
      <c r="D45" s="15" t="s">
        <v>72</v>
      </c>
      <c r="E45" s="15"/>
      <c r="F45" s="15"/>
      <c r="G45" s="17" t="s">
        <v>22</v>
      </c>
      <c r="H45" s="5" t="s">
        <v>73</v>
      </c>
      <c r="I45" s="5"/>
      <c r="J45" s="5"/>
      <c r="K45" s="5"/>
      <c r="L45" s="5"/>
      <c r="M45" s="5"/>
      <c r="N45" s="5"/>
      <c r="O45" s="5"/>
      <c r="P45" s="5"/>
      <c r="Q45" s="5"/>
    </row>
    <row r="46" spans="1:17" ht="15.75" customHeight="1">
      <c r="A46" s="20" t="s">
        <v>3</v>
      </c>
      <c r="B46" s="14" t="s">
        <v>7</v>
      </c>
      <c r="C46" s="14">
        <v>30</v>
      </c>
      <c r="D46" s="15" t="s">
        <v>74</v>
      </c>
      <c r="E46" s="15"/>
      <c r="F46" s="15"/>
      <c r="G46" s="18" t="s">
        <v>22</v>
      </c>
      <c r="H46" s="5" t="s">
        <v>64</v>
      </c>
      <c r="I46" s="5"/>
      <c r="J46" s="5"/>
      <c r="K46" s="5"/>
      <c r="L46" s="5"/>
      <c r="M46" s="5"/>
      <c r="N46" s="5"/>
      <c r="O46" s="5"/>
      <c r="P46" s="5"/>
      <c r="Q46" s="5"/>
    </row>
    <row r="47" spans="1:17" ht="15.75" customHeight="1">
      <c r="A47" s="20" t="s">
        <v>3</v>
      </c>
      <c r="B47" s="14" t="s">
        <v>5</v>
      </c>
      <c r="C47" s="14">
        <v>31</v>
      </c>
      <c r="D47" s="15" t="s">
        <v>75</v>
      </c>
      <c r="E47" s="15"/>
      <c r="F47" s="15"/>
      <c r="G47" s="18" t="s">
        <v>22</v>
      </c>
      <c r="H47" s="5" t="s">
        <v>71</v>
      </c>
      <c r="I47" s="5"/>
      <c r="J47" s="5"/>
      <c r="K47" s="5"/>
      <c r="L47" s="5"/>
      <c r="M47" s="5"/>
      <c r="N47" s="5"/>
      <c r="O47" s="5"/>
      <c r="P47" s="5"/>
      <c r="Q47" s="5"/>
    </row>
    <row r="48" spans="1:17" ht="15.75" customHeight="1">
      <c r="A48" s="20" t="s">
        <v>3</v>
      </c>
      <c r="B48" s="14"/>
      <c r="C48" s="14">
        <v>32</v>
      </c>
      <c r="D48" s="15" t="s">
        <v>76</v>
      </c>
      <c r="E48" s="15"/>
      <c r="F48" s="15"/>
      <c r="G48" s="18" t="s">
        <v>22</v>
      </c>
      <c r="H48" s="5" t="s">
        <v>64</v>
      </c>
      <c r="I48" s="5"/>
      <c r="J48" s="5"/>
      <c r="K48" s="5"/>
      <c r="L48" s="5"/>
      <c r="M48" s="5"/>
      <c r="N48" s="5"/>
      <c r="O48" s="5"/>
      <c r="P48" s="5"/>
      <c r="Q48" s="5"/>
    </row>
    <row r="49" spans="1:17" ht="15.75" customHeight="1">
      <c r="A49" s="20" t="s">
        <v>3</v>
      </c>
      <c r="B49" s="14"/>
      <c r="C49" s="14">
        <v>33</v>
      </c>
      <c r="D49" s="15" t="s">
        <v>77</v>
      </c>
      <c r="E49" s="15"/>
      <c r="F49" s="15"/>
      <c r="G49" s="17" t="s">
        <v>22</v>
      </c>
      <c r="H49" s="5" t="s">
        <v>64</v>
      </c>
      <c r="I49" s="5"/>
      <c r="J49" s="5"/>
      <c r="K49" s="5"/>
      <c r="L49" s="5"/>
      <c r="M49" s="5"/>
      <c r="N49" s="5"/>
      <c r="O49" s="5"/>
      <c r="P49" s="5"/>
      <c r="Q49" s="5"/>
    </row>
    <row r="50" spans="1:17" ht="15.75" customHeight="1">
      <c r="A50" s="1"/>
      <c r="B50" s="34"/>
      <c r="D50" s="5"/>
      <c r="E50" s="15"/>
      <c r="F50" s="1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.75" customHeight="1">
      <c r="A51" s="1"/>
      <c r="B51" s="34"/>
      <c r="D51" s="11" t="s">
        <v>78</v>
      </c>
      <c r="E51" s="15"/>
      <c r="F51" s="1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.75" customHeight="1">
      <c r="A52" s="20" t="s">
        <v>3</v>
      </c>
      <c r="B52" s="14" t="s">
        <v>79</v>
      </c>
      <c r="C52" s="14">
        <v>34</v>
      </c>
      <c r="D52" s="15" t="s">
        <v>80</v>
      </c>
      <c r="E52" s="15"/>
      <c r="F52" s="15"/>
      <c r="G52" s="17" t="s">
        <v>22</v>
      </c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.75" customHeight="1">
      <c r="A53" s="20" t="s">
        <v>3</v>
      </c>
      <c r="B53" s="14" t="s">
        <v>3</v>
      </c>
      <c r="C53" s="14">
        <v>35</v>
      </c>
      <c r="D53" s="15" t="s">
        <v>81</v>
      </c>
      <c r="E53" s="15"/>
      <c r="F53" s="15"/>
      <c r="G53" s="18" t="s">
        <v>22</v>
      </c>
      <c r="H53" s="5" t="s">
        <v>64</v>
      </c>
      <c r="I53" s="5"/>
      <c r="J53" s="5"/>
      <c r="K53" s="5"/>
      <c r="L53" s="5"/>
      <c r="M53" s="5"/>
      <c r="N53" s="5"/>
      <c r="O53" s="5"/>
      <c r="P53" s="5"/>
      <c r="Q53" s="5"/>
    </row>
    <row r="54" spans="1:17" ht="15.75" customHeight="1">
      <c r="A54" s="20" t="s">
        <v>3</v>
      </c>
      <c r="B54" s="14" t="s">
        <v>79</v>
      </c>
      <c r="C54" s="14">
        <v>36</v>
      </c>
      <c r="D54" s="15" t="s">
        <v>82</v>
      </c>
      <c r="E54" s="15"/>
      <c r="F54" s="15"/>
      <c r="G54" s="17" t="s">
        <v>22</v>
      </c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.75" customHeight="1">
      <c r="A55" s="33" t="s">
        <v>3</v>
      </c>
      <c r="B55" s="14"/>
      <c r="C55" s="14">
        <v>37</v>
      </c>
      <c r="D55" s="15" t="s">
        <v>83</v>
      </c>
      <c r="E55" s="15"/>
      <c r="F55" s="15"/>
      <c r="G55" s="17" t="s">
        <v>22</v>
      </c>
      <c r="H55" s="5" t="s">
        <v>84</v>
      </c>
      <c r="I55" s="5"/>
      <c r="J55" s="5"/>
      <c r="K55" s="5"/>
      <c r="L55" s="5"/>
      <c r="M55" s="5"/>
      <c r="N55" s="5"/>
      <c r="O55" s="5"/>
      <c r="P55" s="5"/>
      <c r="Q55" s="5"/>
    </row>
    <row r="56" spans="1:17" ht="15.75" customHeight="1">
      <c r="A56" s="20" t="s">
        <v>3</v>
      </c>
      <c r="B56" s="14" t="s">
        <v>2</v>
      </c>
      <c r="C56" s="14">
        <v>38</v>
      </c>
      <c r="D56" s="15" t="s">
        <v>85</v>
      </c>
      <c r="E56" s="15"/>
      <c r="F56" s="15"/>
      <c r="G56" s="17" t="s">
        <v>22</v>
      </c>
      <c r="H56" s="5" t="s">
        <v>71</v>
      </c>
      <c r="I56" s="5"/>
      <c r="J56" s="5"/>
      <c r="K56" s="5"/>
      <c r="L56" s="5"/>
      <c r="M56" s="5"/>
      <c r="N56" s="5"/>
      <c r="O56" s="5"/>
      <c r="P56" s="5"/>
      <c r="Q56" s="5"/>
    </row>
    <row r="57" spans="1:17" ht="15.75" customHeight="1">
      <c r="A57" s="33" t="s">
        <v>86</v>
      </c>
      <c r="B57" s="14"/>
      <c r="C57" s="14">
        <v>39</v>
      </c>
      <c r="D57" s="15" t="s">
        <v>87</v>
      </c>
      <c r="E57" s="15"/>
      <c r="F57" s="15"/>
      <c r="G57" s="17" t="s">
        <v>22</v>
      </c>
      <c r="H57" s="347" t="s">
        <v>88</v>
      </c>
      <c r="I57" s="17"/>
      <c r="J57" s="5"/>
      <c r="K57" s="5"/>
      <c r="M57" s="5"/>
      <c r="N57" s="5"/>
      <c r="O57" s="5"/>
      <c r="P57" s="5"/>
      <c r="Q57" s="5"/>
    </row>
    <row r="58" spans="1:17" ht="15.75" customHeight="1">
      <c r="A58" s="33" t="s">
        <v>3</v>
      </c>
      <c r="B58" s="14"/>
      <c r="C58" s="14">
        <v>40</v>
      </c>
      <c r="D58" s="15" t="s">
        <v>89</v>
      </c>
      <c r="E58" s="15"/>
      <c r="F58" s="15"/>
      <c r="G58" s="18" t="s">
        <v>22</v>
      </c>
      <c r="H58" s="345"/>
      <c r="I58" s="17"/>
      <c r="J58" s="5"/>
      <c r="K58" s="5"/>
      <c r="L58" s="5"/>
      <c r="M58" s="5"/>
      <c r="N58" s="5"/>
      <c r="O58" s="5"/>
      <c r="P58" s="5"/>
      <c r="Q58" s="5"/>
    </row>
    <row r="59" spans="1:17" ht="15.75" customHeight="1">
      <c r="A59" s="33" t="s">
        <v>3</v>
      </c>
      <c r="B59" s="14"/>
      <c r="C59" s="14">
        <v>41</v>
      </c>
      <c r="D59" s="15" t="s">
        <v>90</v>
      </c>
      <c r="E59" s="15"/>
      <c r="F59" s="15"/>
      <c r="G59" s="17" t="s">
        <v>22</v>
      </c>
      <c r="H59" s="345"/>
      <c r="I59" s="17"/>
      <c r="J59" s="5"/>
      <c r="K59" s="5"/>
      <c r="L59" s="5"/>
      <c r="M59" s="5"/>
      <c r="N59" s="5"/>
      <c r="O59" s="5"/>
      <c r="P59" s="5"/>
      <c r="Q59" s="5"/>
    </row>
    <row r="60" spans="1:17" ht="15.75" customHeight="1">
      <c r="A60" s="1"/>
      <c r="B60" s="34"/>
      <c r="D60" s="5"/>
      <c r="E60" s="15"/>
      <c r="F60" s="1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.75" customHeight="1">
      <c r="A61" s="1"/>
      <c r="B61" s="34"/>
      <c r="D61" s="11" t="s">
        <v>91</v>
      </c>
      <c r="E61" s="15"/>
      <c r="F61" s="1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.75" customHeight="1">
      <c r="A62" s="35" t="s">
        <v>5</v>
      </c>
      <c r="B62" s="14"/>
      <c r="C62" s="14">
        <v>42</v>
      </c>
      <c r="D62" s="15" t="s">
        <v>92</v>
      </c>
      <c r="E62" s="15"/>
      <c r="F62" s="15"/>
      <c r="G62" s="17" t="s">
        <v>22</v>
      </c>
      <c r="H62" s="36" t="s">
        <v>93</v>
      </c>
      <c r="I62" s="5"/>
      <c r="J62" s="5"/>
      <c r="K62" s="5"/>
      <c r="L62" s="5"/>
      <c r="M62" s="5"/>
      <c r="N62" s="5"/>
      <c r="O62" s="5"/>
      <c r="P62" s="5"/>
      <c r="Q62" s="5"/>
    </row>
    <row r="63" spans="1:17" ht="15.75" customHeight="1">
      <c r="A63" s="35" t="s">
        <v>5</v>
      </c>
      <c r="B63" s="14" t="s">
        <v>5</v>
      </c>
      <c r="C63" s="14">
        <v>43</v>
      </c>
      <c r="D63" s="15" t="s">
        <v>94</v>
      </c>
      <c r="E63" s="15"/>
      <c r="F63" s="15"/>
      <c r="G63" s="17" t="s">
        <v>22</v>
      </c>
      <c r="H63" s="36" t="s">
        <v>93</v>
      </c>
      <c r="I63" s="5"/>
      <c r="J63" s="5"/>
      <c r="K63" s="5"/>
      <c r="L63" s="5"/>
      <c r="M63" s="5"/>
      <c r="N63" s="5"/>
      <c r="O63" s="5"/>
      <c r="P63" s="5"/>
      <c r="Q63" s="5"/>
    </row>
    <row r="64" spans="1:17" ht="15.75" customHeight="1">
      <c r="A64" s="35" t="s">
        <v>2</v>
      </c>
      <c r="B64" s="14" t="s">
        <v>2</v>
      </c>
      <c r="C64" s="14">
        <v>44</v>
      </c>
      <c r="D64" s="15" t="s">
        <v>95</v>
      </c>
      <c r="E64" s="15"/>
      <c r="F64" s="15"/>
      <c r="G64" s="27" t="s">
        <v>96</v>
      </c>
      <c r="H64" s="36" t="s">
        <v>97</v>
      </c>
      <c r="J64" s="27"/>
      <c r="K64" s="5"/>
      <c r="L64" s="5"/>
      <c r="M64" s="5"/>
      <c r="N64" s="5"/>
      <c r="O64" s="5"/>
      <c r="P64" s="5"/>
      <c r="Q64" s="5"/>
    </row>
    <row r="65" spans="1:17" ht="15.75" customHeight="1">
      <c r="A65" s="35" t="s">
        <v>2</v>
      </c>
      <c r="B65" s="14" t="s">
        <v>7</v>
      </c>
      <c r="C65" s="14">
        <v>45</v>
      </c>
      <c r="D65" s="15" t="s">
        <v>98</v>
      </c>
      <c r="E65" s="15"/>
      <c r="F65" s="15"/>
      <c r="G65" s="17" t="s">
        <v>22</v>
      </c>
      <c r="H65" s="348" t="s">
        <v>99</v>
      </c>
      <c r="I65" s="345"/>
      <c r="J65" s="345"/>
      <c r="K65" s="345"/>
      <c r="L65" s="345"/>
      <c r="M65" s="345"/>
      <c r="N65" s="5"/>
      <c r="O65" s="5"/>
      <c r="P65" s="5"/>
      <c r="Q65" s="5"/>
    </row>
    <row r="66" spans="1:17" ht="15.75" customHeight="1">
      <c r="A66" s="35" t="s">
        <v>2</v>
      </c>
      <c r="B66" s="14"/>
      <c r="C66" s="14">
        <v>46</v>
      </c>
      <c r="D66" s="15" t="s">
        <v>100</v>
      </c>
      <c r="E66" s="15"/>
      <c r="F66" s="15"/>
      <c r="G66" s="17" t="s">
        <v>22</v>
      </c>
      <c r="H66" s="348" t="s">
        <v>99</v>
      </c>
      <c r="I66" s="345"/>
      <c r="J66" s="345"/>
      <c r="K66" s="345"/>
      <c r="L66" s="345"/>
      <c r="M66" s="345"/>
      <c r="N66" s="5"/>
      <c r="O66" s="5"/>
      <c r="P66" s="5"/>
      <c r="Q66" s="5"/>
    </row>
    <row r="67" spans="1:17" ht="15.75" customHeight="1">
      <c r="A67" s="1"/>
      <c r="B67" s="34"/>
      <c r="D67" s="5"/>
      <c r="E67" s="15"/>
      <c r="F67" s="15"/>
      <c r="G67" s="5"/>
      <c r="H67" s="15" t="s">
        <v>23</v>
      </c>
      <c r="I67" s="5"/>
      <c r="J67" s="5"/>
      <c r="K67" s="5"/>
      <c r="L67" s="5"/>
      <c r="M67" s="5"/>
      <c r="N67" s="5"/>
      <c r="O67" s="5"/>
      <c r="P67" s="5"/>
      <c r="Q67" s="5"/>
    </row>
    <row r="68" spans="1:17" ht="15.75" customHeight="1">
      <c r="A68" s="1"/>
      <c r="B68" s="34"/>
      <c r="D68" s="11" t="s">
        <v>101</v>
      </c>
      <c r="E68" s="15"/>
      <c r="F68" s="1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.75" customHeight="1">
      <c r="A69" s="37" t="s">
        <v>5</v>
      </c>
      <c r="B69" s="14" t="s">
        <v>5</v>
      </c>
      <c r="C69" s="14">
        <v>47</v>
      </c>
      <c r="D69" s="15" t="s">
        <v>102</v>
      </c>
      <c r="E69" s="15"/>
      <c r="F69" s="15"/>
      <c r="G69" s="17" t="s">
        <v>22</v>
      </c>
      <c r="H69" s="36" t="s">
        <v>93</v>
      </c>
      <c r="I69" s="5"/>
      <c r="J69" s="5"/>
      <c r="K69" s="5"/>
      <c r="L69" s="5"/>
      <c r="M69" s="5"/>
      <c r="N69" s="5"/>
      <c r="O69" s="5"/>
      <c r="P69" s="5"/>
      <c r="Q69" s="5"/>
    </row>
    <row r="70" spans="1:17" ht="15.75" customHeight="1">
      <c r="A70" s="37" t="s">
        <v>5</v>
      </c>
      <c r="B70" s="14"/>
      <c r="C70" s="14">
        <v>48</v>
      </c>
      <c r="D70" s="15" t="s">
        <v>103</v>
      </c>
      <c r="E70" s="15"/>
      <c r="F70" s="15"/>
      <c r="G70" s="17" t="s">
        <v>22</v>
      </c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.75" customHeight="1">
      <c r="A71" s="37" t="s">
        <v>5</v>
      </c>
      <c r="B71" s="14" t="s">
        <v>2</v>
      </c>
      <c r="C71" s="14">
        <v>49</v>
      </c>
      <c r="D71" s="15" t="s">
        <v>104</v>
      </c>
      <c r="E71" s="15"/>
      <c r="F71" s="15"/>
      <c r="G71" s="17" t="s">
        <v>22</v>
      </c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33.75" customHeight="1">
      <c r="A72" s="37" t="s">
        <v>5</v>
      </c>
      <c r="B72" s="14" t="s">
        <v>7</v>
      </c>
      <c r="C72" s="14">
        <v>50</v>
      </c>
      <c r="D72" s="15" t="s">
        <v>105</v>
      </c>
      <c r="E72" s="15"/>
      <c r="F72" s="15"/>
      <c r="G72" s="17" t="s">
        <v>22</v>
      </c>
      <c r="H72" s="38" t="s">
        <v>106</v>
      </c>
      <c r="I72" s="5"/>
      <c r="J72" s="5"/>
      <c r="K72" s="5"/>
      <c r="L72" s="5"/>
      <c r="M72" s="5"/>
      <c r="N72" s="5"/>
      <c r="O72" s="5"/>
      <c r="P72" s="5"/>
      <c r="Q72" s="5"/>
    </row>
    <row r="73" spans="1:17" ht="15.75" customHeight="1">
      <c r="A73" s="37" t="s">
        <v>5</v>
      </c>
      <c r="B73" s="14" t="s">
        <v>2</v>
      </c>
      <c r="C73" s="14">
        <v>51</v>
      </c>
      <c r="D73" s="15" t="s">
        <v>107</v>
      </c>
      <c r="E73" s="15"/>
      <c r="F73" s="15"/>
      <c r="G73" s="17" t="s">
        <v>22</v>
      </c>
      <c r="H73" s="36" t="s">
        <v>93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t="15.75" customHeight="1">
      <c r="A74" s="39" t="s">
        <v>6</v>
      </c>
      <c r="B74" s="14"/>
      <c r="C74" s="14">
        <v>52</v>
      </c>
      <c r="D74" s="15" t="s">
        <v>108</v>
      </c>
      <c r="E74" s="15"/>
      <c r="F74" s="15"/>
      <c r="G74" s="17" t="s">
        <v>22</v>
      </c>
      <c r="H74" s="5" t="s">
        <v>109</v>
      </c>
      <c r="I74" s="5"/>
      <c r="J74" s="5"/>
      <c r="K74" s="5"/>
      <c r="L74" s="5"/>
      <c r="M74" s="5"/>
      <c r="N74" s="5"/>
      <c r="O74" s="5"/>
      <c r="P74" s="5"/>
      <c r="Q74" s="5"/>
    </row>
    <row r="75" spans="1:17" ht="15.75" customHeight="1">
      <c r="A75" s="10" t="s">
        <v>7</v>
      </c>
      <c r="B75" s="14"/>
      <c r="C75" s="14">
        <v>53</v>
      </c>
      <c r="D75" s="15" t="s">
        <v>110</v>
      </c>
      <c r="E75" s="15"/>
      <c r="F75" s="15"/>
      <c r="G75" s="17" t="s">
        <v>22</v>
      </c>
      <c r="H75" s="5" t="s">
        <v>111</v>
      </c>
      <c r="I75" s="5"/>
      <c r="J75" s="5"/>
      <c r="K75" s="5"/>
      <c r="L75" s="5"/>
      <c r="M75" s="5"/>
      <c r="N75" s="5"/>
      <c r="O75" s="5"/>
      <c r="P75" s="5"/>
      <c r="Q75" s="5"/>
    </row>
    <row r="76" spans="1:17" ht="15.75" customHeight="1">
      <c r="A76" s="37" t="s">
        <v>2</v>
      </c>
      <c r="B76" s="14" t="s">
        <v>112</v>
      </c>
      <c r="C76" s="14">
        <v>54</v>
      </c>
      <c r="D76" s="15" t="s">
        <v>113</v>
      </c>
      <c r="E76" s="15"/>
      <c r="F76" s="15"/>
      <c r="G76" s="17" t="s">
        <v>22</v>
      </c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.75" customHeight="1">
      <c r="A77" s="37" t="s">
        <v>2</v>
      </c>
      <c r="B77" s="14" t="s">
        <v>3</v>
      </c>
      <c r="C77" s="14">
        <v>55</v>
      </c>
      <c r="D77" s="15" t="s">
        <v>114</v>
      </c>
      <c r="E77" s="15"/>
      <c r="F77" s="15"/>
      <c r="G77" s="17" t="s">
        <v>22</v>
      </c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.75" customHeight="1">
      <c r="A78" s="37" t="s">
        <v>2</v>
      </c>
      <c r="B78" s="14"/>
      <c r="C78" s="14">
        <v>56</v>
      </c>
      <c r="D78" s="15" t="s">
        <v>115</v>
      </c>
      <c r="E78" s="15"/>
      <c r="F78" s="15"/>
      <c r="G78" s="17" t="s">
        <v>22</v>
      </c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.75" customHeight="1">
      <c r="A79" s="37" t="s">
        <v>2</v>
      </c>
      <c r="B79" s="14" t="s">
        <v>2</v>
      </c>
      <c r="C79" s="14">
        <v>57</v>
      </c>
      <c r="D79" s="15" t="s">
        <v>116</v>
      </c>
      <c r="E79" s="15"/>
      <c r="F79" s="15"/>
      <c r="G79" s="18" t="s">
        <v>22</v>
      </c>
      <c r="H79" s="5"/>
      <c r="I79" s="17"/>
      <c r="J79" s="5"/>
      <c r="K79" s="5"/>
      <c r="L79" s="5"/>
      <c r="M79" s="5"/>
      <c r="N79" s="5"/>
      <c r="O79" s="5"/>
      <c r="P79" s="5"/>
      <c r="Q79" s="5"/>
    </row>
    <row r="80" spans="1:17" ht="15.75" customHeight="1">
      <c r="A80" s="10"/>
      <c r="B80" s="34"/>
      <c r="D80" s="5"/>
      <c r="E80" s="15"/>
      <c r="F80" s="1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.75" customHeight="1">
      <c r="A81" s="10"/>
      <c r="B81" s="34"/>
      <c r="D81" s="11" t="s">
        <v>117</v>
      </c>
      <c r="E81" s="15"/>
      <c r="F81" s="1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.75" customHeight="1">
      <c r="A82" s="33" t="s">
        <v>2</v>
      </c>
      <c r="B82" s="14"/>
      <c r="C82" s="14">
        <v>58</v>
      </c>
      <c r="D82" s="15" t="s">
        <v>118</v>
      </c>
      <c r="E82" s="15"/>
      <c r="F82" s="15"/>
      <c r="G82" s="17" t="s">
        <v>22</v>
      </c>
      <c r="H82" s="5" t="s">
        <v>119</v>
      </c>
      <c r="I82" s="5"/>
      <c r="J82" s="5"/>
      <c r="K82" s="5"/>
      <c r="L82" s="5"/>
      <c r="M82" s="5"/>
      <c r="N82" s="5"/>
      <c r="O82" s="5"/>
      <c r="P82" s="5"/>
      <c r="Q82" s="5"/>
    </row>
    <row r="83" spans="1:17" ht="15.75" customHeight="1">
      <c r="A83" s="37" t="s">
        <v>2</v>
      </c>
      <c r="B83" s="14" t="s">
        <v>4</v>
      </c>
      <c r="C83" s="14">
        <v>59</v>
      </c>
      <c r="D83" s="15" t="s">
        <v>120</v>
      </c>
      <c r="E83" s="15"/>
      <c r="F83" s="15"/>
      <c r="G83" s="18" t="s">
        <v>22</v>
      </c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.75" customHeight="1">
      <c r="A84" s="37" t="s">
        <v>2</v>
      </c>
      <c r="B84" s="14" t="s">
        <v>2</v>
      </c>
      <c r="C84" s="14">
        <v>60</v>
      </c>
      <c r="D84" s="15" t="s">
        <v>121</v>
      </c>
      <c r="E84" s="15"/>
      <c r="F84" s="15"/>
      <c r="G84" s="17" t="s">
        <v>22</v>
      </c>
      <c r="H84" s="5"/>
      <c r="I84" s="40">
        <v>44825</v>
      </c>
      <c r="J84" s="5"/>
      <c r="K84" s="5"/>
      <c r="L84" s="5"/>
      <c r="M84" s="5"/>
      <c r="N84" s="5"/>
      <c r="O84" s="5"/>
      <c r="P84" s="5"/>
      <c r="Q84" s="5"/>
    </row>
    <row r="85" spans="1:17" ht="15.75" customHeight="1">
      <c r="A85" s="37" t="s">
        <v>2</v>
      </c>
      <c r="B85" s="14" t="s">
        <v>2</v>
      </c>
      <c r="C85" s="14">
        <v>61</v>
      </c>
      <c r="D85" s="15" t="s">
        <v>122</v>
      </c>
      <c r="E85" s="15"/>
      <c r="F85" s="15"/>
      <c r="G85" s="17" t="s">
        <v>28</v>
      </c>
      <c r="H85" s="5"/>
      <c r="I85" s="17"/>
      <c r="J85" s="5"/>
      <c r="K85" s="5"/>
      <c r="L85" s="5"/>
      <c r="M85" s="5"/>
      <c r="N85" s="5"/>
      <c r="O85" s="5"/>
      <c r="P85" s="5"/>
      <c r="Q85" s="5"/>
    </row>
    <row r="86" spans="1:17" ht="15.75" customHeight="1">
      <c r="A86" s="37" t="s">
        <v>2</v>
      </c>
      <c r="B86" s="14" t="s">
        <v>3</v>
      </c>
      <c r="C86" s="14">
        <v>62</v>
      </c>
      <c r="D86" s="15" t="s">
        <v>123</v>
      </c>
      <c r="E86" s="15"/>
      <c r="F86" s="15"/>
      <c r="G86" s="17" t="s">
        <v>124</v>
      </c>
      <c r="H86" s="5"/>
      <c r="I86" s="17"/>
      <c r="J86" s="5"/>
      <c r="K86" s="5"/>
      <c r="L86" s="5"/>
      <c r="M86" s="5"/>
      <c r="N86" s="5"/>
      <c r="O86" s="5"/>
      <c r="P86" s="5"/>
      <c r="Q86" s="5"/>
    </row>
    <row r="87" spans="1:17" ht="15.75" customHeight="1">
      <c r="A87" s="37" t="s">
        <v>2</v>
      </c>
      <c r="B87" s="14" t="s">
        <v>7</v>
      </c>
      <c r="C87" s="14">
        <v>63</v>
      </c>
      <c r="D87" s="15" t="s">
        <v>125</v>
      </c>
      <c r="E87" s="15"/>
      <c r="F87" s="15"/>
      <c r="G87" s="17" t="s">
        <v>22</v>
      </c>
      <c r="H87" s="5"/>
      <c r="I87" s="17"/>
      <c r="J87" s="5"/>
      <c r="K87" s="5"/>
      <c r="L87" s="5"/>
      <c r="M87" s="5"/>
      <c r="N87" s="5"/>
      <c r="O87" s="5"/>
      <c r="P87" s="5"/>
      <c r="Q87" s="5"/>
    </row>
    <row r="88" spans="1:17" ht="15.75" customHeight="1">
      <c r="A88" s="37" t="s">
        <v>2</v>
      </c>
      <c r="B88" s="14" t="s">
        <v>4</v>
      </c>
      <c r="C88" s="14">
        <v>64</v>
      </c>
      <c r="D88" s="15" t="s">
        <v>126</v>
      </c>
      <c r="E88" s="15"/>
      <c r="F88" s="15"/>
      <c r="G88" s="17" t="s">
        <v>22</v>
      </c>
      <c r="H88" s="5"/>
      <c r="I88" s="17"/>
      <c r="J88" s="5"/>
      <c r="K88" s="5"/>
      <c r="L88" s="5"/>
      <c r="M88" s="5"/>
      <c r="N88" s="5"/>
      <c r="O88" s="5"/>
      <c r="P88" s="5"/>
      <c r="Q88" s="5"/>
    </row>
    <row r="89" spans="1:17" ht="15.75" customHeight="1">
      <c r="A89" s="37" t="s">
        <v>2</v>
      </c>
      <c r="B89" s="14" t="s">
        <v>2</v>
      </c>
      <c r="C89" s="14">
        <v>65</v>
      </c>
      <c r="D89" s="15" t="s">
        <v>127</v>
      </c>
      <c r="E89" s="15"/>
      <c r="F89" s="15"/>
      <c r="G89" s="17" t="s">
        <v>22</v>
      </c>
      <c r="H89" s="5"/>
      <c r="I89" s="17"/>
      <c r="J89" s="5"/>
      <c r="K89" s="5"/>
      <c r="L89" s="5"/>
      <c r="M89" s="5"/>
      <c r="N89" s="5"/>
      <c r="O89" s="5"/>
      <c r="P89" s="5"/>
      <c r="Q89" s="5"/>
    </row>
    <row r="90" spans="1:17" ht="15.75" customHeight="1">
      <c r="A90" s="37" t="s">
        <v>2</v>
      </c>
      <c r="B90" s="14" t="s">
        <v>2</v>
      </c>
      <c r="C90" s="14">
        <v>66</v>
      </c>
      <c r="D90" s="15" t="s">
        <v>128</v>
      </c>
      <c r="E90" s="15"/>
      <c r="F90" s="15"/>
      <c r="G90" s="17" t="s">
        <v>22</v>
      </c>
      <c r="H90" s="5"/>
      <c r="I90" s="17"/>
      <c r="J90" s="5"/>
      <c r="K90" s="5"/>
      <c r="L90" s="5"/>
      <c r="M90" s="5"/>
      <c r="N90" s="5"/>
      <c r="O90" s="5"/>
      <c r="P90" s="5"/>
      <c r="Q90" s="5"/>
    </row>
    <row r="91" spans="1:17" ht="15.75" customHeight="1">
      <c r="A91" s="37" t="s">
        <v>2</v>
      </c>
      <c r="B91" s="14" t="s">
        <v>2</v>
      </c>
      <c r="C91" s="14">
        <v>67</v>
      </c>
      <c r="D91" s="15" t="s">
        <v>129</v>
      </c>
      <c r="E91" s="15"/>
      <c r="F91" s="15"/>
      <c r="G91" s="18" t="s">
        <v>22</v>
      </c>
      <c r="H91" s="5"/>
      <c r="I91" s="17"/>
      <c r="J91" s="5"/>
      <c r="K91" s="5"/>
      <c r="L91" s="5"/>
      <c r="M91" s="5"/>
      <c r="N91" s="5"/>
      <c r="O91" s="5"/>
      <c r="P91" s="5"/>
      <c r="Q91" s="5"/>
    </row>
    <row r="92" spans="1:17" ht="15.75" customHeight="1">
      <c r="A92" s="37" t="s">
        <v>2</v>
      </c>
      <c r="B92" s="14" t="s">
        <v>2</v>
      </c>
      <c r="C92" s="14">
        <v>68</v>
      </c>
      <c r="D92" s="15" t="s">
        <v>130</v>
      </c>
      <c r="E92" s="15"/>
      <c r="F92" s="15"/>
      <c r="G92" s="17" t="s">
        <v>22</v>
      </c>
      <c r="H92" s="5"/>
      <c r="I92" s="17"/>
      <c r="J92" s="5"/>
      <c r="K92" s="5"/>
      <c r="L92" s="5"/>
      <c r="M92" s="5"/>
      <c r="N92" s="5"/>
      <c r="O92" s="5"/>
      <c r="P92" s="5"/>
      <c r="Q92" s="5"/>
    </row>
    <row r="93" spans="1:17" ht="15.75" customHeight="1">
      <c r="A93" s="33" t="s">
        <v>2</v>
      </c>
      <c r="B93" s="14"/>
      <c r="C93" s="14">
        <v>69</v>
      </c>
      <c r="D93" s="15" t="s">
        <v>131</v>
      </c>
      <c r="E93" s="15"/>
      <c r="F93" s="15"/>
      <c r="G93" s="41"/>
      <c r="H93" s="5" t="s">
        <v>132</v>
      </c>
      <c r="I93" s="5"/>
      <c r="J93" s="5"/>
      <c r="K93" s="5"/>
      <c r="L93" s="5"/>
      <c r="M93" s="5"/>
      <c r="N93" s="5"/>
      <c r="O93" s="5"/>
      <c r="P93" s="5"/>
      <c r="Q93" s="5"/>
    </row>
    <row r="94" spans="1:17" ht="15.75" customHeight="1">
      <c r="A94" s="33" t="s">
        <v>2</v>
      </c>
      <c r="B94" s="14"/>
      <c r="C94" s="14">
        <v>70</v>
      </c>
      <c r="D94" s="15" t="s">
        <v>133</v>
      </c>
      <c r="E94" s="15"/>
      <c r="F94" s="15"/>
      <c r="G94" s="41"/>
      <c r="H94" s="5" t="s">
        <v>134</v>
      </c>
      <c r="I94" s="5"/>
      <c r="J94" s="5"/>
      <c r="K94" s="5"/>
      <c r="L94" s="5"/>
      <c r="M94" s="5"/>
      <c r="N94" s="5"/>
      <c r="O94" s="5"/>
      <c r="P94" s="5"/>
      <c r="Q94" s="5"/>
    </row>
    <row r="95" spans="1:17" ht="15.75" customHeight="1">
      <c r="A95" s="1"/>
      <c r="B95" s="34"/>
      <c r="D95" s="5"/>
      <c r="E95" s="15"/>
      <c r="F95" s="15"/>
      <c r="G95" s="41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.75" customHeight="1">
      <c r="A96" s="1"/>
      <c r="B96" s="34"/>
      <c r="D96" s="11" t="s">
        <v>135</v>
      </c>
      <c r="E96" s="15"/>
      <c r="F96" s="1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.75" customHeight="1">
      <c r="A97" s="37" t="s">
        <v>2</v>
      </c>
      <c r="B97" s="14"/>
      <c r="C97" s="14">
        <v>71</v>
      </c>
      <c r="D97" s="15" t="s">
        <v>136</v>
      </c>
      <c r="E97" s="15"/>
      <c r="F97" s="15"/>
      <c r="G97" s="17" t="s">
        <v>22</v>
      </c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.75" customHeight="1">
      <c r="A98" s="37" t="s">
        <v>2</v>
      </c>
      <c r="B98" s="14" t="s">
        <v>4</v>
      </c>
      <c r="C98" s="14">
        <v>72</v>
      </c>
      <c r="D98" s="15" t="s">
        <v>137</v>
      </c>
      <c r="E98" s="15"/>
      <c r="F98" s="15"/>
      <c r="G98" s="17" t="s">
        <v>22</v>
      </c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.75" customHeight="1">
      <c r="A99" s="37" t="s">
        <v>2</v>
      </c>
      <c r="B99" s="14" t="s">
        <v>5</v>
      </c>
      <c r="C99" s="14">
        <v>73</v>
      </c>
      <c r="D99" s="15" t="s">
        <v>138</v>
      </c>
      <c r="E99" s="15"/>
      <c r="F99" s="15"/>
      <c r="G99" s="18" t="s">
        <v>22</v>
      </c>
      <c r="H99" s="42" t="s">
        <v>139</v>
      </c>
      <c r="I99" s="5"/>
      <c r="J99" s="5"/>
      <c r="K99" s="5"/>
      <c r="L99" s="5"/>
      <c r="M99" s="5"/>
      <c r="N99" s="5"/>
      <c r="O99" s="5"/>
      <c r="P99" s="5"/>
      <c r="Q99" s="5"/>
    </row>
    <row r="100" spans="1:17" ht="15.75" customHeight="1">
      <c r="A100" s="37" t="s">
        <v>2</v>
      </c>
      <c r="B100" s="14"/>
      <c r="C100" s="14">
        <v>74</v>
      </c>
      <c r="D100" s="15" t="s">
        <v>140</v>
      </c>
      <c r="E100" s="15"/>
      <c r="F100" s="15"/>
      <c r="G100" s="17" t="s">
        <v>22</v>
      </c>
      <c r="H100" s="42" t="s">
        <v>139</v>
      </c>
      <c r="I100" s="17"/>
      <c r="J100" s="5"/>
      <c r="K100" s="5"/>
      <c r="L100" s="5"/>
      <c r="M100" s="5"/>
      <c r="N100" s="5"/>
      <c r="O100" s="5"/>
      <c r="P100" s="5"/>
      <c r="Q100" s="5"/>
    </row>
    <row r="101" spans="1:17" ht="15.75" customHeight="1">
      <c r="A101" s="10" t="s">
        <v>7</v>
      </c>
      <c r="B101" s="14" t="s">
        <v>3</v>
      </c>
      <c r="C101" s="14">
        <v>75</v>
      </c>
      <c r="D101" s="15" t="s">
        <v>141</v>
      </c>
      <c r="E101" s="15"/>
      <c r="F101" s="15"/>
      <c r="G101" s="5"/>
      <c r="H101" s="5" t="s">
        <v>142</v>
      </c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.75" customHeight="1">
      <c r="A102" s="1"/>
      <c r="B102" s="34"/>
      <c r="D102" s="5"/>
      <c r="E102" s="15"/>
      <c r="F102" s="1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.75" customHeight="1">
      <c r="A103" s="1"/>
      <c r="B103" s="34"/>
      <c r="D103" s="11" t="s">
        <v>143</v>
      </c>
      <c r="E103" s="15"/>
      <c r="F103" s="1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.75" customHeight="1">
      <c r="A104" s="43" t="s">
        <v>4</v>
      </c>
      <c r="B104" s="14" t="s">
        <v>5</v>
      </c>
      <c r="C104" s="14">
        <v>76</v>
      </c>
      <c r="D104" s="15" t="s">
        <v>144</v>
      </c>
      <c r="E104" s="15"/>
      <c r="F104" s="15"/>
      <c r="G104" s="17" t="s">
        <v>22</v>
      </c>
      <c r="H104" s="5" t="s">
        <v>145</v>
      </c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.75" customHeight="1">
      <c r="A105" s="43" t="s">
        <v>4</v>
      </c>
      <c r="B105" s="14" t="s">
        <v>4</v>
      </c>
      <c r="C105" s="14">
        <v>77</v>
      </c>
      <c r="D105" s="15" t="s">
        <v>146</v>
      </c>
      <c r="E105" s="15"/>
      <c r="F105" s="15"/>
      <c r="G105" s="17" t="s">
        <v>22</v>
      </c>
      <c r="H105" s="5" t="s">
        <v>145</v>
      </c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.75" customHeight="1">
      <c r="A106" s="43" t="s">
        <v>4</v>
      </c>
      <c r="B106" s="14" t="s">
        <v>2</v>
      </c>
      <c r="C106" s="14">
        <v>78</v>
      </c>
      <c r="D106" s="15" t="s">
        <v>147</v>
      </c>
      <c r="E106" s="15"/>
      <c r="F106" s="15"/>
      <c r="G106" s="17" t="s">
        <v>22</v>
      </c>
      <c r="H106" s="5" t="s">
        <v>145</v>
      </c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.75" customHeight="1">
      <c r="A107" s="43" t="s">
        <v>4</v>
      </c>
      <c r="B107" s="14" t="s">
        <v>79</v>
      </c>
      <c r="C107" s="14">
        <v>79</v>
      </c>
      <c r="D107" s="15" t="s">
        <v>148</v>
      </c>
      <c r="E107" s="15"/>
      <c r="F107" s="15"/>
      <c r="G107" s="17" t="s">
        <v>22</v>
      </c>
      <c r="H107" s="5" t="s">
        <v>145</v>
      </c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.75" customHeight="1">
      <c r="A108" s="43" t="s">
        <v>4</v>
      </c>
      <c r="B108" s="14" t="s">
        <v>3</v>
      </c>
      <c r="C108" s="14">
        <v>80</v>
      </c>
      <c r="D108" s="15" t="s">
        <v>149</v>
      </c>
      <c r="E108" s="15"/>
      <c r="F108" s="15"/>
      <c r="G108" s="44" t="s">
        <v>22</v>
      </c>
      <c r="H108" s="5" t="s">
        <v>145</v>
      </c>
      <c r="I108" s="17"/>
      <c r="J108" s="5"/>
      <c r="K108" s="5"/>
      <c r="L108" s="5"/>
      <c r="M108" s="5"/>
      <c r="N108" s="5"/>
      <c r="O108" s="5"/>
      <c r="P108" s="5"/>
      <c r="Q108" s="5"/>
    </row>
    <row r="109" spans="1:17" ht="15.75" customHeight="1">
      <c r="A109" s="1"/>
      <c r="B109" s="34"/>
      <c r="D109" s="5"/>
      <c r="E109" s="15"/>
      <c r="F109" s="1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.75" customHeight="1">
      <c r="A110" s="1"/>
      <c r="B110" s="34"/>
      <c r="D110" s="11" t="s">
        <v>150</v>
      </c>
      <c r="E110" s="15"/>
      <c r="F110" s="1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.75" customHeight="1">
      <c r="A111" s="37" t="s">
        <v>5</v>
      </c>
      <c r="B111" s="14" t="s">
        <v>5</v>
      </c>
      <c r="C111" s="14">
        <v>81</v>
      </c>
      <c r="D111" s="15" t="s">
        <v>151</v>
      </c>
      <c r="E111" s="15"/>
      <c r="F111" s="15"/>
      <c r="G111" s="17" t="s">
        <v>22</v>
      </c>
      <c r="H111" s="36" t="s">
        <v>152</v>
      </c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.75" customHeight="1">
      <c r="A112" s="43" t="s">
        <v>3</v>
      </c>
      <c r="B112" s="14"/>
      <c r="C112" s="14">
        <v>82</v>
      </c>
      <c r="D112" s="15" t="s">
        <v>153</v>
      </c>
      <c r="E112" s="15"/>
      <c r="F112" s="15"/>
      <c r="G112" s="17" t="s">
        <v>22</v>
      </c>
      <c r="H112" s="5" t="s">
        <v>154</v>
      </c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.75" customHeight="1">
      <c r="A113" s="43" t="s">
        <v>4</v>
      </c>
      <c r="B113" s="14" t="s">
        <v>7</v>
      </c>
      <c r="C113" s="14">
        <v>83</v>
      </c>
      <c r="D113" s="15" t="s">
        <v>155</v>
      </c>
      <c r="E113" s="15"/>
      <c r="F113" s="15"/>
      <c r="G113" s="17" t="s">
        <v>22</v>
      </c>
      <c r="H113" s="5" t="s">
        <v>156</v>
      </c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.75" customHeight="1">
      <c r="A114" s="43" t="s">
        <v>4</v>
      </c>
      <c r="B114" s="14" t="s">
        <v>3</v>
      </c>
      <c r="C114" s="14">
        <v>84</v>
      </c>
      <c r="D114" s="15" t="s">
        <v>157</v>
      </c>
      <c r="E114" s="15"/>
      <c r="F114" s="15"/>
      <c r="G114" s="17" t="s">
        <v>22</v>
      </c>
      <c r="H114" s="5" t="s">
        <v>156</v>
      </c>
      <c r="I114" s="17"/>
      <c r="J114" s="5"/>
      <c r="K114" s="5"/>
      <c r="L114" s="5"/>
      <c r="M114" s="5"/>
      <c r="N114" s="5"/>
      <c r="O114" s="5"/>
      <c r="P114" s="5"/>
      <c r="Q114" s="5"/>
    </row>
    <row r="115" spans="1:17" ht="15.75" customHeight="1">
      <c r="A115" s="43" t="s">
        <v>4</v>
      </c>
      <c r="B115" s="14" t="s">
        <v>4</v>
      </c>
      <c r="C115" s="14">
        <v>85</v>
      </c>
      <c r="D115" s="15" t="s">
        <v>158</v>
      </c>
      <c r="E115" s="15"/>
      <c r="F115" s="15"/>
      <c r="G115" s="17" t="s">
        <v>22</v>
      </c>
      <c r="H115" s="5" t="s">
        <v>156</v>
      </c>
      <c r="I115" s="17"/>
      <c r="J115" s="5"/>
      <c r="K115" s="5"/>
      <c r="L115" s="5"/>
      <c r="M115" s="5"/>
      <c r="N115" s="5"/>
      <c r="O115" s="5"/>
      <c r="P115" s="5"/>
      <c r="Q115" s="5"/>
    </row>
    <row r="116" spans="1:17" ht="15.75" customHeight="1">
      <c r="A116" s="45" t="s">
        <v>3</v>
      </c>
      <c r="B116" s="14"/>
      <c r="C116" s="14">
        <v>86</v>
      </c>
      <c r="D116" s="15" t="s">
        <v>159</v>
      </c>
      <c r="E116" s="15"/>
      <c r="F116" s="15"/>
      <c r="G116" s="17" t="s">
        <v>22</v>
      </c>
      <c r="H116" s="5" t="s">
        <v>160</v>
      </c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.75" customHeight="1">
      <c r="A117" s="37" t="s">
        <v>5</v>
      </c>
      <c r="B117" s="14"/>
      <c r="C117" s="14">
        <v>87</v>
      </c>
      <c r="D117" s="15" t="s">
        <v>161</v>
      </c>
      <c r="E117" s="15"/>
      <c r="F117" s="15"/>
      <c r="G117" s="18" t="s">
        <v>22</v>
      </c>
      <c r="H117" s="36" t="s">
        <v>162</v>
      </c>
      <c r="I117" s="5"/>
      <c r="J117" s="5"/>
      <c r="K117" s="46"/>
      <c r="L117" s="5"/>
      <c r="M117" s="5"/>
      <c r="N117" s="5"/>
      <c r="O117" s="5"/>
      <c r="P117" s="5"/>
      <c r="Q117" s="5"/>
    </row>
    <row r="118" spans="1:17" ht="15.75" customHeight="1">
      <c r="A118" s="47" t="s">
        <v>7</v>
      </c>
      <c r="B118" s="14" t="s">
        <v>5</v>
      </c>
      <c r="C118" s="14">
        <v>88</v>
      </c>
      <c r="D118" s="15" t="s">
        <v>163</v>
      </c>
      <c r="E118" s="15"/>
      <c r="F118" s="15"/>
      <c r="G118" s="18" t="s">
        <v>22</v>
      </c>
      <c r="H118" s="5" t="s">
        <v>156</v>
      </c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.75" customHeight="1">
      <c r="A119" s="47" t="s">
        <v>7</v>
      </c>
      <c r="B119" s="14" t="s">
        <v>7</v>
      </c>
      <c r="C119" s="14">
        <v>89</v>
      </c>
      <c r="D119" s="15" t="s">
        <v>164</v>
      </c>
      <c r="E119" s="15"/>
      <c r="F119" s="15"/>
      <c r="G119" s="18" t="s">
        <v>22</v>
      </c>
      <c r="H119" s="5" t="s">
        <v>0</v>
      </c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.75" customHeight="1">
      <c r="A120" s="37" t="s">
        <v>5</v>
      </c>
      <c r="B120" s="14" t="s">
        <v>5</v>
      </c>
      <c r="C120" s="14">
        <v>90</v>
      </c>
      <c r="D120" s="15" t="s">
        <v>165</v>
      </c>
      <c r="E120" s="15"/>
      <c r="F120" s="15"/>
      <c r="G120" s="17" t="s">
        <v>22</v>
      </c>
      <c r="H120" s="36" t="s">
        <v>162</v>
      </c>
      <c r="I120" s="17"/>
      <c r="J120" s="5"/>
      <c r="K120" s="5"/>
      <c r="L120" s="5"/>
      <c r="M120" s="5"/>
      <c r="N120" s="5"/>
      <c r="O120" s="5"/>
      <c r="P120" s="5"/>
      <c r="Q120" s="5"/>
    </row>
    <row r="121" spans="1:17" ht="15.75" customHeight="1">
      <c r="A121" s="37" t="s">
        <v>5</v>
      </c>
      <c r="B121" s="14" t="s">
        <v>3</v>
      </c>
      <c r="C121" s="14">
        <v>91</v>
      </c>
      <c r="D121" s="15" t="s">
        <v>166</v>
      </c>
      <c r="E121" s="15"/>
      <c r="F121" s="15"/>
      <c r="G121" s="44" t="s">
        <v>22</v>
      </c>
      <c r="H121" s="36" t="s">
        <v>162</v>
      </c>
      <c r="I121" s="17"/>
      <c r="J121" s="5"/>
      <c r="K121" s="5"/>
      <c r="L121" s="5"/>
      <c r="M121" s="5"/>
      <c r="N121" s="5"/>
      <c r="O121" s="5"/>
      <c r="P121" s="5"/>
      <c r="Q121" s="5"/>
    </row>
    <row r="122" spans="1:17" ht="15.75" customHeight="1">
      <c r="A122" s="47" t="s">
        <v>7</v>
      </c>
      <c r="B122" s="14" t="s">
        <v>3</v>
      </c>
      <c r="C122" s="14">
        <v>92</v>
      </c>
      <c r="D122" s="15" t="s">
        <v>167</v>
      </c>
      <c r="E122" s="15"/>
      <c r="F122" s="15"/>
      <c r="G122" s="17" t="s">
        <v>22</v>
      </c>
      <c r="H122" s="5" t="s">
        <v>156</v>
      </c>
      <c r="I122" s="17"/>
      <c r="J122" s="5"/>
      <c r="K122" s="5"/>
      <c r="L122" s="5"/>
      <c r="M122" s="5"/>
      <c r="N122" s="5"/>
      <c r="O122" s="5"/>
      <c r="P122" s="5"/>
      <c r="Q122" s="5"/>
    </row>
    <row r="123" spans="1:17" ht="15.75" customHeight="1">
      <c r="A123" s="48" t="s">
        <v>7</v>
      </c>
      <c r="B123" s="14"/>
      <c r="C123" s="14">
        <v>93</v>
      </c>
      <c r="D123" s="49" t="s">
        <v>168</v>
      </c>
      <c r="E123" s="15"/>
      <c r="F123" s="15"/>
      <c r="G123" s="17"/>
      <c r="H123" s="36" t="s">
        <v>156</v>
      </c>
      <c r="I123" s="17"/>
      <c r="J123" s="5"/>
      <c r="K123" s="5"/>
      <c r="L123" s="5"/>
      <c r="M123" s="5"/>
      <c r="N123" s="5"/>
      <c r="O123" s="5"/>
      <c r="P123" s="5"/>
      <c r="Q123" s="5"/>
    </row>
    <row r="124" spans="1:17" ht="15.75" customHeight="1">
      <c r="A124" s="37" t="s">
        <v>5</v>
      </c>
      <c r="B124" s="14" t="s">
        <v>5</v>
      </c>
      <c r="C124" s="14">
        <v>94</v>
      </c>
      <c r="D124" s="15" t="s">
        <v>169</v>
      </c>
      <c r="E124" s="15"/>
      <c r="F124" s="15"/>
      <c r="G124" s="18" t="s">
        <v>22</v>
      </c>
      <c r="H124" s="36" t="s">
        <v>162</v>
      </c>
      <c r="I124" s="17"/>
      <c r="J124" s="5"/>
      <c r="K124" s="5"/>
      <c r="L124" s="5"/>
      <c r="M124" s="5"/>
      <c r="N124" s="5"/>
      <c r="O124" s="5"/>
      <c r="P124" s="5"/>
      <c r="Q124" s="5"/>
    </row>
    <row r="125" spans="1:17" ht="15.75" customHeight="1">
      <c r="A125" s="37" t="s">
        <v>5</v>
      </c>
      <c r="B125" s="14" t="s">
        <v>4</v>
      </c>
      <c r="C125" s="14">
        <v>95</v>
      </c>
      <c r="D125" s="15" t="s">
        <v>170</v>
      </c>
      <c r="E125" s="15"/>
      <c r="F125" s="15"/>
      <c r="G125" s="17" t="s">
        <v>22</v>
      </c>
      <c r="H125" s="36" t="s">
        <v>162</v>
      </c>
      <c r="I125" s="17"/>
      <c r="J125" s="5"/>
      <c r="K125" s="5"/>
      <c r="L125" s="5"/>
      <c r="M125" s="5"/>
      <c r="N125" s="5"/>
      <c r="O125" s="5"/>
      <c r="P125" s="5"/>
      <c r="Q125" s="5"/>
    </row>
    <row r="126" spans="1:17" ht="15.75" customHeight="1">
      <c r="A126" s="47" t="s">
        <v>7</v>
      </c>
      <c r="B126" s="14" t="s">
        <v>5</v>
      </c>
      <c r="C126" s="14">
        <v>96</v>
      </c>
      <c r="D126" s="15" t="s">
        <v>171</v>
      </c>
      <c r="E126" s="15"/>
      <c r="F126" s="15"/>
      <c r="G126" s="17" t="s">
        <v>22</v>
      </c>
      <c r="H126" s="5" t="s">
        <v>172</v>
      </c>
      <c r="I126" s="17"/>
      <c r="J126" s="5"/>
      <c r="K126" s="5"/>
      <c r="L126" s="5"/>
      <c r="M126" s="5"/>
      <c r="N126" s="5"/>
      <c r="O126" s="5"/>
      <c r="P126" s="5"/>
      <c r="Q126" s="5"/>
    </row>
    <row r="127" spans="1:17" ht="15.75" customHeight="1">
      <c r="A127" s="1"/>
      <c r="B127" s="34"/>
      <c r="D127" s="5"/>
      <c r="E127" s="15"/>
      <c r="F127" s="15"/>
      <c r="G127" s="41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.75" customHeight="1">
      <c r="A128" s="1"/>
      <c r="B128" s="34"/>
      <c r="D128" s="11" t="s">
        <v>173</v>
      </c>
      <c r="E128" s="15"/>
      <c r="F128" s="15"/>
      <c r="G128" s="41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.75" customHeight="1">
      <c r="A129" s="43" t="s">
        <v>4</v>
      </c>
      <c r="B129" s="14" t="s">
        <v>4</v>
      </c>
      <c r="C129" s="14">
        <v>97</v>
      </c>
      <c r="D129" s="15" t="s">
        <v>174</v>
      </c>
      <c r="E129" s="15"/>
      <c r="F129" s="15"/>
      <c r="G129" s="17" t="s">
        <v>22</v>
      </c>
      <c r="H129" s="5" t="s">
        <v>162</v>
      </c>
      <c r="I129" s="17"/>
      <c r="J129" s="5"/>
      <c r="K129" s="5"/>
      <c r="L129" s="5"/>
      <c r="M129" s="5"/>
      <c r="N129" s="5"/>
      <c r="O129" s="5"/>
      <c r="P129" s="5"/>
      <c r="Q129" s="5"/>
    </row>
    <row r="130" spans="1:17" ht="15.75" customHeight="1">
      <c r="A130" s="43" t="s">
        <v>4</v>
      </c>
      <c r="B130" s="14" t="s">
        <v>2</v>
      </c>
      <c r="C130" s="14">
        <v>98</v>
      </c>
      <c r="D130" s="15" t="s">
        <v>175</v>
      </c>
      <c r="E130" s="15"/>
      <c r="F130" s="15"/>
      <c r="G130" s="17" t="s">
        <v>22</v>
      </c>
      <c r="H130" s="5" t="s">
        <v>162</v>
      </c>
      <c r="I130" s="17"/>
      <c r="J130" s="5"/>
      <c r="K130" s="5"/>
      <c r="L130" s="5"/>
      <c r="M130" s="5"/>
      <c r="N130" s="5"/>
      <c r="O130" s="5"/>
      <c r="P130" s="5"/>
      <c r="Q130" s="5"/>
    </row>
    <row r="131" spans="1:17" ht="15.75" customHeight="1">
      <c r="A131" s="43" t="s">
        <v>4</v>
      </c>
      <c r="B131" s="14" t="s">
        <v>4</v>
      </c>
      <c r="C131" s="14">
        <v>99</v>
      </c>
      <c r="D131" s="15" t="s">
        <v>176</v>
      </c>
      <c r="E131" s="15"/>
      <c r="F131" s="15"/>
      <c r="G131" s="17" t="s">
        <v>22</v>
      </c>
      <c r="H131" s="5" t="s">
        <v>177</v>
      </c>
      <c r="I131" s="17"/>
      <c r="J131" s="5"/>
      <c r="K131" s="5"/>
      <c r="L131" s="5"/>
      <c r="M131" s="5"/>
      <c r="N131" s="5"/>
      <c r="O131" s="5"/>
      <c r="P131" s="5"/>
      <c r="Q131" s="5"/>
    </row>
    <row r="132" spans="1:17" ht="15.75" customHeight="1">
      <c r="A132" s="1"/>
      <c r="B132" s="34"/>
      <c r="D132" s="5"/>
      <c r="E132" s="15"/>
      <c r="F132" s="1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.75" customHeight="1">
      <c r="A133" s="1"/>
      <c r="B133" s="34"/>
      <c r="D133" s="11" t="s">
        <v>178</v>
      </c>
      <c r="E133" s="15"/>
      <c r="F133" s="1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.75" customHeight="1">
      <c r="A134" s="43" t="s">
        <v>4</v>
      </c>
      <c r="B134" s="14" t="s">
        <v>4</v>
      </c>
      <c r="C134" s="14">
        <v>100</v>
      </c>
      <c r="D134" s="15" t="s">
        <v>179</v>
      </c>
      <c r="E134" s="15"/>
      <c r="F134" s="15"/>
      <c r="G134" s="17" t="s">
        <v>22</v>
      </c>
      <c r="H134" s="5" t="s">
        <v>162</v>
      </c>
      <c r="I134" s="17"/>
      <c r="J134" s="5"/>
      <c r="K134" s="5"/>
      <c r="L134" s="5"/>
      <c r="M134" s="5"/>
      <c r="N134" s="5"/>
      <c r="O134" s="5"/>
      <c r="P134" s="5"/>
      <c r="Q134" s="5"/>
    </row>
    <row r="135" spans="1:17" ht="15.75" customHeight="1">
      <c r="A135" s="43" t="s">
        <v>4</v>
      </c>
      <c r="B135" s="14" t="s">
        <v>2</v>
      </c>
      <c r="C135" s="14">
        <v>101</v>
      </c>
      <c r="D135" s="15" t="s">
        <v>180</v>
      </c>
      <c r="E135" s="15"/>
      <c r="F135" s="15"/>
      <c r="G135" s="18" t="s">
        <v>22</v>
      </c>
      <c r="H135" s="5" t="s">
        <v>181</v>
      </c>
      <c r="I135" s="17"/>
      <c r="J135" s="5"/>
      <c r="K135" s="5"/>
      <c r="L135" s="5"/>
      <c r="M135" s="5"/>
      <c r="N135" s="5"/>
      <c r="O135" s="5"/>
      <c r="P135" s="5"/>
      <c r="Q135" s="5"/>
    </row>
    <row r="136" spans="1:17" ht="15.75" customHeight="1">
      <c r="A136" s="47" t="s">
        <v>7</v>
      </c>
      <c r="B136" s="14" t="s">
        <v>2</v>
      </c>
      <c r="C136" s="14">
        <v>102</v>
      </c>
      <c r="D136" s="15" t="s">
        <v>182</v>
      </c>
      <c r="E136" s="15"/>
      <c r="F136" s="15"/>
      <c r="G136" s="17" t="s">
        <v>22</v>
      </c>
      <c r="H136" s="5" t="s">
        <v>183</v>
      </c>
      <c r="I136" s="17"/>
      <c r="J136" s="5"/>
      <c r="K136" s="5"/>
      <c r="L136" s="5"/>
      <c r="M136" s="5"/>
      <c r="N136" s="5"/>
      <c r="O136" s="5"/>
      <c r="P136" s="5"/>
      <c r="Q136" s="5"/>
    </row>
    <row r="137" spans="1:17" ht="15.75" customHeight="1">
      <c r="A137" s="47" t="s">
        <v>7</v>
      </c>
      <c r="B137" s="14" t="s">
        <v>7</v>
      </c>
      <c r="C137" s="14">
        <v>103</v>
      </c>
      <c r="D137" s="50" t="s">
        <v>184</v>
      </c>
      <c r="E137" s="15"/>
      <c r="F137" s="15"/>
      <c r="G137" s="17" t="s">
        <v>22</v>
      </c>
      <c r="H137" s="5" t="s">
        <v>185</v>
      </c>
      <c r="I137" s="17"/>
      <c r="J137" s="5"/>
      <c r="K137" s="5"/>
      <c r="L137" s="5"/>
      <c r="M137" s="5"/>
      <c r="N137" s="5"/>
      <c r="O137" s="5"/>
      <c r="P137" s="5"/>
      <c r="Q137" s="5"/>
    </row>
    <row r="138" spans="1:17" ht="15.75" customHeight="1">
      <c r="A138" s="1" t="s">
        <v>7</v>
      </c>
      <c r="B138" s="14" t="s">
        <v>2</v>
      </c>
      <c r="C138" s="14">
        <v>104</v>
      </c>
      <c r="D138" s="51" t="s">
        <v>186</v>
      </c>
      <c r="E138" s="15"/>
      <c r="F138" s="15"/>
      <c r="G138" s="5"/>
      <c r="H138" s="5" t="s">
        <v>185</v>
      </c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.75" customHeight="1">
      <c r="A139" s="1"/>
      <c r="B139" s="34"/>
      <c r="D139" s="5"/>
      <c r="E139" s="15"/>
      <c r="F139" s="1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.75" customHeight="1">
      <c r="A140" s="1"/>
      <c r="B140" s="34"/>
      <c r="D140" s="11" t="s">
        <v>187</v>
      </c>
      <c r="E140" s="15"/>
      <c r="F140" s="1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.75" customHeight="1">
      <c r="A141" s="37" t="s">
        <v>6</v>
      </c>
      <c r="B141" s="14" t="s">
        <v>2</v>
      </c>
      <c r="C141" s="14">
        <v>105</v>
      </c>
      <c r="D141" s="15" t="s">
        <v>188</v>
      </c>
      <c r="E141" s="15"/>
      <c r="F141" s="15"/>
      <c r="G141" s="17" t="s">
        <v>22</v>
      </c>
      <c r="H141" s="5" t="s">
        <v>189</v>
      </c>
      <c r="I141" s="17"/>
      <c r="J141" s="5"/>
      <c r="K141" s="5"/>
      <c r="L141" s="5"/>
      <c r="M141" s="5"/>
      <c r="N141" s="5"/>
      <c r="O141" s="5"/>
      <c r="P141" s="5"/>
      <c r="Q141" s="5"/>
    </row>
    <row r="142" spans="1:17" ht="15.75" customHeight="1">
      <c r="A142" s="37" t="s">
        <v>6</v>
      </c>
      <c r="B142" s="14" t="s">
        <v>3</v>
      </c>
      <c r="C142" s="14">
        <v>106</v>
      </c>
      <c r="D142" s="15" t="s">
        <v>190</v>
      </c>
      <c r="E142" s="15"/>
      <c r="F142" s="15"/>
      <c r="G142" s="17" t="s">
        <v>22</v>
      </c>
      <c r="H142" s="5" t="s">
        <v>189</v>
      </c>
      <c r="I142" s="17"/>
      <c r="J142" s="5"/>
      <c r="K142" s="5"/>
      <c r="L142" s="5"/>
      <c r="M142" s="5"/>
      <c r="N142" s="5"/>
      <c r="O142" s="5"/>
      <c r="P142" s="5"/>
      <c r="Q142" s="5"/>
    </row>
    <row r="143" spans="1:17" ht="15.75" customHeight="1">
      <c r="A143" s="37" t="s">
        <v>6</v>
      </c>
      <c r="B143" s="14" t="s">
        <v>4</v>
      </c>
      <c r="C143" s="14">
        <v>107</v>
      </c>
      <c r="D143" s="15" t="s">
        <v>191</v>
      </c>
      <c r="E143" s="15"/>
      <c r="F143" s="15"/>
      <c r="G143" s="17" t="s">
        <v>22</v>
      </c>
      <c r="H143" s="5" t="s">
        <v>189</v>
      </c>
      <c r="I143" s="17"/>
      <c r="J143" s="5"/>
      <c r="K143" s="5"/>
      <c r="L143" s="5"/>
      <c r="M143" s="5"/>
      <c r="N143" s="5"/>
      <c r="O143" s="5"/>
      <c r="P143" s="5"/>
      <c r="Q143" s="5"/>
    </row>
    <row r="144" spans="1:17" ht="15.75" customHeight="1">
      <c r="A144" s="37" t="s">
        <v>6</v>
      </c>
      <c r="B144" s="14"/>
      <c r="C144" s="14">
        <v>108</v>
      </c>
      <c r="D144" s="15" t="s">
        <v>192</v>
      </c>
      <c r="E144" s="15"/>
      <c r="F144" s="15"/>
      <c r="G144" s="17" t="s">
        <v>22</v>
      </c>
      <c r="H144" s="5" t="s">
        <v>193</v>
      </c>
      <c r="I144" s="17"/>
      <c r="J144" s="5"/>
      <c r="K144" s="5"/>
      <c r="L144" s="5"/>
      <c r="M144" s="5"/>
      <c r="N144" s="5"/>
      <c r="O144" s="5"/>
      <c r="P144" s="5"/>
      <c r="Q144" s="5"/>
    </row>
    <row r="145" spans="1:17" ht="15.75" customHeight="1">
      <c r="A145" s="1"/>
      <c r="B145" s="34"/>
      <c r="D145" s="5"/>
      <c r="E145" s="15"/>
      <c r="F145" s="1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.75" customHeight="1">
      <c r="A146" s="1"/>
      <c r="B146" s="34"/>
      <c r="D146" s="11" t="s">
        <v>194</v>
      </c>
      <c r="E146" s="15"/>
      <c r="F146" s="1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.75" customHeight="1">
      <c r="A147" s="43" t="s">
        <v>4</v>
      </c>
      <c r="B147" s="14" t="s">
        <v>2</v>
      </c>
      <c r="C147" s="14">
        <v>109</v>
      </c>
      <c r="D147" s="15" t="s">
        <v>195</v>
      </c>
      <c r="E147" s="15"/>
      <c r="F147" s="15"/>
      <c r="G147" s="17" t="s">
        <v>22</v>
      </c>
      <c r="H147" s="5" t="s">
        <v>162</v>
      </c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.75" customHeight="1">
      <c r="A148" s="43" t="s">
        <v>4</v>
      </c>
      <c r="B148" s="14" t="s">
        <v>6</v>
      </c>
      <c r="C148" s="14">
        <v>110</v>
      </c>
      <c r="D148" s="15" t="s">
        <v>196</v>
      </c>
      <c r="E148" s="15"/>
      <c r="F148" s="15"/>
      <c r="G148" s="17" t="s">
        <v>22</v>
      </c>
      <c r="H148" s="5" t="s">
        <v>162</v>
      </c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.75" customHeight="1">
      <c r="A149" s="43" t="s">
        <v>4</v>
      </c>
      <c r="B149" s="14" t="s">
        <v>6</v>
      </c>
      <c r="C149" s="14">
        <v>111</v>
      </c>
      <c r="D149" s="15" t="s">
        <v>197</v>
      </c>
      <c r="E149" s="15"/>
      <c r="F149" s="15"/>
      <c r="G149" s="17" t="s">
        <v>22</v>
      </c>
      <c r="H149" s="5" t="s">
        <v>162</v>
      </c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.75" customHeight="1">
      <c r="A150" s="43" t="s">
        <v>4</v>
      </c>
      <c r="B150" s="14" t="s">
        <v>2</v>
      </c>
      <c r="C150" s="14">
        <v>112</v>
      </c>
      <c r="D150" s="15" t="s">
        <v>198</v>
      </c>
      <c r="E150" s="15"/>
      <c r="F150" s="15"/>
      <c r="G150" s="17" t="s">
        <v>22</v>
      </c>
      <c r="H150" s="5" t="s">
        <v>199</v>
      </c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.75" customHeight="1">
      <c r="A151" s="43" t="s">
        <v>4</v>
      </c>
      <c r="B151" s="14" t="s">
        <v>7</v>
      </c>
      <c r="C151" s="14">
        <v>113</v>
      </c>
      <c r="D151" s="15" t="s">
        <v>200</v>
      </c>
      <c r="E151" s="15"/>
      <c r="F151" s="15"/>
      <c r="G151" s="17" t="s">
        <v>22</v>
      </c>
      <c r="H151" s="5" t="s">
        <v>162</v>
      </c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.75" customHeight="1">
      <c r="A152" s="43" t="s">
        <v>4</v>
      </c>
      <c r="B152" s="14"/>
      <c r="C152" s="14">
        <v>114</v>
      </c>
      <c r="D152" s="15" t="s">
        <v>201</v>
      </c>
      <c r="E152" s="15"/>
      <c r="F152" s="15"/>
      <c r="G152" s="17" t="s">
        <v>22</v>
      </c>
      <c r="H152" s="5" t="s">
        <v>162</v>
      </c>
      <c r="I152" s="17"/>
      <c r="J152" s="5"/>
      <c r="K152" s="5"/>
      <c r="L152" s="5"/>
      <c r="M152" s="5"/>
      <c r="N152" s="5"/>
      <c r="O152" s="5"/>
      <c r="P152" s="5"/>
      <c r="Q152" s="5"/>
    </row>
    <row r="153" spans="1:17" ht="15.75" customHeight="1">
      <c r="A153" s="43" t="s">
        <v>4</v>
      </c>
      <c r="B153" s="14" t="s">
        <v>2</v>
      </c>
      <c r="C153" s="14">
        <v>115</v>
      </c>
      <c r="D153" s="15" t="s">
        <v>202</v>
      </c>
      <c r="E153" s="15"/>
      <c r="F153" s="15"/>
      <c r="G153" s="17" t="s">
        <v>22</v>
      </c>
      <c r="H153" s="5" t="s">
        <v>162</v>
      </c>
      <c r="I153" s="17"/>
      <c r="J153" s="5"/>
      <c r="K153" s="5"/>
      <c r="L153" s="5"/>
      <c r="M153" s="5"/>
      <c r="N153" s="5"/>
      <c r="O153" s="5"/>
      <c r="P153" s="5"/>
      <c r="Q153" s="5"/>
    </row>
    <row r="154" spans="1:17" ht="15.75" customHeight="1">
      <c r="A154" s="43" t="s">
        <v>4</v>
      </c>
      <c r="B154" s="14"/>
      <c r="C154" s="14">
        <v>116</v>
      </c>
      <c r="D154" s="15" t="s">
        <v>203</v>
      </c>
      <c r="E154" s="15"/>
      <c r="F154" s="15"/>
      <c r="G154" s="17" t="s">
        <v>22</v>
      </c>
      <c r="H154" s="5" t="s">
        <v>162</v>
      </c>
      <c r="I154" s="17"/>
      <c r="J154" s="5"/>
      <c r="K154" s="5"/>
      <c r="L154" s="5"/>
      <c r="M154" s="5"/>
      <c r="N154" s="5"/>
      <c r="O154" s="5"/>
      <c r="P154" s="5"/>
      <c r="Q154" s="5"/>
    </row>
    <row r="155" spans="1:17" ht="15.75" customHeight="1">
      <c r="A155" s="1"/>
      <c r="B155" s="34"/>
      <c r="D155" s="5"/>
      <c r="E155" s="15"/>
      <c r="F155" s="1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.75" customHeight="1">
      <c r="A156" s="1"/>
      <c r="B156" s="34"/>
      <c r="D156" s="11" t="s">
        <v>204</v>
      </c>
      <c r="E156" s="15"/>
      <c r="F156" s="1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.75" customHeight="1">
      <c r="A157" s="47" t="s">
        <v>7</v>
      </c>
      <c r="B157" s="14" t="s">
        <v>6</v>
      </c>
      <c r="C157" s="14">
        <v>117</v>
      </c>
      <c r="D157" s="15" t="s">
        <v>205</v>
      </c>
      <c r="E157" s="15"/>
      <c r="F157" s="15"/>
      <c r="G157" s="18" t="s">
        <v>22</v>
      </c>
      <c r="H157" s="36" t="s">
        <v>206</v>
      </c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.75" customHeight="1">
      <c r="A158" s="37" t="s">
        <v>5</v>
      </c>
      <c r="B158" s="14" t="s">
        <v>6</v>
      </c>
      <c r="C158" s="14">
        <v>118</v>
      </c>
      <c r="D158" s="52" t="s">
        <v>207</v>
      </c>
      <c r="E158" s="15"/>
      <c r="F158" s="15"/>
      <c r="G158" s="17" t="s">
        <v>22</v>
      </c>
      <c r="H158" s="36" t="s">
        <v>93</v>
      </c>
      <c r="I158" s="17"/>
      <c r="J158" s="5"/>
      <c r="K158" s="5"/>
      <c r="L158" s="5"/>
      <c r="M158" s="5"/>
      <c r="N158" s="5"/>
      <c r="O158" s="5"/>
      <c r="P158" s="5"/>
      <c r="Q158" s="5"/>
    </row>
    <row r="159" spans="1:17" ht="15.75" customHeight="1">
      <c r="A159" s="53" t="s">
        <v>7</v>
      </c>
      <c r="B159" s="14" t="s">
        <v>6</v>
      </c>
      <c r="C159" s="14">
        <v>119</v>
      </c>
      <c r="D159" s="15" t="s">
        <v>208</v>
      </c>
      <c r="E159" s="15"/>
      <c r="F159" s="15"/>
      <c r="G159" s="17" t="s">
        <v>22</v>
      </c>
      <c r="H159" s="5" t="s">
        <v>209</v>
      </c>
      <c r="I159" s="17"/>
      <c r="J159" s="5"/>
      <c r="K159" s="5"/>
      <c r="L159" s="5"/>
      <c r="M159" s="5"/>
      <c r="N159" s="5"/>
      <c r="O159" s="5"/>
      <c r="P159" s="5"/>
      <c r="Q159" s="5"/>
    </row>
    <row r="160" spans="1:17" ht="15.75" customHeight="1">
      <c r="A160" s="37" t="s">
        <v>5</v>
      </c>
      <c r="B160" s="14" t="s">
        <v>6</v>
      </c>
      <c r="C160" s="14">
        <v>120</v>
      </c>
      <c r="D160" s="15" t="s">
        <v>210</v>
      </c>
      <c r="E160" s="15"/>
      <c r="F160" s="15"/>
      <c r="G160" s="17" t="s">
        <v>22</v>
      </c>
      <c r="H160" s="36" t="s">
        <v>93</v>
      </c>
      <c r="I160" s="17"/>
      <c r="J160" s="5"/>
      <c r="K160" s="5"/>
      <c r="L160" s="5"/>
      <c r="M160" s="5"/>
      <c r="N160" s="5"/>
      <c r="O160" s="5"/>
      <c r="P160" s="5"/>
      <c r="Q160" s="5"/>
    </row>
    <row r="161" spans="1:17" ht="15.75" customHeight="1">
      <c r="A161" s="47" t="s">
        <v>7</v>
      </c>
      <c r="B161" s="14" t="s">
        <v>6</v>
      </c>
      <c r="C161" s="14">
        <v>121</v>
      </c>
      <c r="D161" s="15" t="s">
        <v>211</v>
      </c>
      <c r="E161" s="15"/>
      <c r="F161" s="15"/>
      <c r="G161" s="17" t="s">
        <v>22</v>
      </c>
      <c r="H161" s="5" t="s">
        <v>212</v>
      </c>
      <c r="I161" s="17"/>
      <c r="J161" s="5"/>
      <c r="K161" s="5"/>
      <c r="L161" s="5"/>
      <c r="M161" s="5"/>
      <c r="N161" s="5"/>
      <c r="O161" s="5"/>
      <c r="P161" s="5"/>
      <c r="Q161" s="5"/>
    </row>
    <row r="162" spans="1:17" ht="15.75" customHeight="1">
      <c r="A162" s="47" t="s">
        <v>7</v>
      </c>
      <c r="B162" s="14" t="s">
        <v>6</v>
      </c>
      <c r="C162" s="14">
        <v>122</v>
      </c>
      <c r="D162" s="15" t="s">
        <v>213</v>
      </c>
      <c r="E162" s="15"/>
      <c r="F162" s="15"/>
      <c r="G162" s="17" t="s">
        <v>22</v>
      </c>
      <c r="H162" s="5" t="s">
        <v>214</v>
      </c>
      <c r="I162" s="17"/>
      <c r="J162" s="5"/>
      <c r="K162" s="5"/>
      <c r="L162" s="5"/>
      <c r="M162" s="5"/>
      <c r="N162" s="5"/>
      <c r="O162" s="5"/>
      <c r="P162" s="5"/>
      <c r="Q162" s="5"/>
    </row>
    <row r="163" spans="1:17" ht="15.75" customHeight="1">
      <c r="A163" s="1"/>
      <c r="B163" s="34"/>
      <c r="D163" s="5"/>
      <c r="E163" s="15"/>
      <c r="F163" s="15"/>
      <c r="G163" s="41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.75" customHeight="1">
      <c r="A164" s="1"/>
      <c r="B164" s="34"/>
      <c r="D164" s="11" t="s">
        <v>215</v>
      </c>
      <c r="E164" s="15"/>
      <c r="F164" s="15"/>
      <c r="G164" s="41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.75" customHeight="1">
      <c r="A165" s="54" t="s">
        <v>6</v>
      </c>
      <c r="B165" s="14"/>
      <c r="C165" s="14">
        <v>123</v>
      </c>
      <c r="D165" s="15" t="s">
        <v>216</v>
      </c>
      <c r="E165" s="15"/>
      <c r="F165" s="15"/>
      <c r="G165" s="17" t="s">
        <v>22</v>
      </c>
      <c r="H165" s="5" t="s">
        <v>217</v>
      </c>
      <c r="I165" s="17"/>
      <c r="J165" s="5"/>
      <c r="K165" s="5"/>
      <c r="L165" s="5"/>
      <c r="M165" s="5"/>
      <c r="N165" s="5"/>
      <c r="O165" s="5"/>
      <c r="P165" s="5"/>
      <c r="Q165" s="5"/>
    </row>
    <row r="166" spans="1:17" ht="15.75" customHeight="1">
      <c r="A166" s="54" t="s">
        <v>6</v>
      </c>
      <c r="B166" s="14"/>
      <c r="C166" s="14">
        <v>124</v>
      </c>
      <c r="D166" s="15" t="s">
        <v>218</v>
      </c>
      <c r="E166" s="15"/>
      <c r="F166" s="15"/>
      <c r="G166" s="17" t="s">
        <v>22</v>
      </c>
      <c r="H166" s="5" t="s">
        <v>217</v>
      </c>
      <c r="I166" s="17"/>
      <c r="J166" s="5"/>
      <c r="K166" s="5"/>
      <c r="L166" s="5"/>
      <c r="M166" s="5"/>
      <c r="N166" s="5"/>
      <c r="O166" s="5"/>
      <c r="P166" s="5"/>
      <c r="Q166" s="5"/>
    </row>
    <row r="167" spans="1:17" ht="15.75" customHeight="1">
      <c r="A167" s="54" t="s">
        <v>6</v>
      </c>
      <c r="B167" s="14" t="s">
        <v>2</v>
      </c>
      <c r="C167" s="14">
        <v>125</v>
      </c>
      <c r="D167" s="15" t="s">
        <v>219</v>
      </c>
      <c r="E167" s="15"/>
      <c r="F167" s="15"/>
      <c r="G167" s="17" t="s">
        <v>22</v>
      </c>
      <c r="H167" s="5" t="s">
        <v>193</v>
      </c>
      <c r="I167" s="17"/>
      <c r="J167" s="5"/>
      <c r="K167" s="5"/>
      <c r="L167" s="5"/>
      <c r="M167" s="5"/>
      <c r="N167" s="5"/>
      <c r="O167" s="5"/>
      <c r="P167" s="5"/>
      <c r="Q167" s="5"/>
    </row>
    <row r="168" spans="1:17" ht="15.75" customHeight="1">
      <c r="A168" s="54" t="s">
        <v>6</v>
      </c>
      <c r="B168" s="14" t="s">
        <v>2</v>
      </c>
      <c r="C168" s="14">
        <v>126</v>
      </c>
      <c r="D168" s="15" t="s">
        <v>220</v>
      </c>
      <c r="E168" s="15"/>
      <c r="F168" s="15"/>
      <c r="G168" s="17" t="s">
        <v>22</v>
      </c>
      <c r="H168" s="5" t="s">
        <v>217</v>
      </c>
      <c r="I168" s="17"/>
      <c r="J168" s="5"/>
      <c r="K168" s="5"/>
      <c r="L168" s="5"/>
      <c r="M168" s="5"/>
      <c r="N168" s="5"/>
      <c r="O168" s="5"/>
      <c r="P168" s="5"/>
      <c r="Q168" s="5"/>
    </row>
    <row r="169" spans="1:17" ht="15.75" customHeight="1">
      <c r="A169" s="37" t="s">
        <v>6</v>
      </c>
      <c r="B169" s="14" t="s">
        <v>2</v>
      </c>
      <c r="C169" s="14">
        <v>127</v>
      </c>
      <c r="D169" s="15" t="s">
        <v>221</v>
      </c>
      <c r="E169" s="15"/>
      <c r="F169" s="15"/>
      <c r="G169" s="17" t="s">
        <v>22</v>
      </c>
      <c r="H169" s="5"/>
      <c r="I169" s="17"/>
      <c r="J169" s="5"/>
      <c r="K169" s="5"/>
      <c r="L169" s="5"/>
      <c r="M169" s="5"/>
      <c r="N169" s="5"/>
      <c r="O169" s="5"/>
      <c r="P169" s="5"/>
      <c r="Q169" s="5"/>
    </row>
    <row r="170" spans="1:17" ht="15.75" customHeight="1">
      <c r="A170" s="37" t="s">
        <v>6</v>
      </c>
      <c r="B170" s="14"/>
      <c r="C170" s="14">
        <v>128</v>
      </c>
      <c r="D170" s="15" t="s">
        <v>222</v>
      </c>
      <c r="E170" s="15"/>
      <c r="F170" s="15"/>
      <c r="G170" s="17" t="s">
        <v>22</v>
      </c>
      <c r="H170" s="5"/>
      <c r="I170" s="17"/>
      <c r="J170" s="5"/>
      <c r="K170" s="5"/>
      <c r="L170" s="5"/>
      <c r="M170" s="5"/>
      <c r="N170" s="5"/>
      <c r="O170" s="5"/>
      <c r="P170" s="5"/>
      <c r="Q170" s="5"/>
    </row>
    <row r="171" spans="1:17" ht="15.75" customHeight="1">
      <c r="A171" s="1"/>
      <c r="B171" s="34"/>
      <c r="D171" s="5"/>
      <c r="E171" s="15"/>
      <c r="F171" s="15"/>
      <c r="G171" s="41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.75" customHeight="1">
      <c r="A172" s="1"/>
      <c r="B172" s="34"/>
      <c r="D172" s="11" t="s">
        <v>223</v>
      </c>
      <c r="E172" s="15"/>
      <c r="F172" s="1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.75" customHeight="1">
      <c r="A173" s="37" t="s">
        <v>6</v>
      </c>
      <c r="B173" s="14" t="s">
        <v>2</v>
      </c>
      <c r="C173" s="14">
        <v>129</v>
      </c>
      <c r="D173" s="15" t="s">
        <v>224</v>
      </c>
      <c r="E173" s="15"/>
      <c r="F173" s="15"/>
      <c r="G173" s="17" t="s">
        <v>22</v>
      </c>
      <c r="H173" s="5" t="s">
        <v>193</v>
      </c>
      <c r="I173" s="17"/>
      <c r="J173" s="5"/>
      <c r="K173" s="5"/>
      <c r="L173" s="5"/>
      <c r="M173" s="5"/>
      <c r="N173" s="5"/>
      <c r="O173" s="5"/>
      <c r="P173" s="5"/>
      <c r="Q173" s="5"/>
    </row>
    <row r="174" spans="1:17" ht="15.75" customHeight="1">
      <c r="A174" s="37" t="s">
        <v>6</v>
      </c>
      <c r="B174" s="14"/>
      <c r="C174" s="14">
        <v>130</v>
      </c>
      <c r="D174" s="15" t="s">
        <v>225</v>
      </c>
      <c r="E174" s="15"/>
      <c r="F174" s="15"/>
      <c r="G174" s="17" t="s">
        <v>22</v>
      </c>
      <c r="H174" s="5" t="s">
        <v>189</v>
      </c>
      <c r="I174" s="17"/>
      <c r="J174" s="5"/>
      <c r="K174" s="5"/>
      <c r="L174" s="5"/>
      <c r="M174" s="5"/>
      <c r="N174" s="5"/>
      <c r="O174" s="5"/>
      <c r="P174" s="5"/>
      <c r="Q174" s="5"/>
    </row>
    <row r="175" spans="1:17" ht="15.75" customHeight="1">
      <c r="A175" s="37" t="s">
        <v>6</v>
      </c>
      <c r="B175" s="14"/>
      <c r="C175" s="14">
        <v>131</v>
      </c>
      <c r="D175" s="15" t="s">
        <v>226</v>
      </c>
      <c r="E175" s="15"/>
      <c r="F175" s="15"/>
      <c r="G175" s="17" t="s">
        <v>22</v>
      </c>
      <c r="H175" s="5" t="s">
        <v>189</v>
      </c>
      <c r="I175" s="17"/>
      <c r="J175" s="5"/>
      <c r="K175" s="5"/>
      <c r="L175" s="5"/>
      <c r="M175" s="5"/>
      <c r="N175" s="5"/>
      <c r="O175" s="5"/>
      <c r="P175" s="5"/>
      <c r="Q175" s="5"/>
    </row>
    <row r="176" spans="1:17" ht="15.75" customHeight="1">
      <c r="A176" s="37" t="s">
        <v>6</v>
      </c>
      <c r="B176" s="14"/>
      <c r="C176" s="14">
        <v>132</v>
      </c>
      <c r="D176" s="15" t="s">
        <v>227</v>
      </c>
      <c r="E176" s="15"/>
      <c r="F176" s="15"/>
      <c r="G176" s="17" t="s">
        <v>22</v>
      </c>
      <c r="H176" s="5" t="s">
        <v>189</v>
      </c>
      <c r="I176" s="17"/>
      <c r="J176" s="5"/>
      <c r="K176" s="5"/>
      <c r="L176" s="5"/>
      <c r="M176" s="5"/>
      <c r="N176" s="5"/>
      <c r="O176" s="5"/>
      <c r="P176" s="5"/>
      <c r="Q176" s="5"/>
    </row>
    <row r="177" spans="1:17" ht="15.75" customHeight="1">
      <c r="A177" s="37" t="s">
        <v>6</v>
      </c>
      <c r="B177" s="14" t="s">
        <v>79</v>
      </c>
      <c r="C177" s="14">
        <v>133</v>
      </c>
      <c r="D177" s="15" t="s">
        <v>228</v>
      </c>
      <c r="E177" s="15"/>
      <c r="F177" s="15"/>
      <c r="G177" s="18" t="s">
        <v>22</v>
      </c>
      <c r="H177" s="5" t="s">
        <v>189</v>
      </c>
      <c r="I177" s="17"/>
      <c r="J177" s="5"/>
      <c r="K177" s="5"/>
      <c r="L177" s="5"/>
      <c r="M177" s="5"/>
      <c r="N177" s="5"/>
      <c r="O177" s="5"/>
      <c r="P177" s="5"/>
      <c r="Q177" s="5"/>
    </row>
    <row r="178" spans="1:17" ht="15.75" customHeight="1">
      <c r="A178" s="1"/>
      <c r="B178" s="34"/>
      <c r="D178" s="5"/>
      <c r="E178" s="15"/>
      <c r="F178" s="1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.75" customHeight="1">
      <c r="A179" s="1"/>
      <c r="B179" s="34"/>
      <c r="D179" s="11" t="s">
        <v>229</v>
      </c>
      <c r="E179" s="15"/>
      <c r="F179" s="1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.75" customHeight="1">
      <c r="A180" s="37" t="s">
        <v>5</v>
      </c>
      <c r="B180" s="14" t="s">
        <v>4</v>
      </c>
      <c r="C180" s="14">
        <v>134</v>
      </c>
      <c r="D180" s="15" t="s">
        <v>230</v>
      </c>
      <c r="E180" s="15"/>
      <c r="F180" s="15"/>
      <c r="G180" s="27" t="s">
        <v>231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.75" customHeight="1">
      <c r="A181" s="37" t="s">
        <v>5</v>
      </c>
      <c r="B181" s="14" t="s">
        <v>4</v>
      </c>
      <c r="C181" s="14">
        <v>135</v>
      </c>
      <c r="D181" s="15" t="s">
        <v>232</v>
      </c>
      <c r="E181" s="15"/>
      <c r="F181" s="15"/>
      <c r="G181" s="27" t="s">
        <v>231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.75" customHeight="1">
      <c r="A182" s="37" t="s">
        <v>5</v>
      </c>
      <c r="B182" s="14" t="s">
        <v>5</v>
      </c>
      <c r="C182" s="14">
        <v>133</v>
      </c>
      <c r="D182" s="15" t="s">
        <v>233</v>
      </c>
      <c r="E182" s="15"/>
      <c r="F182" s="15"/>
      <c r="G182" s="27" t="s">
        <v>231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.75" customHeight="1">
      <c r="A183" s="37" t="s">
        <v>5</v>
      </c>
      <c r="B183" s="14" t="s">
        <v>4</v>
      </c>
      <c r="C183" s="14">
        <v>134</v>
      </c>
      <c r="D183" s="15" t="s">
        <v>234</v>
      </c>
      <c r="E183" s="15"/>
      <c r="F183" s="15"/>
      <c r="G183" s="17" t="s">
        <v>231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.75" customHeight="1">
      <c r="A184" s="37" t="s">
        <v>5</v>
      </c>
      <c r="B184" s="14" t="s">
        <v>4</v>
      </c>
      <c r="C184" s="14">
        <v>135</v>
      </c>
      <c r="D184" s="15" t="s">
        <v>235</v>
      </c>
      <c r="E184" s="15"/>
      <c r="F184" s="15"/>
      <c r="G184" s="27" t="s">
        <v>231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.75" customHeight="1">
      <c r="A185" s="37" t="s">
        <v>5</v>
      </c>
      <c r="B185" s="14" t="s">
        <v>4</v>
      </c>
      <c r="C185" s="14">
        <v>136</v>
      </c>
      <c r="D185" s="15" t="s">
        <v>236</v>
      </c>
      <c r="E185" s="15"/>
      <c r="F185" s="15"/>
      <c r="G185" s="55" t="s">
        <v>231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.75" customHeight="1">
      <c r="A186" s="37" t="s">
        <v>5</v>
      </c>
      <c r="B186" s="14"/>
      <c r="C186" s="14">
        <v>137</v>
      </c>
      <c r="D186" s="56" t="s">
        <v>237</v>
      </c>
      <c r="E186" s="15"/>
      <c r="F186" s="15"/>
      <c r="G186" s="27" t="s">
        <v>231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.75" customHeight="1">
      <c r="A187" s="37" t="s">
        <v>5</v>
      </c>
      <c r="B187" s="14" t="s">
        <v>3</v>
      </c>
      <c r="C187" s="14">
        <v>138</v>
      </c>
      <c r="D187" s="56" t="s">
        <v>238</v>
      </c>
      <c r="E187" s="15"/>
      <c r="F187" s="15"/>
      <c r="G187" s="27" t="s">
        <v>231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.75" customHeight="1">
      <c r="A188" s="1"/>
      <c r="B188" s="14"/>
      <c r="C188" s="14"/>
      <c r="D188" s="5"/>
      <c r="E188" s="15"/>
      <c r="F188" s="1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.75" customHeight="1">
      <c r="A189" s="1"/>
      <c r="B189" s="14"/>
      <c r="C189" s="14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.75" customHeight="1">
      <c r="A190" s="1"/>
      <c r="B190" s="14"/>
      <c r="C190" s="1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.75" customHeight="1">
      <c r="A191" s="1"/>
      <c r="B191" s="14"/>
      <c r="C191" s="1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.75" customHeight="1">
      <c r="A192" s="1"/>
      <c r="B192" s="14"/>
      <c r="C192" s="1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.75" customHeight="1">
      <c r="A193" s="1"/>
      <c r="B193" s="14"/>
      <c r="C193" s="14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.75" customHeight="1">
      <c r="A194" s="1"/>
      <c r="B194" s="14"/>
      <c r="C194" s="1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.75" customHeight="1">
      <c r="A195" s="1"/>
      <c r="B195" s="14"/>
      <c r="C195" s="1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.75" customHeight="1">
      <c r="A196" s="1"/>
      <c r="B196" s="14"/>
      <c r="C196" s="1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.75" customHeight="1">
      <c r="A197" s="1"/>
      <c r="B197" s="14"/>
      <c r="C197" s="14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.75" customHeight="1">
      <c r="A198" s="1"/>
      <c r="B198" s="14"/>
      <c r="C198" s="1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.75" customHeight="1">
      <c r="A199" s="1"/>
      <c r="B199" s="14"/>
      <c r="C199" s="1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.75" customHeight="1">
      <c r="A200" s="1"/>
      <c r="B200" s="14"/>
      <c r="C200" s="1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.75" customHeight="1">
      <c r="A201" s="1"/>
      <c r="B201" s="14"/>
      <c r="C201" s="14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.75" customHeight="1">
      <c r="A202" s="1"/>
      <c r="B202" s="14"/>
      <c r="C202" s="14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.75" customHeight="1">
      <c r="A203" s="1"/>
      <c r="B203" s="14"/>
      <c r="C203" s="1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.75" customHeight="1">
      <c r="A204" s="1"/>
      <c r="B204" s="14"/>
      <c r="C204" s="1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.75" customHeight="1">
      <c r="B205" s="57"/>
      <c r="C205" s="58"/>
      <c r="E205" s="59"/>
      <c r="F205" s="59"/>
      <c r="G205" s="59"/>
    </row>
    <row r="206" spans="1:17" ht="15.75" customHeight="1">
      <c r="B206" s="57"/>
      <c r="C206" s="58"/>
      <c r="E206" s="59"/>
      <c r="F206" s="59"/>
      <c r="G206" s="59"/>
    </row>
    <row r="207" spans="1:17" ht="15.75" customHeight="1">
      <c r="B207" s="57"/>
      <c r="C207" s="58"/>
      <c r="E207" s="59"/>
      <c r="F207" s="59"/>
      <c r="G207" s="59"/>
    </row>
    <row r="208" spans="1:17" ht="15.75" customHeight="1">
      <c r="B208" s="57"/>
      <c r="C208" s="58"/>
      <c r="E208" s="59"/>
      <c r="F208" s="59"/>
      <c r="G208" s="59"/>
    </row>
    <row r="209" spans="2:7" ht="15.75" customHeight="1">
      <c r="B209" s="57"/>
      <c r="C209" s="58"/>
      <c r="E209" s="59"/>
      <c r="F209" s="59"/>
      <c r="G209" s="59"/>
    </row>
    <row r="210" spans="2:7" ht="15.75" customHeight="1">
      <c r="B210" s="57"/>
      <c r="C210" s="58"/>
      <c r="E210" s="59"/>
      <c r="F210" s="59"/>
      <c r="G210" s="59"/>
    </row>
    <row r="211" spans="2:7" ht="15.75" customHeight="1">
      <c r="B211" s="57"/>
      <c r="C211" s="58"/>
      <c r="E211" s="59"/>
      <c r="F211" s="59"/>
      <c r="G211" s="59"/>
    </row>
    <row r="212" spans="2:7" ht="15.75" customHeight="1">
      <c r="B212" s="57"/>
      <c r="C212" s="58"/>
      <c r="E212" s="59"/>
      <c r="F212" s="59"/>
      <c r="G212" s="59"/>
    </row>
    <row r="213" spans="2:7" ht="15.75" customHeight="1">
      <c r="B213" s="57"/>
      <c r="C213" s="58"/>
      <c r="E213" s="59"/>
      <c r="F213" s="59"/>
      <c r="G213" s="59"/>
    </row>
    <row r="214" spans="2:7" ht="15.75" customHeight="1">
      <c r="B214" s="57"/>
      <c r="C214" s="58"/>
      <c r="E214" s="59"/>
      <c r="F214" s="59"/>
      <c r="G214" s="59"/>
    </row>
    <row r="215" spans="2:7" ht="15.75" customHeight="1">
      <c r="B215" s="57"/>
      <c r="C215" s="58"/>
      <c r="E215" s="59"/>
      <c r="F215" s="59"/>
      <c r="G215" s="59"/>
    </row>
    <row r="216" spans="2:7" ht="15.75" customHeight="1">
      <c r="B216" s="57"/>
      <c r="C216" s="58"/>
      <c r="E216" s="59"/>
      <c r="F216" s="59"/>
      <c r="G216" s="59"/>
    </row>
    <row r="217" spans="2:7" ht="15.75" customHeight="1">
      <c r="B217" s="57"/>
      <c r="C217" s="58"/>
      <c r="E217" s="59"/>
      <c r="F217" s="59"/>
      <c r="G217" s="59"/>
    </row>
    <row r="218" spans="2:7" ht="15.75" customHeight="1">
      <c r="B218" s="57"/>
      <c r="C218" s="58"/>
      <c r="E218" s="59"/>
      <c r="F218" s="59"/>
      <c r="G218" s="59"/>
    </row>
    <row r="219" spans="2:7" ht="15.75" customHeight="1">
      <c r="B219" s="57"/>
      <c r="C219" s="58"/>
      <c r="E219" s="59"/>
      <c r="F219" s="59"/>
      <c r="G219" s="59"/>
    </row>
    <row r="220" spans="2:7" ht="15.75" customHeight="1">
      <c r="B220" s="57"/>
      <c r="C220" s="58"/>
      <c r="E220" s="59"/>
      <c r="F220" s="59"/>
      <c r="G220" s="59"/>
    </row>
    <row r="221" spans="2:7" ht="15.75" customHeight="1">
      <c r="B221" s="57"/>
      <c r="C221" s="58"/>
      <c r="E221" s="59"/>
      <c r="F221" s="59"/>
      <c r="G221" s="59"/>
    </row>
    <row r="222" spans="2:7" ht="15.75" customHeight="1">
      <c r="B222" s="57"/>
      <c r="C222" s="58"/>
      <c r="E222" s="59"/>
      <c r="F222" s="59"/>
      <c r="G222" s="59"/>
    </row>
    <row r="223" spans="2:7" ht="15.75" customHeight="1">
      <c r="B223" s="57"/>
      <c r="C223" s="58"/>
      <c r="E223" s="59"/>
      <c r="F223" s="59"/>
      <c r="G223" s="59"/>
    </row>
    <row r="224" spans="2:7" ht="15.75" customHeight="1">
      <c r="B224" s="57"/>
      <c r="C224" s="58"/>
      <c r="E224" s="59"/>
      <c r="F224" s="59"/>
      <c r="G224" s="59"/>
    </row>
    <row r="225" spans="2:7" ht="15.75" customHeight="1">
      <c r="B225" s="57"/>
      <c r="C225" s="58"/>
      <c r="E225" s="59"/>
      <c r="F225" s="59"/>
      <c r="G225" s="59"/>
    </row>
    <row r="226" spans="2:7" ht="15.75" customHeight="1">
      <c r="B226" s="57"/>
      <c r="C226" s="58"/>
      <c r="E226" s="59"/>
      <c r="F226" s="59"/>
      <c r="G226" s="59"/>
    </row>
    <row r="227" spans="2:7" ht="15.75" customHeight="1">
      <c r="B227" s="57"/>
      <c r="C227" s="58"/>
      <c r="E227" s="59"/>
      <c r="F227" s="59"/>
      <c r="G227" s="59"/>
    </row>
    <row r="228" spans="2:7" ht="15.75" customHeight="1">
      <c r="B228" s="57"/>
      <c r="C228" s="58"/>
      <c r="E228" s="59"/>
      <c r="F228" s="59"/>
      <c r="G228" s="59"/>
    </row>
    <row r="229" spans="2:7" ht="15.75" customHeight="1">
      <c r="B229" s="57"/>
      <c r="C229" s="58"/>
      <c r="E229" s="59"/>
      <c r="F229" s="59"/>
      <c r="G229" s="59"/>
    </row>
    <row r="230" spans="2:7" ht="15.75" customHeight="1">
      <c r="B230" s="57"/>
      <c r="C230" s="58"/>
      <c r="E230" s="59"/>
      <c r="F230" s="59"/>
      <c r="G230" s="59"/>
    </row>
    <row r="231" spans="2:7" ht="15.75" customHeight="1">
      <c r="B231" s="57"/>
      <c r="C231" s="58"/>
      <c r="E231" s="59"/>
      <c r="F231" s="59"/>
      <c r="G231" s="59"/>
    </row>
    <row r="232" spans="2:7" ht="15.75" customHeight="1">
      <c r="B232" s="57"/>
      <c r="C232" s="58"/>
      <c r="E232" s="59"/>
      <c r="F232" s="59"/>
      <c r="G232" s="59"/>
    </row>
    <row r="233" spans="2:7" ht="15.75" customHeight="1">
      <c r="B233" s="57"/>
      <c r="C233" s="58"/>
      <c r="E233" s="59"/>
      <c r="F233" s="59"/>
      <c r="G233" s="59"/>
    </row>
    <row r="234" spans="2:7" ht="15.75" customHeight="1">
      <c r="B234" s="57"/>
      <c r="C234" s="58"/>
      <c r="E234" s="59"/>
      <c r="F234" s="59"/>
      <c r="G234" s="59"/>
    </row>
    <row r="235" spans="2:7" ht="15.75" customHeight="1">
      <c r="B235" s="57"/>
      <c r="C235" s="58"/>
      <c r="E235" s="59"/>
      <c r="F235" s="59"/>
      <c r="G235" s="59"/>
    </row>
    <row r="236" spans="2:7" ht="15.75" customHeight="1">
      <c r="B236" s="57"/>
      <c r="C236" s="58"/>
      <c r="E236" s="59"/>
      <c r="F236" s="59"/>
      <c r="G236" s="59"/>
    </row>
    <row r="237" spans="2:7" ht="15.75" customHeight="1">
      <c r="B237" s="57"/>
      <c r="C237" s="58"/>
      <c r="E237" s="59"/>
      <c r="F237" s="59"/>
      <c r="G237" s="59"/>
    </row>
    <row r="238" spans="2:7" ht="15.75" customHeight="1">
      <c r="B238" s="57"/>
      <c r="C238" s="58"/>
      <c r="E238" s="59"/>
      <c r="F238" s="59"/>
      <c r="G238" s="59"/>
    </row>
    <row r="239" spans="2:7" ht="15.75" customHeight="1">
      <c r="B239" s="57"/>
      <c r="C239" s="58"/>
      <c r="E239" s="59"/>
      <c r="F239" s="59"/>
      <c r="G239" s="59"/>
    </row>
    <row r="240" spans="2:7" ht="15.75" customHeight="1">
      <c r="B240" s="57"/>
      <c r="C240" s="58"/>
      <c r="E240" s="59"/>
      <c r="F240" s="59"/>
      <c r="G240" s="59"/>
    </row>
    <row r="241" spans="2:7" ht="15.75" customHeight="1">
      <c r="B241" s="57"/>
      <c r="C241" s="58"/>
      <c r="E241" s="59"/>
      <c r="F241" s="59"/>
      <c r="G241" s="59"/>
    </row>
    <row r="242" spans="2:7" ht="15.75" customHeight="1">
      <c r="B242" s="57"/>
      <c r="C242" s="58"/>
      <c r="E242" s="59"/>
      <c r="F242" s="59"/>
      <c r="G242" s="59"/>
    </row>
    <row r="243" spans="2:7" ht="15.75" customHeight="1">
      <c r="B243" s="57"/>
      <c r="C243" s="58"/>
      <c r="E243" s="59"/>
      <c r="F243" s="59"/>
      <c r="G243" s="59"/>
    </row>
    <row r="244" spans="2:7" ht="15.75" customHeight="1">
      <c r="B244" s="57"/>
      <c r="C244" s="58"/>
      <c r="E244" s="59"/>
      <c r="F244" s="59"/>
      <c r="G244" s="59"/>
    </row>
    <row r="245" spans="2:7" ht="15.75" customHeight="1">
      <c r="B245" s="57"/>
      <c r="C245" s="58"/>
      <c r="E245" s="59"/>
      <c r="F245" s="59"/>
      <c r="G245" s="59"/>
    </row>
    <row r="246" spans="2:7" ht="15.75" customHeight="1">
      <c r="B246" s="57"/>
      <c r="C246" s="58"/>
      <c r="E246" s="59"/>
      <c r="F246" s="59"/>
      <c r="G246" s="59"/>
    </row>
    <row r="247" spans="2:7" ht="15.75" customHeight="1">
      <c r="B247" s="57"/>
      <c r="C247" s="58"/>
      <c r="E247" s="59"/>
      <c r="F247" s="59"/>
      <c r="G247" s="59"/>
    </row>
    <row r="248" spans="2:7" ht="15.75" customHeight="1">
      <c r="B248" s="57"/>
      <c r="C248" s="58"/>
      <c r="E248" s="59"/>
      <c r="F248" s="59"/>
      <c r="G248" s="59"/>
    </row>
    <row r="249" spans="2:7" ht="15.75" customHeight="1">
      <c r="B249" s="57"/>
      <c r="C249" s="58"/>
      <c r="E249" s="59"/>
      <c r="F249" s="59"/>
      <c r="G249" s="59"/>
    </row>
    <row r="250" spans="2:7" ht="15.75" customHeight="1">
      <c r="B250" s="57"/>
      <c r="C250" s="58"/>
      <c r="E250" s="59"/>
      <c r="F250" s="59"/>
      <c r="G250" s="59"/>
    </row>
    <row r="251" spans="2:7" ht="15.75" customHeight="1">
      <c r="B251" s="57"/>
      <c r="C251" s="58"/>
      <c r="E251" s="59"/>
      <c r="F251" s="59"/>
      <c r="G251" s="59"/>
    </row>
    <row r="252" spans="2:7" ht="15.75" customHeight="1">
      <c r="B252" s="57"/>
      <c r="C252" s="58"/>
      <c r="E252" s="59"/>
      <c r="F252" s="59"/>
      <c r="G252" s="59"/>
    </row>
    <row r="253" spans="2:7" ht="15.75" customHeight="1">
      <c r="B253" s="57"/>
      <c r="C253" s="58"/>
      <c r="E253" s="59"/>
      <c r="F253" s="59"/>
      <c r="G253" s="59"/>
    </row>
    <row r="254" spans="2:7" ht="15.75" customHeight="1">
      <c r="B254" s="57"/>
      <c r="C254" s="58"/>
      <c r="E254" s="59"/>
      <c r="F254" s="59"/>
      <c r="G254" s="59"/>
    </row>
    <row r="255" spans="2:7" ht="15.75" customHeight="1">
      <c r="B255" s="57"/>
      <c r="C255" s="58"/>
      <c r="E255" s="59"/>
      <c r="F255" s="59"/>
      <c r="G255" s="59"/>
    </row>
    <row r="256" spans="2:7" ht="15.75" customHeight="1">
      <c r="B256" s="57"/>
      <c r="C256" s="58"/>
      <c r="E256" s="59"/>
      <c r="F256" s="59"/>
      <c r="G256" s="59"/>
    </row>
    <row r="257" spans="2:7" ht="15.75" customHeight="1">
      <c r="B257" s="57"/>
      <c r="C257" s="58"/>
      <c r="E257" s="59"/>
      <c r="F257" s="59"/>
      <c r="G257" s="59"/>
    </row>
    <row r="258" spans="2:7" ht="15.75" customHeight="1">
      <c r="B258" s="57"/>
      <c r="C258" s="58"/>
      <c r="E258" s="59"/>
      <c r="F258" s="59"/>
      <c r="G258" s="59"/>
    </row>
    <row r="259" spans="2:7" ht="15.75" customHeight="1">
      <c r="B259" s="57"/>
      <c r="C259" s="58"/>
      <c r="E259" s="59"/>
      <c r="F259" s="59"/>
      <c r="G259" s="59"/>
    </row>
    <row r="260" spans="2:7" ht="15.75" customHeight="1">
      <c r="B260" s="57"/>
      <c r="C260" s="58"/>
      <c r="E260" s="59"/>
      <c r="F260" s="59"/>
      <c r="G260" s="59"/>
    </row>
    <row r="261" spans="2:7" ht="15.75" customHeight="1">
      <c r="B261" s="57"/>
      <c r="C261" s="58"/>
      <c r="E261" s="59"/>
      <c r="F261" s="59"/>
      <c r="G261" s="59"/>
    </row>
    <row r="262" spans="2:7" ht="15.75" customHeight="1">
      <c r="B262" s="57"/>
      <c r="C262" s="58"/>
      <c r="E262" s="59"/>
      <c r="F262" s="59"/>
      <c r="G262" s="59"/>
    </row>
    <row r="263" spans="2:7" ht="15.75" customHeight="1">
      <c r="B263" s="57"/>
      <c r="C263" s="58"/>
      <c r="E263" s="59"/>
      <c r="F263" s="59"/>
      <c r="G263" s="59"/>
    </row>
    <row r="264" spans="2:7" ht="15.75" customHeight="1">
      <c r="B264" s="57"/>
      <c r="C264" s="58"/>
      <c r="E264" s="59"/>
      <c r="F264" s="59"/>
      <c r="G264" s="59"/>
    </row>
    <row r="265" spans="2:7" ht="15.75" customHeight="1">
      <c r="B265" s="57"/>
      <c r="C265" s="58"/>
      <c r="E265" s="59"/>
      <c r="F265" s="59"/>
      <c r="G265" s="59"/>
    </row>
    <row r="266" spans="2:7" ht="15.75" customHeight="1">
      <c r="B266" s="57"/>
      <c r="C266" s="58"/>
      <c r="E266" s="59"/>
      <c r="F266" s="59"/>
      <c r="G266" s="59"/>
    </row>
    <row r="267" spans="2:7" ht="15.75" customHeight="1">
      <c r="B267" s="57"/>
      <c r="C267" s="58"/>
      <c r="E267" s="59"/>
      <c r="F267" s="59"/>
      <c r="G267" s="59"/>
    </row>
    <row r="268" spans="2:7" ht="15.75" customHeight="1">
      <c r="B268" s="57"/>
      <c r="C268" s="58"/>
      <c r="E268" s="59"/>
      <c r="F268" s="59"/>
      <c r="G268" s="59"/>
    </row>
    <row r="269" spans="2:7" ht="15.75" customHeight="1">
      <c r="B269" s="57"/>
      <c r="C269" s="58"/>
      <c r="E269" s="59"/>
      <c r="F269" s="59"/>
      <c r="G269" s="59"/>
    </row>
    <row r="270" spans="2:7" ht="15.75" customHeight="1">
      <c r="B270" s="57"/>
      <c r="C270" s="58"/>
      <c r="E270" s="59"/>
      <c r="F270" s="59"/>
      <c r="G270" s="59"/>
    </row>
    <row r="271" spans="2:7" ht="15.75" customHeight="1">
      <c r="B271" s="57"/>
      <c r="C271" s="58"/>
      <c r="E271" s="59"/>
      <c r="F271" s="59"/>
      <c r="G271" s="59"/>
    </row>
    <row r="272" spans="2:7" ht="15.75" customHeight="1">
      <c r="B272" s="57"/>
      <c r="C272" s="58"/>
      <c r="E272" s="59"/>
      <c r="F272" s="59"/>
      <c r="G272" s="59"/>
    </row>
    <row r="273" spans="2:7" ht="15.75" customHeight="1">
      <c r="B273" s="57"/>
      <c r="C273" s="58"/>
      <c r="E273" s="59"/>
      <c r="F273" s="59"/>
      <c r="G273" s="59"/>
    </row>
    <row r="274" spans="2:7" ht="15.75" customHeight="1">
      <c r="B274" s="57"/>
      <c r="C274" s="58"/>
      <c r="E274" s="59"/>
      <c r="F274" s="59"/>
      <c r="G274" s="59"/>
    </row>
    <row r="275" spans="2:7" ht="15.75" customHeight="1">
      <c r="B275" s="57"/>
      <c r="C275" s="58"/>
      <c r="E275" s="59"/>
      <c r="F275" s="59"/>
      <c r="G275" s="59"/>
    </row>
    <row r="276" spans="2:7" ht="15.75" customHeight="1">
      <c r="B276" s="57"/>
      <c r="C276" s="58"/>
      <c r="E276" s="59"/>
      <c r="F276" s="59"/>
      <c r="G276" s="59"/>
    </row>
    <row r="277" spans="2:7" ht="15.75" customHeight="1">
      <c r="B277" s="57"/>
      <c r="C277" s="58"/>
      <c r="E277" s="59"/>
      <c r="F277" s="59"/>
      <c r="G277" s="59"/>
    </row>
    <row r="278" spans="2:7" ht="15.75" customHeight="1">
      <c r="B278" s="57"/>
      <c r="C278" s="58"/>
      <c r="E278" s="59"/>
      <c r="F278" s="59"/>
      <c r="G278" s="59"/>
    </row>
    <row r="279" spans="2:7" ht="15.75" customHeight="1">
      <c r="B279" s="57"/>
      <c r="C279" s="58"/>
      <c r="E279" s="59"/>
      <c r="F279" s="59"/>
      <c r="G279" s="59"/>
    </row>
    <row r="280" spans="2:7" ht="15.75" customHeight="1">
      <c r="B280" s="57"/>
      <c r="C280" s="58"/>
      <c r="E280" s="59"/>
      <c r="F280" s="59"/>
      <c r="G280" s="59"/>
    </row>
    <row r="281" spans="2:7" ht="15.75" customHeight="1">
      <c r="B281" s="57"/>
      <c r="C281" s="58"/>
      <c r="E281" s="59"/>
      <c r="F281" s="59"/>
      <c r="G281" s="59"/>
    </row>
    <row r="282" spans="2:7" ht="15.75" customHeight="1">
      <c r="B282" s="57"/>
      <c r="C282" s="58"/>
      <c r="E282" s="59"/>
      <c r="F282" s="59"/>
      <c r="G282" s="59"/>
    </row>
    <row r="283" spans="2:7" ht="15.75" customHeight="1">
      <c r="B283" s="57"/>
      <c r="C283" s="58"/>
      <c r="E283" s="59"/>
      <c r="F283" s="59"/>
      <c r="G283" s="59"/>
    </row>
    <row r="284" spans="2:7" ht="15.75" customHeight="1">
      <c r="B284" s="57"/>
      <c r="C284" s="58"/>
      <c r="E284" s="59"/>
      <c r="F284" s="59"/>
      <c r="G284" s="59"/>
    </row>
    <row r="285" spans="2:7" ht="15.75" customHeight="1">
      <c r="B285" s="57"/>
      <c r="C285" s="58"/>
      <c r="E285" s="59"/>
      <c r="F285" s="59"/>
      <c r="G285" s="59"/>
    </row>
    <row r="286" spans="2:7" ht="15.75" customHeight="1">
      <c r="B286" s="57"/>
      <c r="C286" s="58"/>
      <c r="E286" s="59"/>
      <c r="F286" s="59"/>
      <c r="G286" s="59"/>
    </row>
    <row r="287" spans="2:7" ht="15.75" customHeight="1">
      <c r="B287" s="57"/>
      <c r="C287" s="58"/>
      <c r="E287" s="59"/>
      <c r="F287" s="59"/>
      <c r="G287" s="59"/>
    </row>
    <row r="288" spans="2:7" ht="15.75" customHeight="1">
      <c r="B288" s="57"/>
      <c r="C288" s="58"/>
      <c r="E288" s="59"/>
      <c r="F288" s="59"/>
      <c r="G288" s="59"/>
    </row>
    <row r="289" spans="2:7" ht="15.75" customHeight="1">
      <c r="B289" s="57"/>
      <c r="C289" s="58"/>
      <c r="E289" s="59"/>
      <c r="F289" s="59"/>
      <c r="G289" s="59"/>
    </row>
    <row r="290" spans="2:7" ht="15.75" customHeight="1">
      <c r="B290" s="57"/>
      <c r="C290" s="58"/>
      <c r="E290" s="59"/>
      <c r="F290" s="59"/>
      <c r="G290" s="59"/>
    </row>
    <row r="291" spans="2:7" ht="15.75" customHeight="1">
      <c r="B291" s="57"/>
      <c r="C291" s="58"/>
      <c r="E291" s="59"/>
      <c r="F291" s="59"/>
      <c r="G291" s="59"/>
    </row>
    <row r="292" spans="2:7" ht="15.75" customHeight="1">
      <c r="B292" s="57"/>
      <c r="C292" s="58"/>
      <c r="E292" s="59"/>
      <c r="F292" s="59"/>
      <c r="G292" s="59"/>
    </row>
    <row r="293" spans="2:7" ht="15.75" customHeight="1">
      <c r="B293" s="57"/>
      <c r="C293" s="58"/>
      <c r="E293" s="59"/>
      <c r="F293" s="59"/>
      <c r="G293" s="59"/>
    </row>
    <row r="294" spans="2:7" ht="15.75" customHeight="1">
      <c r="B294" s="57"/>
      <c r="C294" s="58"/>
      <c r="E294" s="59"/>
      <c r="F294" s="59"/>
      <c r="G294" s="59"/>
    </row>
    <row r="295" spans="2:7" ht="15.75" customHeight="1">
      <c r="B295" s="57"/>
      <c r="C295" s="58"/>
      <c r="E295" s="59"/>
      <c r="F295" s="59"/>
      <c r="G295" s="59"/>
    </row>
    <row r="296" spans="2:7" ht="15.75" customHeight="1">
      <c r="B296" s="57"/>
      <c r="C296" s="58"/>
      <c r="E296" s="59"/>
      <c r="F296" s="59"/>
      <c r="G296" s="59"/>
    </row>
    <row r="297" spans="2:7" ht="15.75" customHeight="1">
      <c r="B297" s="57"/>
      <c r="C297" s="58"/>
      <c r="E297" s="59"/>
      <c r="F297" s="59"/>
      <c r="G297" s="59"/>
    </row>
    <row r="298" spans="2:7" ht="15.75" customHeight="1">
      <c r="B298" s="57"/>
      <c r="C298" s="58"/>
      <c r="E298" s="59"/>
      <c r="F298" s="59"/>
      <c r="G298" s="59"/>
    </row>
    <row r="299" spans="2:7" ht="15.75" customHeight="1">
      <c r="B299" s="57"/>
      <c r="C299" s="58"/>
      <c r="E299" s="59"/>
      <c r="F299" s="59"/>
      <c r="G299" s="59"/>
    </row>
    <row r="300" spans="2:7" ht="15.75" customHeight="1">
      <c r="B300" s="57"/>
      <c r="C300" s="58"/>
      <c r="E300" s="59"/>
      <c r="F300" s="59"/>
      <c r="G300" s="59"/>
    </row>
    <row r="301" spans="2:7" ht="15.75" customHeight="1">
      <c r="B301" s="57"/>
      <c r="C301" s="58"/>
      <c r="E301" s="59"/>
      <c r="F301" s="59"/>
      <c r="G301" s="59"/>
    </row>
    <row r="302" spans="2:7" ht="15.75" customHeight="1">
      <c r="B302" s="57"/>
      <c r="C302" s="58"/>
      <c r="E302" s="59"/>
      <c r="F302" s="59"/>
      <c r="G302" s="59"/>
    </row>
    <row r="303" spans="2:7" ht="15.75" customHeight="1">
      <c r="B303" s="57"/>
      <c r="C303" s="58"/>
      <c r="E303" s="59"/>
      <c r="F303" s="59"/>
      <c r="G303" s="59"/>
    </row>
    <row r="304" spans="2:7" ht="15.75" customHeight="1">
      <c r="B304" s="57"/>
      <c r="C304" s="58"/>
      <c r="E304" s="59"/>
      <c r="F304" s="59"/>
      <c r="G304" s="59"/>
    </row>
    <row r="305" spans="2:7" ht="15.75" customHeight="1">
      <c r="B305" s="57"/>
      <c r="C305" s="58"/>
      <c r="E305" s="59"/>
      <c r="F305" s="59"/>
      <c r="G305" s="59"/>
    </row>
    <row r="306" spans="2:7" ht="15.75" customHeight="1">
      <c r="B306" s="57"/>
      <c r="C306" s="58"/>
      <c r="E306" s="59"/>
      <c r="F306" s="59"/>
      <c r="G306" s="59"/>
    </row>
    <row r="307" spans="2:7" ht="15.75" customHeight="1">
      <c r="B307" s="57"/>
      <c r="C307" s="58"/>
      <c r="E307" s="59"/>
      <c r="F307" s="59"/>
      <c r="G307" s="59"/>
    </row>
    <row r="308" spans="2:7" ht="15.75" customHeight="1">
      <c r="B308" s="57"/>
      <c r="C308" s="58"/>
      <c r="E308" s="59"/>
      <c r="F308" s="59"/>
      <c r="G308" s="59"/>
    </row>
    <row r="309" spans="2:7" ht="15.75" customHeight="1">
      <c r="B309" s="57"/>
      <c r="C309" s="58"/>
      <c r="E309" s="59"/>
      <c r="F309" s="59"/>
      <c r="G309" s="59"/>
    </row>
    <row r="310" spans="2:7" ht="15.75" customHeight="1">
      <c r="B310" s="57"/>
      <c r="C310" s="58"/>
      <c r="E310" s="59"/>
      <c r="F310" s="59"/>
      <c r="G310" s="59"/>
    </row>
    <row r="311" spans="2:7" ht="15.75" customHeight="1">
      <c r="B311" s="57"/>
      <c r="C311" s="58"/>
      <c r="E311" s="59"/>
      <c r="F311" s="59"/>
      <c r="G311" s="59"/>
    </row>
    <row r="312" spans="2:7" ht="15.75" customHeight="1">
      <c r="B312" s="57"/>
      <c r="C312" s="58"/>
      <c r="E312" s="59"/>
      <c r="F312" s="59"/>
      <c r="G312" s="59"/>
    </row>
    <row r="313" spans="2:7" ht="15.75" customHeight="1">
      <c r="B313" s="57"/>
      <c r="C313" s="58"/>
      <c r="E313" s="59"/>
      <c r="F313" s="59"/>
      <c r="G313" s="59"/>
    </row>
    <row r="314" spans="2:7" ht="15.75" customHeight="1">
      <c r="B314" s="57"/>
      <c r="C314" s="58"/>
      <c r="E314" s="59"/>
      <c r="F314" s="59"/>
      <c r="G314" s="59"/>
    </row>
    <row r="315" spans="2:7" ht="15.75" customHeight="1">
      <c r="B315" s="57"/>
      <c r="C315" s="58"/>
      <c r="E315" s="59"/>
      <c r="F315" s="59"/>
      <c r="G315" s="59"/>
    </row>
    <row r="316" spans="2:7" ht="15.75" customHeight="1">
      <c r="B316" s="57"/>
      <c r="C316" s="58"/>
      <c r="E316" s="59"/>
      <c r="F316" s="59"/>
      <c r="G316" s="59"/>
    </row>
    <row r="317" spans="2:7" ht="15.75" customHeight="1">
      <c r="B317" s="57"/>
      <c r="C317" s="58"/>
      <c r="E317" s="59"/>
      <c r="F317" s="59"/>
      <c r="G317" s="59"/>
    </row>
    <row r="318" spans="2:7" ht="15.75" customHeight="1">
      <c r="B318" s="57"/>
      <c r="C318" s="58"/>
      <c r="E318" s="59"/>
      <c r="F318" s="59"/>
      <c r="G318" s="59"/>
    </row>
    <row r="319" spans="2:7" ht="15.75" customHeight="1">
      <c r="B319" s="57"/>
      <c r="C319" s="58"/>
      <c r="E319" s="59"/>
      <c r="F319" s="59"/>
      <c r="G319" s="59"/>
    </row>
    <row r="320" spans="2:7" ht="15.75" customHeight="1">
      <c r="B320" s="57"/>
      <c r="C320" s="58"/>
      <c r="E320" s="59"/>
      <c r="F320" s="59"/>
      <c r="G320" s="59"/>
    </row>
    <row r="321" spans="2:7" ht="15.75" customHeight="1">
      <c r="B321" s="57"/>
      <c r="C321" s="58"/>
      <c r="E321" s="59"/>
      <c r="F321" s="59"/>
      <c r="G321" s="59"/>
    </row>
    <row r="322" spans="2:7" ht="15.75" customHeight="1">
      <c r="B322" s="57"/>
      <c r="C322" s="58"/>
      <c r="E322" s="59"/>
      <c r="F322" s="59"/>
      <c r="G322" s="59"/>
    </row>
    <row r="323" spans="2:7" ht="15.75" customHeight="1">
      <c r="B323" s="57"/>
      <c r="C323" s="58"/>
      <c r="E323" s="59"/>
      <c r="F323" s="59"/>
      <c r="G323" s="59"/>
    </row>
    <row r="324" spans="2:7" ht="15.75" customHeight="1">
      <c r="B324" s="57"/>
      <c r="C324" s="58"/>
      <c r="E324" s="59"/>
      <c r="F324" s="59"/>
      <c r="G324" s="59"/>
    </row>
    <row r="325" spans="2:7" ht="15.75" customHeight="1">
      <c r="B325" s="57"/>
      <c r="C325" s="58"/>
      <c r="E325" s="59"/>
      <c r="F325" s="59"/>
      <c r="G325" s="59"/>
    </row>
    <row r="326" spans="2:7" ht="15.75" customHeight="1">
      <c r="B326" s="57"/>
      <c r="C326" s="58"/>
      <c r="E326" s="59"/>
      <c r="F326" s="59"/>
      <c r="G326" s="59"/>
    </row>
    <row r="327" spans="2:7" ht="15.75" customHeight="1">
      <c r="B327" s="57"/>
      <c r="C327" s="58"/>
      <c r="E327" s="59"/>
      <c r="F327" s="59"/>
      <c r="G327" s="59"/>
    </row>
    <row r="328" spans="2:7" ht="15.75" customHeight="1">
      <c r="B328" s="57"/>
      <c r="C328" s="58"/>
      <c r="E328" s="59"/>
      <c r="F328" s="59"/>
      <c r="G328" s="59"/>
    </row>
    <row r="329" spans="2:7" ht="15.75" customHeight="1">
      <c r="B329" s="57"/>
      <c r="C329" s="58"/>
      <c r="E329" s="59"/>
      <c r="F329" s="59"/>
      <c r="G329" s="59"/>
    </row>
    <row r="330" spans="2:7" ht="15.75" customHeight="1">
      <c r="B330" s="57"/>
      <c r="C330" s="58"/>
      <c r="E330" s="59"/>
      <c r="F330" s="59"/>
      <c r="G330" s="59"/>
    </row>
    <row r="331" spans="2:7" ht="15.75" customHeight="1">
      <c r="B331" s="57"/>
      <c r="C331" s="58"/>
      <c r="E331" s="59"/>
      <c r="F331" s="59"/>
      <c r="G331" s="59"/>
    </row>
    <row r="332" spans="2:7" ht="15.75" customHeight="1">
      <c r="B332" s="57"/>
      <c r="C332" s="58"/>
      <c r="E332" s="59"/>
      <c r="F332" s="59"/>
      <c r="G332" s="59"/>
    </row>
    <row r="333" spans="2:7" ht="15.75" customHeight="1">
      <c r="B333" s="57"/>
      <c r="C333" s="58"/>
      <c r="E333" s="59"/>
      <c r="F333" s="59"/>
      <c r="G333" s="59"/>
    </row>
    <row r="334" spans="2:7" ht="15.75" customHeight="1">
      <c r="B334" s="57"/>
      <c r="C334" s="58"/>
      <c r="E334" s="59"/>
      <c r="F334" s="59"/>
      <c r="G334" s="59"/>
    </row>
    <row r="335" spans="2:7" ht="15.75" customHeight="1">
      <c r="B335" s="57"/>
      <c r="C335" s="58"/>
      <c r="E335" s="59"/>
      <c r="F335" s="59"/>
      <c r="G335" s="59"/>
    </row>
    <row r="336" spans="2:7" ht="15.75" customHeight="1">
      <c r="B336" s="57"/>
      <c r="C336" s="58"/>
      <c r="E336" s="59"/>
      <c r="F336" s="59"/>
      <c r="G336" s="59"/>
    </row>
    <row r="337" spans="2:7" ht="15.75" customHeight="1">
      <c r="B337" s="57"/>
      <c r="C337" s="58"/>
      <c r="E337" s="59"/>
      <c r="F337" s="59"/>
      <c r="G337" s="59"/>
    </row>
    <row r="338" spans="2:7" ht="15.75" customHeight="1">
      <c r="B338" s="57"/>
      <c r="C338" s="58"/>
      <c r="E338" s="59"/>
      <c r="F338" s="59"/>
      <c r="G338" s="59"/>
    </row>
    <row r="339" spans="2:7" ht="15.75" customHeight="1">
      <c r="B339" s="57"/>
      <c r="C339" s="58"/>
      <c r="E339" s="59"/>
      <c r="F339" s="59"/>
      <c r="G339" s="59"/>
    </row>
    <row r="340" spans="2:7" ht="15.75" customHeight="1">
      <c r="B340" s="57"/>
      <c r="C340" s="58"/>
      <c r="E340" s="59"/>
      <c r="F340" s="59"/>
      <c r="G340" s="59"/>
    </row>
    <row r="341" spans="2:7" ht="15.75" customHeight="1">
      <c r="B341" s="57"/>
      <c r="C341" s="58"/>
      <c r="E341" s="59"/>
      <c r="F341" s="59"/>
      <c r="G341" s="59"/>
    </row>
    <row r="342" spans="2:7" ht="15.75" customHeight="1">
      <c r="B342" s="57"/>
      <c r="C342" s="58"/>
      <c r="E342" s="59"/>
      <c r="F342" s="59"/>
      <c r="G342" s="59"/>
    </row>
    <row r="343" spans="2:7" ht="15.75" customHeight="1">
      <c r="B343" s="57"/>
      <c r="C343" s="58"/>
      <c r="E343" s="59"/>
      <c r="F343" s="59"/>
      <c r="G343" s="59"/>
    </row>
    <row r="344" spans="2:7" ht="15.75" customHeight="1">
      <c r="B344" s="57"/>
      <c r="C344" s="58"/>
      <c r="E344" s="59"/>
      <c r="F344" s="59"/>
      <c r="G344" s="59"/>
    </row>
    <row r="345" spans="2:7" ht="15.75" customHeight="1">
      <c r="B345" s="57"/>
      <c r="C345" s="58"/>
      <c r="E345" s="59"/>
      <c r="F345" s="59"/>
      <c r="G345" s="59"/>
    </row>
    <row r="346" spans="2:7" ht="15.75" customHeight="1">
      <c r="B346" s="57"/>
      <c r="C346" s="58"/>
      <c r="E346" s="59"/>
      <c r="F346" s="59"/>
      <c r="G346" s="59"/>
    </row>
    <row r="347" spans="2:7" ht="15.75" customHeight="1">
      <c r="B347" s="57"/>
      <c r="C347" s="58"/>
      <c r="E347" s="59"/>
      <c r="F347" s="59"/>
      <c r="G347" s="59"/>
    </row>
    <row r="348" spans="2:7" ht="15.75" customHeight="1">
      <c r="B348" s="57"/>
      <c r="C348" s="58"/>
      <c r="E348" s="59"/>
      <c r="F348" s="59"/>
      <c r="G348" s="59"/>
    </row>
    <row r="349" spans="2:7" ht="15.75" customHeight="1">
      <c r="B349" s="57"/>
      <c r="C349" s="58"/>
      <c r="E349" s="59"/>
      <c r="F349" s="59"/>
      <c r="G349" s="59"/>
    </row>
    <row r="350" spans="2:7" ht="15.75" customHeight="1">
      <c r="B350" s="57"/>
      <c r="C350" s="58"/>
      <c r="E350" s="59"/>
      <c r="F350" s="59"/>
      <c r="G350" s="59"/>
    </row>
    <row r="351" spans="2:7" ht="15.75" customHeight="1">
      <c r="B351" s="57"/>
      <c r="C351" s="58"/>
      <c r="E351" s="59"/>
      <c r="F351" s="59"/>
      <c r="G351" s="59"/>
    </row>
    <row r="352" spans="2:7" ht="15.75" customHeight="1">
      <c r="B352" s="57"/>
      <c r="C352" s="58"/>
      <c r="E352" s="59"/>
      <c r="F352" s="59"/>
      <c r="G352" s="59"/>
    </row>
    <row r="353" spans="2:7" ht="15.75" customHeight="1">
      <c r="B353" s="57"/>
      <c r="C353" s="58"/>
      <c r="E353" s="59"/>
      <c r="F353" s="59"/>
      <c r="G353" s="59"/>
    </row>
    <row r="354" spans="2:7" ht="15.75" customHeight="1">
      <c r="B354" s="57"/>
      <c r="C354" s="58"/>
      <c r="E354" s="59"/>
      <c r="F354" s="59"/>
      <c r="G354" s="59"/>
    </row>
    <row r="355" spans="2:7" ht="15.75" customHeight="1">
      <c r="B355" s="57"/>
      <c r="C355" s="58"/>
      <c r="E355" s="59"/>
      <c r="F355" s="59"/>
      <c r="G355" s="59"/>
    </row>
    <row r="356" spans="2:7" ht="15.75" customHeight="1">
      <c r="B356" s="57"/>
      <c r="C356" s="58"/>
      <c r="E356" s="59"/>
      <c r="F356" s="59"/>
      <c r="G356" s="59"/>
    </row>
    <row r="357" spans="2:7" ht="15.75" customHeight="1">
      <c r="B357" s="57"/>
      <c r="C357" s="58"/>
      <c r="E357" s="59"/>
      <c r="F357" s="59"/>
      <c r="G357" s="59"/>
    </row>
    <row r="358" spans="2:7" ht="15.75" customHeight="1">
      <c r="B358" s="57"/>
      <c r="C358" s="58"/>
      <c r="E358" s="59"/>
      <c r="F358" s="59"/>
      <c r="G358" s="59"/>
    </row>
    <row r="359" spans="2:7" ht="15.75" customHeight="1">
      <c r="B359" s="57"/>
      <c r="C359" s="58"/>
      <c r="E359" s="59"/>
      <c r="F359" s="59"/>
      <c r="G359" s="59"/>
    </row>
    <row r="360" spans="2:7" ht="15.75" customHeight="1">
      <c r="B360" s="57"/>
      <c r="C360" s="58"/>
      <c r="E360" s="59"/>
      <c r="F360" s="59"/>
      <c r="G360" s="59"/>
    </row>
    <row r="361" spans="2:7" ht="15.75" customHeight="1">
      <c r="B361" s="57"/>
      <c r="C361" s="58"/>
      <c r="E361" s="59"/>
      <c r="F361" s="59"/>
      <c r="G361" s="59"/>
    </row>
    <row r="362" spans="2:7" ht="15.75" customHeight="1">
      <c r="B362" s="57"/>
      <c r="C362" s="58"/>
      <c r="E362" s="59"/>
      <c r="F362" s="59"/>
      <c r="G362" s="59"/>
    </row>
    <row r="363" spans="2:7" ht="15.75" customHeight="1">
      <c r="B363" s="57"/>
      <c r="C363" s="58"/>
      <c r="E363" s="59"/>
      <c r="F363" s="59"/>
      <c r="G363" s="59"/>
    </row>
    <row r="364" spans="2:7" ht="15.75" customHeight="1">
      <c r="B364" s="57"/>
      <c r="C364" s="58"/>
      <c r="E364" s="59"/>
      <c r="F364" s="59"/>
      <c r="G364" s="59"/>
    </row>
    <row r="365" spans="2:7" ht="15.75" customHeight="1">
      <c r="B365" s="57"/>
      <c r="C365" s="58"/>
      <c r="E365" s="59"/>
      <c r="F365" s="59"/>
      <c r="G365" s="59"/>
    </row>
    <row r="366" spans="2:7" ht="15.75" customHeight="1">
      <c r="B366" s="57"/>
      <c r="C366" s="58"/>
      <c r="E366" s="59"/>
      <c r="F366" s="59"/>
      <c r="G366" s="59"/>
    </row>
    <row r="367" spans="2:7" ht="15.75" customHeight="1">
      <c r="B367" s="57"/>
      <c r="C367" s="58"/>
      <c r="E367" s="59"/>
      <c r="F367" s="59"/>
      <c r="G367" s="59"/>
    </row>
    <row r="368" spans="2:7" ht="15.75" customHeight="1">
      <c r="B368" s="57"/>
      <c r="C368" s="58"/>
      <c r="E368" s="59"/>
      <c r="F368" s="59"/>
      <c r="G368" s="59"/>
    </row>
    <row r="369" spans="2:7" ht="15.75" customHeight="1">
      <c r="B369" s="57"/>
      <c r="C369" s="58"/>
      <c r="E369" s="59"/>
      <c r="F369" s="59"/>
      <c r="G369" s="59"/>
    </row>
    <row r="370" spans="2:7" ht="15.75" customHeight="1">
      <c r="B370" s="57"/>
      <c r="C370" s="58"/>
      <c r="E370" s="59"/>
      <c r="F370" s="59"/>
      <c r="G370" s="59"/>
    </row>
    <row r="371" spans="2:7" ht="15.75" customHeight="1">
      <c r="B371" s="57"/>
      <c r="C371" s="58"/>
      <c r="E371" s="59"/>
      <c r="F371" s="59"/>
      <c r="G371" s="59"/>
    </row>
    <row r="372" spans="2:7" ht="15.75" customHeight="1">
      <c r="B372" s="57"/>
      <c r="C372" s="58"/>
      <c r="E372" s="59"/>
      <c r="F372" s="59"/>
      <c r="G372" s="59"/>
    </row>
    <row r="373" spans="2:7" ht="15.75" customHeight="1">
      <c r="B373" s="57"/>
      <c r="C373" s="58"/>
      <c r="E373" s="59"/>
      <c r="F373" s="59"/>
      <c r="G373" s="59"/>
    </row>
    <row r="374" spans="2:7" ht="15.75" customHeight="1">
      <c r="B374" s="57"/>
      <c r="C374" s="58"/>
      <c r="E374" s="59"/>
      <c r="F374" s="59"/>
      <c r="G374" s="59"/>
    </row>
    <row r="375" spans="2:7" ht="15.75" customHeight="1">
      <c r="B375" s="57"/>
      <c r="C375" s="58"/>
      <c r="E375" s="59"/>
      <c r="F375" s="59"/>
      <c r="G375" s="59"/>
    </row>
    <row r="376" spans="2:7" ht="15.75" customHeight="1">
      <c r="B376" s="57"/>
      <c r="C376" s="58"/>
      <c r="E376" s="59"/>
      <c r="F376" s="59"/>
      <c r="G376" s="59"/>
    </row>
    <row r="377" spans="2:7" ht="15.75" customHeight="1">
      <c r="B377" s="57"/>
      <c r="C377" s="58"/>
      <c r="E377" s="59"/>
      <c r="F377" s="59"/>
      <c r="G377" s="59"/>
    </row>
    <row r="378" spans="2:7" ht="15.75" customHeight="1">
      <c r="B378" s="57"/>
      <c r="C378" s="58"/>
      <c r="E378" s="59"/>
      <c r="F378" s="59"/>
      <c r="G378" s="59"/>
    </row>
    <row r="379" spans="2:7" ht="15.75" customHeight="1">
      <c r="B379" s="57"/>
      <c r="C379" s="58"/>
      <c r="E379" s="59"/>
      <c r="F379" s="59"/>
      <c r="G379" s="59"/>
    </row>
    <row r="380" spans="2:7" ht="15.75" customHeight="1">
      <c r="B380" s="57"/>
      <c r="C380" s="58"/>
      <c r="E380" s="59"/>
      <c r="F380" s="59"/>
      <c r="G380" s="59"/>
    </row>
    <row r="381" spans="2:7" ht="15.75" customHeight="1">
      <c r="B381" s="57"/>
      <c r="C381" s="58"/>
      <c r="E381" s="59"/>
      <c r="F381" s="59"/>
      <c r="G381" s="59"/>
    </row>
    <row r="382" spans="2:7" ht="15.75" customHeight="1">
      <c r="B382" s="57"/>
      <c r="C382" s="58"/>
      <c r="E382" s="59"/>
      <c r="F382" s="59"/>
      <c r="G382" s="59"/>
    </row>
    <row r="383" spans="2:7" ht="15.75" customHeight="1">
      <c r="B383" s="57"/>
      <c r="C383" s="58"/>
      <c r="E383" s="59"/>
      <c r="F383" s="59"/>
      <c r="G383" s="59"/>
    </row>
    <row r="384" spans="2:7" ht="15.75" customHeight="1">
      <c r="B384" s="57"/>
      <c r="C384" s="58"/>
      <c r="E384" s="59"/>
      <c r="F384" s="59"/>
      <c r="G384" s="59"/>
    </row>
    <row r="385" spans="2:7" ht="15.75" customHeight="1">
      <c r="B385" s="57"/>
      <c r="C385" s="58"/>
      <c r="E385" s="59"/>
      <c r="F385" s="59"/>
      <c r="G385" s="59"/>
    </row>
    <row r="386" spans="2:7" ht="15.75" customHeight="1">
      <c r="B386" s="57"/>
      <c r="C386" s="58"/>
      <c r="E386" s="59"/>
      <c r="F386" s="59"/>
      <c r="G386" s="59"/>
    </row>
    <row r="387" spans="2:7" ht="15.75" customHeight="1">
      <c r="B387" s="57"/>
      <c r="C387" s="58"/>
      <c r="E387" s="59"/>
      <c r="F387" s="59"/>
      <c r="G387" s="59"/>
    </row>
    <row r="388" spans="2:7" ht="15.75" customHeight="1"/>
    <row r="389" spans="2:7" ht="15.75" customHeight="1"/>
    <row r="390" spans="2:7" ht="15.75" customHeight="1"/>
    <row r="391" spans="2:7" ht="15.75" customHeight="1"/>
    <row r="392" spans="2:7" ht="15.75" customHeight="1"/>
    <row r="393" spans="2:7" ht="15.75" customHeight="1"/>
    <row r="394" spans="2:7" ht="15.75" customHeight="1"/>
    <row r="395" spans="2:7" ht="15.75" customHeight="1"/>
    <row r="396" spans="2:7" ht="15.75" customHeight="1"/>
    <row r="397" spans="2:7" ht="15.75" customHeight="1"/>
    <row r="398" spans="2:7" ht="15.75" customHeight="1"/>
    <row r="399" spans="2:7" ht="15.75" customHeight="1"/>
    <row r="400" spans="2:7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H57:H59"/>
    <mergeCell ref="H65:M65"/>
    <mergeCell ref="H66:M66"/>
    <mergeCell ref="H9:I9"/>
    <mergeCell ref="L15:O15"/>
    <mergeCell ref="P15:Q15"/>
    <mergeCell ref="L17:O17"/>
    <mergeCell ref="P17:Q17"/>
    <mergeCell ref="H18:I18"/>
    <mergeCell ref="K18:M18"/>
  </mergeCells>
  <hyperlinks>
    <hyperlink ref="G10" r:id="rId1" xr:uid="{00000000-0004-0000-0000-000000000000}"/>
    <hyperlink ref="G11" r:id="rId2" xr:uid="{00000000-0004-0000-0000-000001000000}"/>
    <hyperlink ref="G12" r:id="rId3" xr:uid="{00000000-0004-0000-0000-000002000000}"/>
    <hyperlink ref="G13" r:id="rId4" xr:uid="{00000000-0004-0000-0000-000003000000}"/>
    <hyperlink ref="G14" r:id="rId5" xr:uid="{00000000-0004-0000-0000-000004000000}"/>
    <hyperlink ref="G15" r:id="rId6" xr:uid="{00000000-0004-0000-0000-000005000000}"/>
    <hyperlink ref="H15" r:id="rId7" xr:uid="{00000000-0004-0000-0000-000006000000}"/>
    <hyperlink ref="H16" r:id="rId8" xr:uid="{00000000-0004-0000-0000-000007000000}"/>
    <hyperlink ref="G18" r:id="rId9" xr:uid="{00000000-0004-0000-0000-000008000000}"/>
    <hyperlink ref="G35" r:id="rId10" xr:uid="{00000000-0004-0000-0000-000009000000}"/>
    <hyperlink ref="G38" r:id="rId11" xr:uid="{00000000-0004-0000-0000-00000A000000}"/>
    <hyperlink ref="G39" r:id="rId12" xr:uid="{00000000-0004-0000-0000-00000B000000}"/>
    <hyperlink ref="G40" r:id="rId13" xr:uid="{00000000-0004-0000-0000-00000C000000}"/>
    <hyperlink ref="G43" r:id="rId14" xr:uid="{00000000-0004-0000-0000-00000D000000}"/>
    <hyperlink ref="G44" r:id="rId15" xr:uid="{00000000-0004-0000-0000-00000E000000}"/>
    <hyperlink ref="G45" r:id="rId16" xr:uid="{00000000-0004-0000-0000-00000F000000}"/>
    <hyperlink ref="G46" r:id="rId17" xr:uid="{00000000-0004-0000-0000-000010000000}"/>
    <hyperlink ref="G47" r:id="rId18" xr:uid="{00000000-0004-0000-0000-000011000000}"/>
    <hyperlink ref="G48" r:id="rId19" xr:uid="{00000000-0004-0000-0000-000012000000}"/>
    <hyperlink ref="G49" r:id="rId20" xr:uid="{00000000-0004-0000-0000-000013000000}"/>
    <hyperlink ref="G52" r:id="rId21" xr:uid="{00000000-0004-0000-0000-000014000000}"/>
    <hyperlink ref="G53" r:id="rId22" xr:uid="{00000000-0004-0000-0000-000015000000}"/>
    <hyperlink ref="G54" r:id="rId23" xr:uid="{00000000-0004-0000-0000-000016000000}"/>
    <hyperlink ref="G55" r:id="rId24" xr:uid="{00000000-0004-0000-0000-000017000000}"/>
    <hyperlink ref="G56" r:id="rId25" xr:uid="{00000000-0004-0000-0000-000018000000}"/>
    <hyperlink ref="G57" r:id="rId26" xr:uid="{00000000-0004-0000-0000-000019000000}"/>
    <hyperlink ref="G58" r:id="rId27" xr:uid="{00000000-0004-0000-0000-00001A000000}"/>
    <hyperlink ref="G59" r:id="rId28" xr:uid="{00000000-0004-0000-0000-00001B000000}"/>
    <hyperlink ref="G62" r:id="rId29" xr:uid="{00000000-0004-0000-0000-00001C000000}"/>
    <hyperlink ref="G63" r:id="rId30" xr:uid="{00000000-0004-0000-0000-00001D000000}"/>
    <hyperlink ref="G65" r:id="rId31" xr:uid="{00000000-0004-0000-0000-00001E000000}"/>
    <hyperlink ref="H65" r:id="rId32" xr:uid="{00000000-0004-0000-0000-00001F000000}"/>
    <hyperlink ref="G66" r:id="rId33" xr:uid="{00000000-0004-0000-0000-000020000000}"/>
    <hyperlink ref="H66" r:id="rId34" xr:uid="{00000000-0004-0000-0000-000021000000}"/>
    <hyperlink ref="G69" r:id="rId35" xr:uid="{00000000-0004-0000-0000-000022000000}"/>
    <hyperlink ref="G70" r:id="rId36" xr:uid="{00000000-0004-0000-0000-000023000000}"/>
    <hyperlink ref="G71" r:id="rId37" xr:uid="{00000000-0004-0000-0000-000024000000}"/>
    <hyperlink ref="G72" r:id="rId38" xr:uid="{00000000-0004-0000-0000-000025000000}"/>
    <hyperlink ref="G73" r:id="rId39" xr:uid="{00000000-0004-0000-0000-000026000000}"/>
    <hyperlink ref="G74" r:id="rId40" xr:uid="{00000000-0004-0000-0000-000027000000}"/>
    <hyperlink ref="G75" r:id="rId41" xr:uid="{00000000-0004-0000-0000-000028000000}"/>
    <hyperlink ref="G76" r:id="rId42" xr:uid="{00000000-0004-0000-0000-000029000000}"/>
    <hyperlink ref="G77" r:id="rId43" xr:uid="{00000000-0004-0000-0000-00002A000000}"/>
    <hyperlink ref="G78" r:id="rId44" xr:uid="{00000000-0004-0000-0000-00002B000000}"/>
    <hyperlink ref="G79" r:id="rId45" xr:uid="{00000000-0004-0000-0000-00002C000000}"/>
    <hyperlink ref="G82" r:id="rId46" xr:uid="{00000000-0004-0000-0000-00002D000000}"/>
    <hyperlink ref="G83" r:id="rId47" xr:uid="{00000000-0004-0000-0000-00002E000000}"/>
    <hyperlink ref="G84" r:id="rId48" xr:uid="{00000000-0004-0000-0000-00002F000000}"/>
    <hyperlink ref="G87" r:id="rId49" xr:uid="{00000000-0004-0000-0000-000030000000}"/>
    <hyperlink ref="G88" r:id="rId50" xr:uid="{00000000-0004-0000-0000-000031000000}"/>
    <hyperlink ref="G89" r:id="rId51" xr:uid="{00000000-0004-0000-0000-000032000000}"/>
    <hyperlink ref="G90" r:id="rId52" xr:uid="{00000000-0004-0000-0000-000033000000}"/>
    <hyperlink ref="G91" r:id="rId53" xr:uid="{00000000-0004-0000-0000-000034000000}"/>
    <hyperlink ref="G92" r:id="rId54" xr:uid="{00000000-0004-0000-0000-000035000000}"/>
    <hyperlink ref="G97" r:id="rId55" xr:uid="{00000000-0004-0000-0000-000036000000}"/>
    <hyperlink ref="G98" r:id="rId56" xr:uid="{00000000-0004-0000-0000-000037000000}"/>
    <hyperlink ref="G99" r:id="rId57" xr:uid="{00000000-0004-0000-0000-000038000000}"/>
    <hyperlink ref="G100" r:id="rId58" xr:uid="{00000000-0004-0000-0000-000039000000}"/>
    <hyperlink ref="G104" r:id="rId59" xr:uid="{00000000-0004-0000-0000-00003A000000}"/>
    <hyperlink ref="G105" r:id="rId60" xr:uid="{00000000-0004-0000-0000-00003B000000}"/>
    <hyperlink ref="G106" r:id="rId61" xr:uid="{00000000-0004-0000-0000-00003C000000}"/>
    <hyperlink ref="G107" r:id="rId62" xr:uid="{00000000-0004-0000-0000-00003D000000}"/>
    <hyperlink ref="G108" r:id="rId63" xr:uid="{00000000-0004-0000-0000-00003E000000}"/>
    <hyperlink ref="G111" r:id="rId64" xr:uid="{00000000-0004-0000-0000-00003F000000}"/>
    <hyperlink ref="G112" r:id="rId65" xr:uid="{00000000-0004-0000-0000-000040000000}"/>
    <hyperlink ref="G113" r:id="rId66" xr:uid="{00000000-0004-0000-0000-000041000000}"/>
    <hyperlink ref="G114" r:id="rId67" xr:uid="{00000000-0004-0000-0000-000042000000}"/>
    <hyperlink ref="G115" r:id="rId68" xr:uid="{00000000-0004-0000-0000-000043000000}"/>
    <hyperlink ref="G116" r:id="rId69" xr:uid="{00000000-0004-0000-0000-000044000000}"/>
    <hyperlink ref="G117" r:id="rId70" xr:uid="{00000000-0004-0000-0000-000045000000}"/>
    <hyperlink ref="G118" r:id="rId71" xr:uid="{00000000-0004-0000-0000-000046000000}"/>
    <hyperlink ref="G119" r:id="rId72" xr:uid="{00000000-0004-0000-0000-000047000000}"/>
    <hyperlink ref="G120" r:id="rId73" xr:uid="{00000000-0004-0000-0000-000048000000}"/>
    <hyperlink ref="G121" r:id="rId74" xr:uid="{00000000-0004-0000-0000-000049000000}"/>
    <hyperlink ref="G122" r:id="rId75" xr:uid="{00000000-0004-0000-0000-00004A000000}"/>
    <hyperlink ref="G124" r:id="rId76" xr:uid="{00000000-0004-0000-0000-00004B000000}"/>
    <hyperlink ref="G125" r:id="rId77" xr:uid="{00000000-0004-0000-0000-00004C000000}"/>
    <hyperlink ref="G126" r:id="rId78" xr:uid="{00000000-0004-0000-0000-00004D000000}"/>
    <hyperlink ref="G129" r:id="rId79" xr:uid="{00000000-0004-0000-0000-00004E000000}"/>
    <hyperlink ref="G130" r:id="rId80" xr:uid="{00000000-0004-0000-0000-00004F000000}"/>
    <hyperlink ref="G131" r:id="rId81" xr:uid="{00000000-0004-0000-0000-000050000000}"/>
    <hyperlink ref="G134" r:id="rId82" xr:uid="{00000000-0004-0000-0000-000051000000}"/>
    <hyperlink ref="G135" r:id="rId83" xr:uid="{00000000-0004-0000-0000-000052000000}"/>
    <hyperlink ref="G136" r:id="rId84" xr:uid="{00000000-0004-0000-0000-000053000000}"/>
    <hyperlink ref="G137" r:id="rId85" xr:uid="{00000000-0004-0000-0000-000054000000}"/>
    <hyperlink ref="G141" r:id="rId86" xr:uid="{00000000-0004-0000-0000-000055000000}"/>
    <hyperlink ref="G142" r:id="rId87" xr:uid="{00000000-0004-0000-0000-000056000000}"/>
    <hyperlink ref="G143" r:id="rId88" xr:uid="{00000000-0004-0000-0000-000057000000}"/>
    <hyperlink ref="G144" r:id="rId89" xr:uid="{00000000-0004-0000-0000-000058000000}"/>
    <hyperlink ref="G147" r:id="rId90" xr:uid="{00000000-0004-0000-0000-000059000000}"/>
    <hyperlink ref="G148" r:id="rId91" xr:uid="{00000000-0004-0000-0000-00005A000000}"/>
    <hyperlink ref="G149" r:id="rId92" xr:uid="{00000000-0004-0000-0000-00005B000000}"/>
    <hyperlink ref="G150" r:id="rId93" xr:uid="{00000000-0004-0000-0000-00005C000000}"/>
    <hyperlink ref="G151" r:id="rId94" xr:uid="{00000000-0004-0000-0000-00005D000000}"/>
    <hyperlink ref="G152" r:id="rId95" xr:uid="{00000000-0004-0000-0000-00005E000000}"/>
    <hyperlink ref="G153" r:id="rId96" xr:uid="{00000000-0004-0000-0000-00005F000000}"/>
    <hyperlink ref="G154" r:id="rId97" xr:uid="{00000000-0004-0000-0000-000060000000}"/>
    <hyperlink ref="G157" r:id="rId98" xr:uid="{00000000-0004-0000-0000-000061000000}"/>
    <hyperlink ref="G158" r:id="rId99" xr:uid="{00000000-0004-0000-0000-000062000000}"/>
    <hyperlink ref="G159" r:id="rId100" xr:uid="{00000000-0004-0000-0000-000063000000}"/>
    <hyperlink ref="G160" r:id="rId101" xr:uid="{00000000-0004-0000-0000-000064000000}"/>
    <hyperlink ref="G161" r:id="rId102" xr:uid="{00000000-0004-0000-0000-000065000000}"/>
    <hyperlink ref="G162" r:id="rId103" xr:uid="{00000000-0004-0000-0000-000066000000}"/>
    <hyperlink ref="G165" r:id="rId104" xr:uid="{00000000-0004-0000-0000-000067000000}"/>
    <hyperlink ref="G166" r:id="rId105" xr:uid="{00000000-0004-0000-0000-000068000000}"/>
    <hyperlink ref="G167" r:id="rId106" xr:uid="{00000000-0004-0000-0000-000069000000}"/>
    <hyperlink ref="G168" r:id="rId107" xr:uid="{00000000-0004-0000-0000-00006A000000}"/>
    <hyperlink ref="G169" r:id="rId108" xr:uid="{00000000-0004-0000-0000-00006B000000}"/>
    <hyperlink ref="G170" r:id="rId109" xr:uid="{00000000-0004-0000-0000-00006C000000}"/>
    <hyperlink ref="G173" r:id="rId110" xr:uid="{00000000-0004-0000-0000-00006D000000}"/>
    <hyperlink ref="G174" r:id="rId111" xr:uid="{00000000-0004-0000-0000-00006E000000}"/>
    <hyperlink ref="G175" r:id="rId112" xr:uid="{00000000-0004-0000-0000-00006F000000}"/>
    <hyperlink ref="G176" r:id="rId113" xr:uid="{00000000-0004-0000-0000-000070000000}"/>
    <hyperlink ref="G177" r:id="rId114" xr:uid="{00000000-0004-0000-0000-000071000000}"/>
    <hyperlink ref="G180" r:id="rId115" xr:uid="{00000000-0004-0000-0000-000072000000}"/>
    <hyperlink ref="G181" r:id="rId116" xr:uid="{00000000-0004-0000-0000-000073000000}"/>
    <hyperlink ref="G182" r:id="rId117" xr:uid="{00000000-0004-0000-0000-000074000000}"/>
    <hyperlink ref="G183" r:id="rId118" xr:uid="{00000000-0004-0000-0000-000075000000}"/>
    <hyperlink ref="G184" r:id="rId119" xr:uid="{00000000-0004-0000-0000-000076000000}"/>
    <hyperlink ref="G185" r:id="rId120" xr:uid="{00000000-0004-0000-0000-000077000000}"/>
    <hyperlink ref="G186" r:id="rId121" xr:uid="{00000000-0004-0000-0000-000078000000}"/>
    <hyperlink ref="G187" r:id="rId122" xr:uid="{00000000-0004-0000-0000-00007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BF20-72E6-4C57-84E6-44C16DA303E5}">
  <dimension ref="A1:K86"/>
  <sheetViews>
    <sheetView workbookViewId="0">
      <selection activeCell="O29" sqref="O29"/>
    </sheetView>
  </sheetViews>
  <sheetFormatPr defaultRowHeight="13.2"/>
  <cols>
    <col min="1" max="1" width="43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2554</v>
      </c>
    </row>
    <row r="2" spans="1:11" ht="13.8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>
        <v>4</v>
      </c>
    </row>
    <row r="3" spans="1:11" ht="13.8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>
        <v>4</v>
      </c>
    </row>
    <row r="4" spans="1:11" ht="13.8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>
        <v>2</v>
      </c>
    </row>
    <row r="5" spans="1:11" ht="13.8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>
        <v>4</v>
      </c>
    </row>
    <row r="6" spans="1:11" ht="13.8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>
        <v>3</v>
      </c>
    </row>
    <row r="7" spans="1:11" ht="13.8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>
        <v>3</v>
      </c>
    </row>
    <row r="8" spans="1:11" ht="13.8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>
        <v>4</v>
      </c>
    </row>
    <row r="9" spans="1:11" ht="13.8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>
        <v>4</v>
      </c>
    </row>
    <row r="10" spans="1:11" ht="13.8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>
        <v>4</v>
      </c>
    </row>
    <row r="11" spans="1:11" ht="13.8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>
        <v>3</v>
      </c>
    </row>
    <row r="12" spans="1:11" ht="13.8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>
        <v>1</v>
      </c>
    </row>
    <row r="13" spans="1:11" ht="13.8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>
        <v>4</v>
      </c>
    </row>
    <row r="14" spans="1:11" ht="13.8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>
        <v>4</v>
      </c>
    </row>
    <row r="15" spans="1:11" ht="13.8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>
        <v>4</v>
      </c>
    </row>
    <row r="16" spans="1:11" ht="13.8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>
        <v>4</v>
      </c>
    </row>
    <row r="17" spans="1:11" ht="13.8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>
        <v>3</v>
      </c>
    </row>
    <row r="18" spans="1:11" ht="13.8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>
        <v>4</v>
      </c>
    </row>
    <row r="19" spans="1:11" ht="13.8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>
        <v>4</v>
      </c>
    </row>
    <row r="20" spans="1:11" ht="13.8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>
        <v>5</v>
      </c>
    </row>
    <row r="21" spans="1:11" ht="13.8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>
        <v>3</v>
      </c>
    </row>
    <row r="22" spans="1:11" ht="13.8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>
        <v>4</v>
      </c>
    </row>
    <row r="23" spans="1:11" ht="13.8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>
        <v>4</v>
      </c>
    </row>
    <row r="24" spans="1:11" ht="13.8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>
        <v>4</v>
      </c>
    </row>
    <row r="25" spans="1:11" ht="13.8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>
        <v>3</v>
      </c>
    </row>
    <row r="26" spans="1:11" ht="13.8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>
        <v>4</v>
      </c>
    </row>
    <row r="27" spans="1:11" ht="13.8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>
        <v>4</v>
      </c>
    </row>
    <row r="28" spans="1:11" ht="13.8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>
        <v>3</v>
      </c>
    </row>
    <row r="29" spans="1:11" ht="13.8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>
        <v>3</v>
      </c>
    </row>
    <row r="30" spans="1:11" ht="13.8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>
        <v>3</v>
      </c>
    </row>
    <row r="31" spans="1:11" ht="13.8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>
        <v>5</v>
      </c>
    </row>
    <row r="32" spans="1:11" ht="13.8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>
        <v>3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>
        <v>5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>
        <v>2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>
        <v>4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>
        <v>4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>
        <v>4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>
        <v>4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>
        <v>3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>
        <v>4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>
        <v>4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>
        <v>4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>
        <v>4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>
        <v>4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>
        <v>3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>
        <v>4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>
        <v>4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>
        <v>4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>
        <v>3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>
        <v>6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>
        <v>4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>
        <v>2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>
        <v>4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>
        <v>3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>
        <v>4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>
        <v>3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>
        <v>2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>
        <v>5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>
        <v>3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>
        <v>4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>
        <v>4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>
        <v>3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>
        <v>4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>
        <v>4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>
        <v>1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>
        <v>4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>
        <v>5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>
        <v>4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>
        <v>3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>
        <v>4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>
        <v>4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>
        <v>3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>
        <v>4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>
        <v>4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>
        <v>4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>
        <v>5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>
        <v>4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>
        <v>4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>
        <v>4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>
        <v>4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>
        <v>4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>
        <v>3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>
        <v>4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>
        <v>2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>
        <v>2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>
        <v>4</v>
      </c>
    </row>
  </sheetData>
  <autoFilter ref="A1:K86" xr:uid="{D071BF20-72E6-4C57-84E6-44C16DA303E5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2AD4-5794-4892-BA18-F3C35EA17173}">
  <sheetPr>
    <outlinePr summaryBelow="0" summaryRight="0"/>
  </sheetPr>
  <dimension ref="A1:J85"/>
  <sheetViews>
    <sheetView workbookViewId="0">
      <pane xSplit="1" topLeftCell="B1" activePane="topRight" state="frozen"/>
      <selection pane="topRight" activeCell="A8" sqref="A8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</cols>
  <sheetData>
    <row r="1" spans="1:10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</row>
    <row r="2" spans="1:10" ht="15" customHeight="1">
      <c r="A2" s="164" t="s">
        <v>270</v>
      </c>
      <c r="B2" s="166">
        <v>36431</v>
      </c>
      <c r="C2" s="168" t="s">
        <v>2210</v>
      </c>
      <c r="D2" s="169">
        <v>12.2</v>
      </c>
      <c r="E2" s="170">
        <v>104.4</v>
      </c>
      <c r="F2" s="166">
        <v>45.75</v>
      </c>
      <c r="G2" s="171">
        <v>1041.5</v>
      </c>
      <c r="H2" s="172">
        <v>200</v>
      </c>
      <c r="I2" s="172">
        <v>79</v>
      </c>
      <c r="J2" s="166">
        <v>105.9</v>
      </c>
    </row>
    <row r="3" spans="1:10" ht="15" customHeight="1">
      <c r="A3" s="165" t="s">
        <v>271</v>
      </c>
      <c r="B3" s="166">
        <v>54055</v>
      </c>
      <c r="C3" s="168" t="s">
        <v>2214</v>
      </c>
      <c r="D3" s="169">
        <v>14.8</v>
      </c>
      <c r="E3" s="170">
        <v>107.5</v>
      </c>
      <c r="F3" s="166">
        <v>56.91</v>
      </c>
      <c r="G3" s="171">
        <v>885.8</v>
      </c>
      <c r="H3" s="172">
        <v>37</v>
      </c>
      <c r="I3" s="172">
        <v>96</v>
      </c>
      <c r="J3" s="166">
        <v>152.80000000000001</v>
      </c>
    </row>
    <row r="4" spans="1:10" ht="15" customHeight="1">
      <c r="A4" s="165" t="s">
        <v>272</v>
      </c>
      <c r="B4" s="166">
        <v>55952</v>
      </c>
      <c r="C4" s="168" t="s">
        <v>2218</v>
      </c>
      <c r="D4" s="169">
        <v>12.5</v>
      </c>
      <c r="E4" s="170">
        <v>108.8</v>
      </c>
      <c r="F4" s="166">
        <v>62.34</v>
      </c>
      <c r="G4" s="171">
        <v>1127.0999999999999</v>
      </c>
      <c r="H4" s="172">
        <v>30</v>
      </c>
      <c r="I4" s="172">
        <v>87</v>
      </c>
      <c r="J4" s="166">
        <v>79.900000000000006</v>
      </c>
    </row>
    <row r="5" spans="1:10" ht="15" customHeight="1">
      <c r="A5" s="165" t="s">
        <v>273</v>
      </c>
      <c r="B5" s="166">
        <v>36593</v>
      </c>
      <c r="C5" s="168" t="s">
        <v>2222</v>
      </c>
      <c r="D5" s="169">
        <v>18.899999999999999</v>
      </c>
      <c r="E5" s="170">
        <v>119</v>
      </c>
      <c r="F5" s="166">
        <v>61.34</v>
      </c>
      <c r="G5" s="171">
        <v>702.1</v>
      </c>
      <c r="H5" s="172">
        <v>85</v>
      </c>
      <c r="I5" s="172">
        <v>122</v>
      </c>
      <c r="J5" s="166">
        <v>95.2</v>
      </c>
    </row>
    <row r="6" spans="1:10" ht="15" customHeight="1">
      <c r="A6" s="165" t="s">
        <v>274</v>
      </c>
      <c r="B6" s="166">
        <v>47257</v>
      </c>
      <c r="C6" s="168" t="s">
        <v>2226</v>
      </c>
      <c r="D6" s="169">
        <v>26.4</v>
      </c>
      <c r="E6" s="170">
        <v>140</v>
      </c>
      <c r="F6" s="166">
        <v>44.68</v>
      </c>
      <c r="G6" s="171">
        <v>766.2</v>
      </c>
      <c r="H6" s="172">
        <v>732</v>
      </c>
      <c r="I6" s="172">
        <v>94</v>
      </c>
      <c r="J6" s="166">
        <v>73.400000000000006</v>
      </c>
    </row>
    <row r="7" spans="1:10" ht="15" customHeight="1">
      <c r="A7" s="165" t="s">
        <v>275</v>
      </c>
      <c r="B7" s="166">
        <v>40927</v>
      </c>
      <c r="C7" s="168" t="s">
        <v>2230</v>
      </c>
      <c r="D7" s="169">
        <v>24.9</v>
      </c>
      <c r="E7" s="170">
        <v>133.30000000000001</v>
      </c>
      <c r="F7" s="166">
        <v>40.4</v>
      </c>
      <c r="G7" s="171">
        <v>839.3</v>
      </c>
      <c r="H7" s="172">
        <v>331</v>
      </c>
      <c r="I7" s="172">
        <v>119</v>
      </c>
      <c r="J7" s="166">
        <v>54.7</v>
      </c>
    </row>
    <row r="8" spans="1:10" ht="15" customHeight="1">
      <c r="A8" s="165" t="s">
        <v>276</v>
      </c>
      <c r="B8" s="166">
        <v>38649</v>
      </c>
      <c r="C8" s="168" t="s">
        <v>2234</v>
      </c>
      <c r="D8" s="169">
        <v>20.8</v>
      </c>
      <c r="E8" s="170">
        <v>119.6</v>
      </c>
      <c r="F8" s="166">
        <v>37.99</v>
      </c>
      <c r="G8" s="171">
        <v>1015.3</v>
      </c>
      <c r="H8" s="172">
        <v>394</v>
      </c>
      <c r="I8" s="172">
        <v>80</v>
      </c>
      <c r="J8" s="166">
        <v>139.19999999999999</v>
      </c>
    </row>
    <row r="9" spans="1:10" ht="15" customHeight="1">
      <c r="A9" s="165" t="s">
        <v>277</v>
      </c>
      <c r="B9" s="166">
        <v>35575</v>
      </c>
      <c r="C9" s="168" t="s">
        <v>2238</v>
      </c>
      <c r="D9" s="169">
        <v>19.600000000000001</v>
      </c>
      <c r="E9" s="170">
        <v>115.6</v>
      </c>
      <c r="F9" s="166">
        <v>45.84</v>
      </c>
      <c r="G9" s="171">
        <v>650.5</v>
      </c>
      <c r="H9" s="172">
        <v>153</v>
      </c>
      <c r="I9" s="172">
        <v>86</v>
      </c>
      <c r="J9" s="166">
        <v>99.1</v>
      </c>
    </row>
    <row r="10" spans="1:10" ht="15" customHeight="1">
      <c r="A10" s="165" t="s">
        <v>278</v>
      </c>
      <c r="B10" s="166">
        <v>42708</v>
      </c>
      <c r="C10" s="168" t="s">
        <v>2242</v>
      </c>
      <c r="D10" s="169">
        <v>12.6</v>
      </c>
      <c r="E10" s="170">
        <v>131.9</v>
      </c>
      <c r="F10" s="166">
        <v>36.43</v>
      </c>
      <c r="G10" s="171">
        <v>1066.5</v>
      </c>
      <c r="H10" s="172">
        <v>111</v>
      </c>
      <c r="I10" s="172">
        <v>72</v>
      </c>
      <c r="J10" s="166">
        <v>114.7</v>
      </c>
    </row>
    <row r="11" spans="1:10" ht="15" customHeight="1">
      <c r="A11" s="165" t="s">
        <v>279</v>
      </c>
      <c r="B11" s="166">
        <v>45087</v>
      </c>
      <c r="C11" s="168" t="s">
        <v>2246</v>
      </c>
      <c r="D11" s="169">
        <v>22.4</v>
      </c>
      <c r="E11" s="170">
        <v>128.9</v>
      </c>
      <c r="F11" s="166">
        <v>56.1</v>
      </c>
      <c r="G11" s="171">
        <v>590.6</v>
      </c>
      <c r="H11" s="172">
        <v>429</v>
      </c>
      <c r="I11" s="172">
        <v>104</v>
      </c>
      <c r="J11" s="166">
        <v>112.2</v>
      </c>
    </row>
    <row r="12" spans="1:10" ht="15" customHeight="1">
      <c r="A12" s="165" t="s">
        <v>280</v>
      </c>
      <c r="B12" s="166">
        <v>117103</v>
      </c>
      <c r="C12" s="168" t="s">
        <v>2250</v>
      </c>
      <c r="D12" s="169">
        <v>35.200000000000003</v>
      </c>
      <c r="E12" s="170">
        <v>173.2</v>
      </c>
      <c r="F12" s="166">
        <v>75.25</v>
      </c>
      <c r="G12" s="171">
        <v>693.6</v>
      </c>
      <c r="H12" s="172">
        <v>2522</v>
      </c>
      <c r="I12" s="172">
        <v>78</v>
      </c>
      <c r="J12" s="166">
        <v>61.8</v>
      </c>
    </row>
    <row r="13" spans="1:10" ht="15" customHeight="1">
      <c r="A13" s="165" t="s">
        <v>281</v>
      </c>
      <c r="B13" s="166">
        <v>43479</v>
      </c>
      <c r="C13" s="168" t="s">
        <v>2255</v>
      </c>
      <c r="D13" s="169">
        <v>7.5</v>
      </c>
      <c r="E13" s="170">
        <v>85.8</v>
      </c>
      <c r="F13" s="166">
        <v>35.049999999999997</v>
      </c>
      <c r="G13" s="171">
        <v>708.3</v>
      </c>
      <c r="H13" s="172">
        <v>71</v>
      </c>
      <c r="I13" s="172">
        <v>86</v>
      </c>
      <c r="J13" s="166">
        <v>148.69999999999999</v>
      </c>
    </row>
    <row r="14" spans="1:10" ht="15" customHeight="1">
      <c r="A14" s="165" t="s">
        <v>282</v>
      </c>
      <c r="B14" s="166">
        <v>42758</v>
      </c>
      <c r="C14" s="168" t="s">
        <v>2258</v>
      </c>
      <c r="D14" s="169">
        <v>6.2</v>
      </c>
      <c r="E14" s="170">
        <v>104.7</v>
      </c>
      <c r="F14" s="166">
        <v>52.22</v>
      </c>
      <c r="G14" s="171">
        <v>808.5</v>
      </c>
      <c r="H14" s="172">
        <v>35</v>
      </c>
      <c r="I14" s="172">
        <v>81</v>
      </c>
      <c r="J14" s="166">
        <v>98.3</v>
      </c>
    </row>
    <row r="15" spans="1:10" ht="15" customHeight="1">
      <c r="A15" s="165" t="s">
        <v>283</v>
      </c>
      <c r="B15" s="166">
        <v>41108</v>
      </c>
      <c r="C15" s="168" t="s">
        <v>2242</v>
      </c>
      <c r="D15" s="169">
        <v>9.9</v>
      </c>
      <c r="E15" s="170">
        <v>108.3</v>
      </c>
      <c r="F15" s="166">
        <v>47.67</v>
      </c>
      <c r="G15" s="171">
        <v>778.2</v>
      </c>
      <c r="H15" s="172">
        <v>338</v>
      </c>
      <c r="I15" s="172">
        <v>119</v>
      </c>
      <c r="J15" s="166">
        <v>116</v>
      </c>
    </row>
    <row r="16" spans="1:10" ht="15" customHeight="1">
      <c r="A16" s="165" t="s">
        <v>284</v>
      </c>
      <c r="B16" s="166">
        <v>42483</v>
      </c>
      <c r="C16" s="168" t="s">
        <v>2255</v>
      </c>
      <c r="D16" s="169">
        <v>17.899999999999999</v>
      </c>
      <c r="E16" s="170">
        <v>114.6</v>
      </c>
      <c r="F16" s="166">
        <v>49.47</v>
      </c>
      <c r="G16" s="171">
        <v>965.1</v>
      </c>
      <c r="H16" s="172">
        <v>33</v>
      </c>
      <c r="I16" s="172">
        <v>109</v>
      </c>
      <c r="J16" s="166">
        <v>98.6</v>
      </c>
    </row>
    <row r="17" spans="1:10" ht="15" customHeight="1">
      <c r="A17" s="165" t="s">
        <v>285</v>
      </c>
      <c r="B17" s="166">
        <v>38948</v>
      </c>
      <c r="C17" s="168" t="s">
        <v>2266</v>
      </c>
      <c r="D17" s="169">
        <v>31.1</v>
      </c>
      <c r="E17" s="170">
        <v>139</v>
      </c>
      <c r="F17" s="166">
        <v>45.8</v>
      </c>
      <c r="G17" s="171">
        <v>449.4</v>
      </c>
      <c r="H17" s="172">
        <v>666</v>
      </c>
      <c r="I17" s="172">
        <v>153</v>
      </c>
      <c r="J17" s="166">
        <v>70.7</v>
      </c>
    </row>
    <row r="18" spans="1:10" ht="15" customHeight="1">
      <c r="A18" s="165" t="s">
        <v>286</v>
      </c>
      <c r="B18" s="166">
        <v>43543</v>
      </c>
      <c r="C18" s="168" t="s">
        <v>2269</v>
      </c>
      <c r="D18" s="169">
        <v>21</v>
      </c>
      <c r="E18" s="170">
        <v>125.6</v>
      </c>
      <c r="F18" s="166">
        <v>50.15</v>
      </c>
      <c r="G18" s="171">
        <v>781.1</v>
      </c>
      <c r="H18" s="172">
        <v>519</v>
      </c>
      <c r="I18" s="172">
        <v>106</v>
      </c>
      <c r="J18" s="166">
        <v>96.9</v>
      </c>
    </row>
    <row r="19" spans="1:10" ht="15" customHeight="1">
      <c r="A19" s="165" t="s">
        <v>287</v>
      </c>
      <c r="B19" s="167">
        <v>67747</v>
      </c>
      <c r="C19" s="168" t="s">
        <v>2214</v>
      </c>
      <c r="D19" s="169">
        <v>10</v>
      </c>
      <c r="E19" s="170">
        <v>151.9</v>
      </c>
      <c r="F19" s="166">
        <v>40.5</v>
      </c>
      <c r="G19" s="171">
        <v>1042.7</v>
      </c>
      <c r="H19" s="172">
        <v>365</v>
      </c>
      <c r="I19" s="172">
        <v>114</v>
      </c>
      <c r="J19" s="166">
        <v>108.2</v>
      </c>
    </row>
    <row r="20" spans="1:10" ht="15" customHeight="1">
      <c r="A20" s="165" t="s">
        <v>288</v>
      </c>
      <c r="B20" s="166">
        <v>87054</v>
      </c>
      <c r="C20" s="168" t="s">
        <v>2277</v>
      </c>
      <c r="D20" s="169">
        <v>22.4</v>
      </c>
      <c r="E20" s="170">
        <v>86.8</v>
      </c>
      <c r="F20" s="166">
        <v>63.02</v>
      </c>
      <c r="G20" s="171">
        <v>873.4</v>
      </c>
      <c r="H20" s="172">
        <v>4.4000000000000004</v>
      </c>
      <c r="I20" s="172">
        <v>153</v>
      </c>
      <c r="J20" s="166">
        <v>130.19999999999999</v>
      </c>
    </row>
    <row r="21" spans="1:10" ht="15" customHeight="1">
      <c r="A21" s="165" t="s">
        <v>289</v>
      </c>
      <c r="B21" s="166">
        <v>25619</v>
      </c>
      <c r="C21" s="168" t="s">
        <v>2280</v>
      </c>
      <c r="D21" s="169">
        <v>36.700000000000003</v>
      </c>
      <c r="E21" s="170">
        <v>157.1</v>
      </c>
      <c r="F21" s="166">
        <v>44.58</v>
      </c>
      <c r="G21" s="171">
        <v>901.6</v>
      </c>
      <c r="H21" s="172">
        <v>365</v>
      </c>
      <c r="I21" s="172">
        <v>56</v>
      </c>
      <c r="J21" s="166">
        <v>88.2</v>
      </c>
    </row>
    <row r="22" spans="1:10" ht="15" customHeight="1">
      <c r="A22" s="165" t="s">
        <v>290</v>
      </c>
      <c r="B22" s="166">
        <v>39408</v>
      </c>
      <c r="C22" s="168" t="s">
        <v>2210</v>
      </c>
      <c r="D22" s="169">
        <v>17.399999999999999</v>
      </c>
      <c r="E22" s="170">
        <v>112.1</v>
      </c>
      <c r="F22" s="166">
        <v>43.74</v>
      </c>
      <c r="G22" s="171">
        <v>780.5</v>
      </c>
      <c r="H22" s="172">
        <v>183</v>
      </c>
      <c r="I22" s="172">
        <v>89</v>
      </c>
      <c r="J22" s="166">
        <v>97.9</v>
      </c>
    </row>
    <row r="23" spans="1:10" ht="15" customHeight="1">
      <c r="A23" s="165" t="s">
        <v>291</v>
      </c>
      <c r="B23" s="166">
        <v>38277</v>
      </c>
      <c r="C23" s="168" t="s">
        <v>2246</v>
      </c>
      <c r="D23" s="169">
        <v>13.3</v>
      </c>
      <c r="E23" s="170">
        <v>102.4</v>
      </c>
      <c r="F23" s="166">
        <v>54.23</v>
      </c>
      <c r="G23" s="171">
        <v>869.2</v>
      </c>
      <c r="H23" s="172">
        <v>116</v>
      </c>
      <c r="I23" s="172">
        <v>90</v>
      </c>
      <c r="J23" s="166">
        <v>139.4</v>
      </c>
    </row>
    <row r="24" spans="1:10" ht="15" customHeight="1">
      <c r="A24" s="165" t="s">
        <v>292</v>
      </c>
      <c r="B24" s="166">
        <v>43668</v>
      </c>
      <c r="C24" s="168" t="s">
        <v>2242</v>
      </c>
      <c r="D24" s="169">
        <v>18.8</v>
      </c>
      <c r="E24" s="170">
        <v>99.8</v>
      </c>
      <c r="F24" s="166">
        <v>40</v>
      </c>
      <c r="G24" s="171">
        <v>821</v>
      </c>
      <c r="H24" s="172">
        <v>139</v>
      </c>
      <c r="I24" s="172">
        <v>150</v>
      </c>
      <c r="J24" s="166">
        <v>140.4</v>
      </c>
    </row>
    <row r="25" spans="1:10" ht="15" customHeight="1">
      <c r="A25" s="165" t="s">
        <v>293</v>
      </c>
      <c r="B25" s="166">
        <v>54627</v>
      </c>
      <c r="C25" s="168" t="s">
        <v>2234</v>
      </c>
      <c r="D25" s="169">
        <v>23.1</v>
      </c>
      <c r="E25" s="170">
        <v>137.6</v>
      </c>
      <c r="F25" s="166">
        <v>45.6</v>
      </c>
      <c r="G25" s="171">
        <v>683.7</v>
      </c>
      <c r="H25" s="172">
        <v>481</v>
      </c>
      <c r="I25" s="172">
        <v>93</v>
      </c>
      <c r="J25" s="166">
        <v>105.6</v>
      </c>
    </row>
    <row r="26" spans="1:10" ht="15" customHeight="1">
      <c r="A26" s="165" t="s">
        <v>294</v>
      </c>
      <c r="B26" s="166">
        <v>50380</v>
      </c>
      <c r="C26" s="168" t="s">
        <v>2234</v>
      </c>
      <c r="D26" s="169">
        <v>19</v>
      </c>
      <c r="E26" s="170">
        <v>129.30000000000001</v>
      </c>
      <c r="F26" s="166">
        <v>49.92</v>
      </c>
      <c r="G26" s="171">
        <v>844.1</v>
      </c>
      <c r="H26" s="172">
        <v>12</v>
      </c>
      <c r="I26" s="172">
        <v>99</v>
      </c>
      <c r="J26" s="166">
        <v>104</v>
      </c>
    </row>
    <row r="27" spans="1:10" ht="15" customHeight="1">
      <c r="A27" s="165" t="s">
        <v>295</v>
      </c>
      <c r="B27" s="166">
        <v>34812</v>
      </c>
      <c r="C27" s="168" t="s">
        <v>2297</v>
      </c>
      <c r="D27" s="169">
        <v>11.4</v>
      </c>
      <c r="E27" s="170">
        <v>112.4</v>
      </c>
      <c r="F27" s="166">
        <v>31.67</v>
      </c>
      <c r="G27" s="171">
        <v>1144.9000000000001</v>
      </c>
      <c r="H27" s="172">
        <v>137</v>
      </c>
      <c r="I27" s="172">
        <v>81</v>
      </c>
      <c r="J27" s="166">
        <v>107.6</v>
      </c>
    </row>
    <row r="28" spans="1:10" ht="15" customHeight="1">
      <c r="A28" s="165" t="s">
        <v>296</v>
      </c>
      <c r="B28" s="166">
        <v>43719</v>
      </c>
      <c r="C28" s="168" t="s">
        <v>2214</v>
      </c>
      <c r="D28" s="169">
        <v>36.6</v>
      </c>
      <c r="E28" s="170">
        <v>125</v>
      </c>
      <c r="F28" s="166">
        <v>53.52</v>
      </c>
      <c r="G28" s="171">
        <v>595.5</v>
      </c>
      <c r="H28" s="172">
        <v>384</v>
      </c>
      <c r="I28" s="172">
        <v>114</v>
      </c>
      <c r="J28" s="166">
        <v>97.4</v>
      </c>
    </row>
    <row r="29" spans="1:10" ht="15" customHeight="1">
      <c r="A29" s="165" t="s">
        <v>297</v>
      </c>
      <c r="B29" s="166">
        <v>45989</v>
      </c>
      <c r="C29" s="168" t="s">
        <v>2304</v>
      </c>
      <c r="D29" s="169">
        <v>22.1</v>
      </c>
      <c r="E29" s="170">
        <v>181.7</v>
      </c>
      <c r="F29" s="166">
        <v>36.380000000000003</v>
      </c>
      <c r="G29" s="171">
        <v>693.4</v>
      </c>
      <c r="H29" s="172">
        <v>222</v>
      </c>
      <c r="I29" s="172">
        <v>77</v>
      </c>
      <c r="J29" s="166">
        <v>90.8</v>
      </c>
    </row>
    <row r="30" spans="1:10" ht="15" customHeight="1">
      <c r="A30" s="165" t="s">
        <v>298</v>
      </c>
      <c r="B30" s="166">
        <v>45458</v>
      </c>
      <c r="C30" s="168" t="s">
        <v>2238</v>
      </c>
      <c r="D30" s="169">
        <v>27.1</v>
      </c>
      <c r="E30" s="170">
        <v>122.3</v>
      </c>
      <c r="F30" s="166">
        <v>40.22</v>
      </c>
      <c r="G30" s="171">
        <v>646.70000000000005</v>
      </c>
      <c r="H30" s="172">
        <v>567</v>
      </c>
      <c r="I30" s="172">
        <v>113</v>
      </c>
      <c r="J30" s="166">
        <v>106.9</v>
      </c>
    </row>
    <row r="31" spans="1:10" ht="15" customHeight="1">
      <c r="A31" s="165" t="s">
        <v>299</v>
      </c>
      <c r="B31" s="166">
        <v>111157</v>
      </c>
      <c r="C31" s="168" t="s">
        <v>2210</v>
      </c>
      <c r="D31" s="169">
        <v>29.2</v>
      </c>
      <c r="E31" s="170">
        <v>102.8</v>
      </c>
      <c r="F31" s="166">
        <v>62.75</v>
      </c>
      <c r="G31" s="171">
        <v>716.8</v>
      </c>
      <c r="H31" s="172">
        <v>5.6</v>
      </c>
      <c r="I31" s="172">
        <v>111</v>
      </c>
      <c r="J31" s="166">
        <v>132.19999999999999</v>
      </c>
    </row>
    <row r="32" spans="1:10" ht="15" customHeight="1">
      <c r="A32" s="165" t="s">
        <v>300</v>
      </c>
      <c r="B32" s="166">
        <v>64870</v>
      </c>
      <c r="C32" s="168" t="s">
        <v>2230</v>
      </c>
      <c r="D32" s="169">
        <v>32</v>
      </c>
      <c r="E32" s="170">
        <v>156.1</v>
      </c>
      <c r="F32" s="166">
        <v>44.7</v>
      </c>
      <c r="G32" s="171">
        <v>701</v>
      </c>
      <c r="H32" s="172">
        <v>849</v>
      </c>
      <c r="I32" s="172">
        <v>105</v>
      </c>
      <c r="J32" s="166">
        <v>45.9</v>
      </c>
    </row>
    <row r="33" spans="1:10" ht="13.8">
      <c r="A33" s="165" t="s">
        <v>301</v>
      </c>
      <c r="B33" s="166">
        <v>75786</v>
      </c>
      <c r="C33" s="168" t="s">
        <v>2210</v>
      </c>
      <c r="D33" s="169">
        <v>23.6</v>
      </c>
      <c r="E33" s="170">
        <v>97.3</v>
      </c>
      <c r="F33" s="166">
        <v>56.58</v>
      </c>
      <c r="G33" s="171">
        <v>922.7</v>
      </c>
      <c r="H33" s="172">
        <v>24</v>
      </c>
      <c r="I33" s="172">
        <v>119</v>
      </c>
      <c r="J33" s="166">
        <v>96</v>
      </c>
    </row>
    <row r="34" spans="1:10" ht="13.8">
      <c r="A34" s="165" t="s">
        <v>302</v>
      </c>
      <c r="B34" s="166">
        <v>128204</v>
      </c>
      <c r="C34" s="168" t="s">
        <v>2320</v>
      </c>
      <c r="D34" s="169">
        <v>10.1</v>
      </c>
      <c r="E34" s="170">
        <v>153</v>
      </c>
      <c r="F34" s="166">
        <v>52.81</v>
      </c>
      <c r="G34" s="171">
        <v>1297.7</v>
      </c>
      <c r="H34" s="172">
        <v>1.9</v>
      </c>
      <c r="I34" s="172">
        <v>95</v>
      </c>
      <c r="J34" s="166">
        <v>33.5</v>
      </c>
    </row>
    <row r="35" spans="1:10" ht="13.8">
      <c r="A35" s="165" t="s">
        <v>304</v>
      </c>
      <c r="B35" s="166">
        <v>50601</v>
      </c>
      <c r="C35" s="168" t="s">
        <v>2323</v>
      </c>
      <c r="D35" s="169">
        <v>19.899999999999999</v>
      </c>
      <c r="E35" s="170">
        <v>109.1</v>
      </c>
      <c r="F35" s="166">
        <v>50.35</v>
      </c>
      <c r="G35" s="171">
        <v>1012.6</v>
      </c>
      <c r="H35" s="172">
        <v>315</v>
      </c>
      <c r="I35" s="172">
        <v>103</v>
      </c>
      <c r="J35" s="166">
        <v>152</v>
      </c>
    </row>
    <row r="36" spans="1:10" ht="13.8">
      <c r="A36" s="165" t="s">
        <v>305</v>
      </c>
      <c r="B36" s="166">
        <v>38903</v>
      </c>
      <c r="C36" s="168" t="s">
        <v>2327</v>
      </c>
      <c r="D36" s="169">
        <v>9.6</v>
      </c>
      <c r="E36" s="170">
        <v>116.7</v>
      </c>
      <c r="F36" s="166">
        <v>45.88</v>
      </c>
      <c r="G36" s="171">
        <v>795.3</v>
      </c>
      <c r="H36" s="172">
        <v>201</v>
      </c>
      <c r="I36" s="172">
        <v>92</v>
      </c>
      <c r="J36" s="166">
        <v>116.8</v>
      </c>
    </row>
    <row r="37" spans="1:10" ht="13.8">
      <c r="A37" s="165" t="s">
        <v>306</v>
      </c>
      <c r="B37" s="166">
        <v>49936</v>
      </c>
      <c r="C37" s="168" t="s">
        <v>2210</v>
      </c>
      <c r="D37" s="169">
        <v>21</v>
      </c>
      <c r="E37" s="170">
        <v>111.5</v>
      </c>
      <c r="F37" s="166">
        <v>58.89</v>
      </c>
      <c r="G37" s="171">
        <v>810.4</v>
      </c>
      <c r="H37" s="172">
        <v>113</v>
      </c>
      <c r="I37" s="172">
        <v>86</v>
      </c>
      <c r="J37" s="166">
        <v>95.3</v>
      </c>
    </row>
    <row r="38" spans="1:10" ht="13.8">
      <c r="A38" s="165" t="s">
        <v>307</v>
      </c>
      <c r="B38" s="166">
        <v>40804</v>
      </c>
      <c r="C38" s="168" t="s">
        <v>2226</v>
      </c>
      <c r="D38" s="169">
        <v>9.1999999999999993</v>
      </c>
      <c r="E38" s="170">
        <v>121.6</v>
      </c>
      <c r="F38" s="166">
        <v>52.34</v>
      </c>
      <c r="G38" s="171">
        <v>802.9</v>
      </c>
      <c r="H38" s="172">
        <v>100</v>
      </c>
      <c r="I38" s="172">
        <v>123</v>
      </c>
      <c r="J38" s="166">
        <v>150.80000000000001</v>
      </c>
    </row>
    <row r="39" spans="1:10" ht="13.8">
      <c r="A39" s="165" t="s">
        <v>308</v>
      </c>
      <c r="B39" s="166">
        <v>36756</v>
      </c>
      <c r="C39" s="168" t="s">
        <v>2230</v>
      </c>
      <c r="D39" s="169">
        <v>24.9</v>
      </c>
      <c r="E39" s="170">
        <v>131.19999999999999</v>
      </c>
      <c r="F39" s="166">
        <v>47.43</v>
      </c>
      <c r="G39" s="171">
        <v>934.6</v>
      </c>
      <c r="H39" s="172">
        <v>165</v>
      </c>
      <c r="I39" s="172">
        <v>106</v>
      </c>
      <c r="J39" s="166">
        <v>73.3</v>
      </c>
    </row>
    <row r="40" spans="1:10" ht="13.8">
      <c r="A40" s="165" t="s">
        <v>309</v>
      </c>
      <c r="B40" s="166">
        <v>43730</v>
      </c>
      <c r="C40" s="168" t="s">
        <v>2338</v>
      </c>
      <c r="D40" s="169">
        <v>20.3</v>
      </c>
      <c r="E40" s="170">
        <v>116.3</v>
      </c>
      <c r="F40" s="166">
        <v>46.31</v>
      </c>
      <c r="G40" s="171">
        <v>1146.2</v>
      </c>
      <c r="H40" s="172">
        <v>409</v>
      </c>
      <c r="I40" s="172">
        <v>97</v>
      </c>
      <c r="J40" s="166">
        <v>94.9</v>
      </c>
    </row>
    <row r="41" spans="1:10" ht="13.8">
      <c r="A41" s="165" t="s">
        <v>310</v>
      </c>
      <c r="B41" s="166">
        <v>36429</v>
      </c>
      <c r="C41" s="168" t="s">
        <v>2238</v>
      </c>
      <c r="D41" s="169">
        <v>17.7</v>
      </c>
      <c r="E41" s="170">
        <v>121.8</v>
      </c>
      <c r="F41" s="166">
        <v>47.33</v>
      </c>
      <c r="G41" s="171">
        <v>763.5</v>
      </c>
      <c r="H41" s="172">
        <v>279</v>
      </c>
      <c r="I41" s="172">
        <v>114</v>
      </c>
      <c r="J41" s="166">
        <v>125.3</v>
      </c>
    </row>
    <row r="42" spans="1:10" ht="13.8">
      <c r="A42" s="165" t="s">
        <v>311</v>
      </c>
      <c r="B42" s="166">
        <v>45639</v>
      </c>
      <c r="C42" s="168" t="s">
        <v>2304</v>
      </c>
      <c r="D42" s="169">
        <v>15.4</v>
      </c>
      <c r="E42" s="170">
        <v>132</v>
      </c>
      <c r="F42" s="166">
        <v>49.64</v>
      </c>
      <c r="G42" s="171">
        <v>921.5</v>
      </c>
      <c r="H42" s="172">
        <v>147</v>
      </c>
      <c r="I42" s="172">
        <v>86</v>
      </c>
      <c r="J42" s="166">
        <v>82.2</v>
      </c>
    </row>
    <row r="43" spans="1:10" ht="13.8">
      <c r="A43" s="165" t="s">
        <v>312</v>
      </c>
      <c r="B43" s="166">
        <v>54494</v>
      </c>
      <c r="C43" s="168" t="s">
        <v>2230</v>
      </c>
      <c r="D43" s="169">
        <v>7.1</v>
      </c>
      <c r="E43" s="170">
        <v>108.8</v>
      </c>
      <c r="F43" s="166">
        <v>53.54</v>
      </c>
      <c r="G43" s="171">
        <v>888.1</v>
      </c>
      <c r="H43" s="172">
        <v>94</v>
      </c>
      <c r="I43" s="172">
        <v>85</v>
      </c>
      <c r="J43" s="166">
        <v>127.1</v>
      </c>
    </row>
    <row r="44" spans="1:10" ht="13.8">
      <c r="A44" s="165" t="s">
        <v>313</v>
      </c>
      <c r="B44" s="166">
        <v>39898</v>
      </c>
      <c r="C44" s="168" t="s">
        <v>2238</v>
      </c>
      <c r="D44" s="169">
        <v>21</v>
      </c>
      <c r="E44" s="170">
        <v>107.3</v>
      </c>
      <c r="F44" s="166">
        <v>34.5</v>
      </c>
      <c r="G44" s="171">
        <v>755.1</v>
      </c>
      <c r="H44" s="172">
        <v>313</v>
      </c>
      <c r="I44" s="172">
        <v>144</v>
      </c>
      <c r="J44" s="166">
        <v>117.5</v>
      </c>
    </row>
    <row r="45" spans="1:10" ht="13.8">
      <c r="A45" s="165" t="s">
        <v>314</v>
      </c>
      <c r="B45" s="166">
        <v>42684</v>
      </c>
      <c r="C45" s="168" t="s">
        <v>2353</v>
      </c>
      <c r="D45" s="169">
        <v>33.6</v>
      </c>
      <c r="E45" s="170">
        <v>157.1</v>
      </c>
      <c r="F45" s="166">
        <v>36.840000000000003</v>
      </c>
      <c r="G45" s="171">
        <v>620.79999999999995</v>
      </c>
      <c r="H45" s="172">
        <v>579</v>
      </c>
      <c r="I45" s="172">
        <v>79</v>
      </c>
      <c r="J45" s="166">
        <v>87.9</v>
      </c>
    </row>
    <row r="46" spans="1:10" ht="13.8">
      <c r="A46" s="165" t="s">
        <v>315</v>
      </c>
      <c r="B46" s="166">
        <v>34817</v>
      </c>
      <c r="C46" s="168" t="s">
        <v>2356</v>
      </c>
      <c r="D46" s="169">
        <v>13.6</v>
      </c>
      <c r="E46" s="170">
        <v>133.69999999999999</v>
      </c>
      <c r="F46" s="166">
        <v>45.74</v>
      </c>
      <c r="G46" s="171">
        <v>921.1</v>
      </c>
      <c r="H46" s="172">
        <v>50</v>
      </c>
      <c r="I46" s="172">
        <v>74</v>
      </c>
      <c r="J46" s="166">
        <v>159.4</v>
      </c>
    </row>
    <row r="47" spans="1:10" ht="13.8">
      <c r="A47" s="165" t="s">
        <v>316</v>
      </c>
      <c r="B47" s="166">
        <v>40022</v>
      </c>
      <c r="C47" s="168" t="s">
        <v>2327</v>
      </c>
      <c r="D47" s="169">
        <v>18.8</v>
      </c>
      <c r="E47" s="170">
        <v>135.5</v>
      </c>
      <c r="F47" s="166">
        <v>44.37</v>
      </c>
      <c r="G47" s="171">
        <v>1022.5</v>
      </c>
      <c r="H47" s="172">
        <v>325</v>
      </c>
      <c r="I47" s="172">
        <v>98</v>
      </c>
      <c r="J47" s="166">
        <v>88.8</v>
      </c>
    </row>
    <row r="48" spans="1:10" ht="13.8">
      <c r="A48" s="165" t="s">
        <v>317</v>
      </c>
      <c r="B48" s="166">
        <v>38412</v>
      </c>
      <c r="C48" s="168" t="s">
        <v>2362</v>
      </c>
      <c r="D48" s="169">
        <v>12.7</v>
      </c>
      <c r="E48" s="170">
        <v>123.5</v>
      </c>
      <c r="F48" s="166">
        <v>43.82</v>
      </c>
      <c r="G48" s="171">
        <v>722.5</v>
      </c>
      <c r="H48" s="172">
        <v>27</v>
      </c>
      <c r="I48" s="172">
        <v>127</v>
      </c>
      <c r="J48" s="166">
        <v>110.2</v>
      </c>
    </row>
    <row r="49" spans="1:10" ht="13.8">
      <c r="A49" s="165" t="s">
        <v>318</v>
      </c>
      <c r="B49" s="166">
        <v>39686</v>
      </c>
      <c r="C49" s="168" t="s">
        <v>2366</v>
      </c>
      <c r="D49" s="169">
        <v>18.2</v>
      </c>
      <c r="E49" s="170">
        <v>156.19999999999999</v>
      </c>
      <c r="F49" s="166">
        <v>40.119999999999997</v>
      </c>
      <c r="G49" s="171">
        <v>794.6</v>
      </c>
      <c r="H49" s="172">
        <v>477</v>
      </c>
      <c r="I49" s="172">
        <v>97</v>
      </c>
      <c r="J49" s="166">
        <v>52.1</v>
      </c>
    </row>
    <row r="50" spans="1:10" ht="13.8">
      <c r="A50" s="165" t="s">
        <v>320</v>
      </c>
      <c r="B50" s="166">
        <v>28635</v>
      </c>
      <c r="C50" s="168" t="s">
        <v>2372</v>
      </c>
      <c r="D50" s="169">
        <v>33.6</v>
      </c>
      <c r="E50" s="170">
        <v>133.69999999999999</v>
      </c>
      <c r="F50" s="166">
        <v>48.47</v>
      </c>
      <c r="G50" s="171">
        <v>668.2</v>
      </c>
      <c r="H50" s="172">
        <v>51</v>
      </c>
      <c r="I50" s="172">
        <v>91</v>
      </c>
      <c r="J50" s="166">
        <v>200.7</v>
      </c>
    </row>
    <row r="51" spans="1:10" ht="13.8">
      <c r="A51" s="165" t="s">
        <v>321</v>
      </c>
      <c r="B51" s="166">
        <v>53068</v>
      </c>
      <c r="C51" s="168" t="s">
        <v>2375</v>
      </c>
      <c r="D51" s="169">
        <v>9.6999999999999993</v>
      </c>
      <c r="E51" s="170">
        <v>118.5</v>
      </c>
      <c r="F51" s="166">
        <v>59.9</v>
      </c>
      <c r="G51" s="171">
        <v>1505.9</v>
      </c>
      <c r="H51" s="172">
        <v>48</v>
      </c>
      <c r="I51" s="172">
        <v>91</v>
      </c>
      <c r="J51" s="166">
        <v>109.5</v>
      </c>
    </row>
    <row r="52" spans="1:10" ht="13.8">
      <c r="A52" s="165" t="s">
        <v>322</v>
      </c>
      <c r="B52" s="166">
        <v>56152</v>
      </c>
      <c r="C52" s="168" t="s">
        <v>2297</v>
      </c>
      <c r="D52" s="169">
        <v>17.3</v>
      </c>
      <c r="E52" s="170">
        <v>97.4</v>
      </c>
      <c r="F52" s="166">
        <v>53.73</v>
      </c>
      <c r="G52" s="171">
        <v>1149.3</v>
      </c>
      <c r="H52" s="172">
        <v>17</v>
      </c>
      <c r="I52" s="172">
        <v>96</v>
      </c>
      <c r="J52" s="166">
        <v>118.9</v>
      </c>
    </row>
    <row r="53" spans="1:10" ht="13.8">
      <c r="A53" s="165" t="s">
        <v>323</v>
      </c>
      <c r="B53" s="166">
        <v>32875</v>
      </c>
      <c r="C53" s="168" t="s">
        <v>2226</v>
      </c>
      <c r="D53" s="169">
        <v>25.7</v>
      </c>
      <c r="E53" s="170">
        <v>117.2</v>
      </c>
      <c r="F53" s="166">
        <v>46.78</v>
      </c>
      <c r="G53" s="171">
        <v>584.5</v>
      </c>
      <c r="H53" s="172">
        <v>512</v>
      </c>
      <c r="I53" s="172">
        <v>118</v>
      </c>
      <c r="J53" s="166">
        <v>75.2</v>
      </c>
    </row>
    <row r="54" spans="1:10" ht="13.8">
      <c r="A54" s="165" t="s">
        <v>324</v>
      </c>
      <c r="B54" s="166">
        <v>31013</v>
      </c>
      <c r="C54" s="168" t="s">
        <v>2210</v>
      </c>
      <c r="D54" s="169">
        <v>25.7</v>
      </c>
      <c r="E54" s="170">
        <v>124.9</v>
      </c>
      <c r="F54" s="166">
        <v>36.950000000000003</v>
      </c>
      <c r="G54" s="171">
        <v>971.7</v>
      </c>
      <c r="H54" s="172">
        <v>226</v>
      </c>
      <c r="I54" s="172">
        <v>82</v>
      </c>
      <c r="J54" s="166">
        <v>98.8</v>
      </c>
    </row>
    <row r="55" spans="1:10" ht="13.8">
      <c r="A55" s="165" t="s">
        <v>325</v>
      </c>
      <c r="B55" s="166">
        <v>30647</v>
      </c>
      <c r="C55" s="168" t="s">
        <v>2385</v>
      </c>
      <c r="D55" s="169">
        <v>30.8</v>
      </c>
      <c r="E55" s="170">
        <v>133.5</v>
      </c>
      <c r="F55" s="166">
        <v>54.54</v>
      </c>
      <c r="G55" s="171">
        <v>660.9</v>
      </c>
      <c r="H55" s="172">
        <v>305</v>
      </c>
      <c r="I55" s="172">
        <v>86</v>
      </c>
      <c r="J55" s="166">
        <v>74.3</v>
      </c>
    </row>
    <row r="56" spans="1:10" ht="13.8">
      <c r="A56" s="165" t="s">
        <v>326</v>
      </c>
      <c r="B56" s="166">
        <v>69031</v>
      </c>
      <c r="C56" s="168" t="s">
        <v>2362</v>
      </c>
      <c r="D56" s="169">
        <v>24.4</v>
      </c>
      <c r="E56" s="170">
        <v>116</v>
      </c>
      <c r="F56" s="166">
        <v>60.27</v>
      </c>
      <c r="G56" s="171">
        <v>1099.4000000000001</v>
      </c>
      <c r="H56" s="172">
        <v>4.0999999999999996</v>
      </c>
      <c r="I56" s="172">
        <v>72</v>
      </c>
      <c r="J56" s="166">
        <v>80.599999999999994</v>
      </c>
    </row>
    <row r="57" spans="1:10" ht="13.8">
      <c r="A57" s="165" t="s">
        <v>327</v>
      </c>
      <c r="B57" s="166">
        <v>35276</v>
      </c>
      <c r="C57" s="168" t="s">
        <v>2392</v>
      </c>
      <c r="D57" s="169">
        <v>30.2</v>
      </c>
      <c r="E57" s="170">
        <v>105.8</v>
      </c>
      <c r="F57" s="166">
        <v>71.44</v>
      </c>
      <c r="G57" s="171">
        <v>638.1</v>
      </c>
      <c r="H57" s="172">
        <v>717</v>
      </c>
      <c r="I57" s="172">
        <v>223</v>
      </c>
      <c r="J57" s="166">
        <v>129.69999999999999</v>
      </c>
    </row>
    <row r="58" spans="1:10" ht="13.8">
      <c r="A58" s="165" t="s">
        <v>328</v>
      </c>
      <c r="B58" s="166">
        <v>52524</v>
      </c>
      <c r="C58" s="168" t="s">
        <v>2277</v>
      </c>
      <c r="D58" s="169">
        <v>22.4</v>
      </c>
      <c r="E58" s="172">
        <v>162.30000000000001</v>
      </c>
      <c r="F58" s="166">
        <v>45.26</v>
      </c>
      <c r="G58" s="171">
        <v>828.6</v>
      </c>
      <c r="H58" s="172">
        <v>476</v>
      </c>
      <c r="I58" s="172">
        <v>52</v>
      </c>
      <c r="J58" s="166">
        <v>83.5</v>
      </c>
    </row>
    <row r="59" spans="1:10" ht="13.8">
      <c r="A59" s="165" t="s">
        <v>329</v>
      </c>
      <c r="B59" s="166">
        <v>28934</v>
      </c>
      <c r="C59" s="168" t="s">
        <v>2399</v>
      </c>
      <c r="D59" s="169">
        <v>16.399999999999999</v>
      </c>
      <c r="E59" s="170">
        <v>96.4</v>
      </c>
      <c r="F59" s="166">
        <v>51.25</v>
      </c>
      <c r="G59" s="171">
        <v>658.4</v>
      </c>
      <c r="H59" s="172">
        <v>22</v>
      </c>
      <c r="I59" s="172">
        <v>71</v>
      </c>
      <c r="J59" s="166">
        <v>150</v>
      </c>
    </row>
    <row r="60" spans="1:10" ht="13.8">
      <c r="A60" s="165" t="s">
        <v>330</v>
      </c>
      <c r="B60" s="166">
        <v>34999</v>
      </c>
      <c r="C60" s="168" t="s">
        <v>2277</v>
      </c>
      <c r="D60" s="169">
        <v>14.7</v>
      </c>
      <c r="E60" s="170">
        <v>156.19999999999999</v>
      </c>
      <c r="F60" s="166">
        <v>40.06</v>
      </c>
      <c r="G60" s="171">
        <v>884.4</v>
      </c>
      <c r="H60" s="172">
        <v>95</v>
      </c>
      <c r="I60" s="172">
        <v>64</v>
      </c>
      <c r="J60" s="166">
        <v>98.8</v>
      </c>
    </row>
    <row r="61" spans="1:10" ht="13.8">
      <c r="A61" s="165" t="s">
        <v>331</v>
      </c>
      <c r="B61" s="166">
        <v>46840</v>
      </c>
      <c r="C61" s="168" t="s">
        <v>2242</v>
      </c>
      <c r="D61" s="169">
        <v>25.3</v>
      </c>
      <c r="E61" s="170">
        <v>124.7</v>
      </c>
      <c r="F61" s="166">
        <v>38.54</v>
      </c>
      <c r="G61" s="171">
        <v>750.2</v>
      </c>
      <c r="H61" s="172">
        <v>273</v>
      </c>
      <c r="I61" s="172">
        <v>90</v>
      </c>
      <c r="J61" s="166">
        <v>67.8</v>
      </c>
    </row>
    <row r="62" spans="1:10" ht="13.8">
      <c r="A62" s="165" t="s">
        <v>332</v>
      </c>
      <c r="B62" s="166">
        <v>39905</v>
      </c>
      <c r="C62" s="168" t="s">
        <v>2238</v>
      </c>
      <c r="D62" s="169">
        <v>12.5</v>
      </c>
      <c r="E62" s="170">
        <v>132.1</v>
      </c>
      <c r="F62" s="166">
        <v>57.17</v>
      </c>
      <c r="G62" s="171">
        <v>790.1</v>
      </c>
      <c r="H62" s="172">
        <v>285</v>
      </c>
      <c r="I62" s="172">
        <v>99</v>
      </c>
      <c r="J62" s="166">
        <v>137.9</v>
      </c>
    </row>
    <row r="63" spans="1:10" ht="13.8">
      <c r="A63" s="165" t="s">
        <v>333</v>
      </c>
      <c r="B63" s="166">
        <v>42701</v>
      </c>
      <c r="C63" s="168" t="s">
        <v>2234</v>
      </c>
      <c r="D63" s="169">
        <v>19.899999999999999</v>
      </c>
      <c r="E63" s="170">
        <v>140.1</v>
      </c>
      <c r="F63" s="166">
        <v>50.69</v>
      </c>
      <c r="G63" s="171">
        <v>935.4</v>
      </c>
      <c r="H63" s="172">
        <v>352</v>
      </c>
      <c r="I63" s="172">
        <v>81</v>
      </c>
      <c r="J63" s="166">
        <v>96.7</v>
      </c>
    </row>
    <row r="64" spans="1:10" ht="13.8">
      <c r="A64" s="165" t="s">
        <v>334</v>
      </c>
      <c r="B64" s="166">
        <v>72037</v>
      </c>
      <c r="C64" s="168" t="s">
        <v>2414</v>
      </c>
      <c r="D64" s="169">
        <v>21.8</v>
      </c>
      <c r="E64" s="170">
        <v>118.6</v>
      </c>
      <c r="F64" s="166">
        <v>91.4</v>
      </c>
      <c r="G64" s="171">
        <v>1124</v>
      </c>
      <c r="H64" s="172">
        <v>2542</v>
      </c>
      <c r="I64" s="172">
        <v>97</v>
      </c>
      <c r="J64" s="166">
        <v>71.900000000000006</v>
      </c>
    </row>
    <row r="65" spans="1:10" ht="13.8">
      <c r="A65" s="165" t="s">
        <v>335</v>
      </c>
      <c r="B65" s="166">
        <v>33348</v>
      </c>
      <c r="C65" s="168" t="s">
        <v>2418</v>
      </c>
      <c r="D65" s="169">
        <v>28.2</v>
      </c>
      <c r="E65" s="170">
        <v>107.6</v>
      </c>
      <c r="F65" s="166">
        <v>50.74</v>
      </c>
      <c r="G65" s="171">
        <v>734.8</v>
      </c>
      <c r="H65" s="172">
        <v>182</v>
      </c>
      <c r="I65" s="172">
        <v>80</v>
      </c>
      <c r="J65" s="166">
        <v>110.9</v>
      </c>
    </row>
    <row r="66" spans="1:10" ht="13.8">
      <c r="A66" s="165" t="s">
        <v>336</v>
      </c>
      <c r="B66" s="166">
        <v>87902</v>
      </c>
      <c r="C66" s="168" t="s">
        <v>2304</v>
      </c>
      <c r="D66" s="169">
        <v>15.6</v>
      </c>
      <c r="E66" s="170">
        <v>84.7</v>
      </c>
      <c r="F66" s="166">
        <v>72.930000000000007</v>
      </c>
      <c r="G66" s="171">
        <v>692.4</v>
      </c>
      <c r="H66" s="172">
        <v>33</v>
      </c>
      <c r="I66" s="172">
        <v>158</v>
      </c>
      <c r="J66" s="166">
        <v>93.2</v>
      </c>
    </row>
    <row r="67" spans="1:10" ht="13.8">
      <c r="A67" s="165" t="s">
        <v>337</v>
      </c>
      <c r="B67" s="166">
        <v>53413</v>
      </c>
      <c r="C67" s="168" t="s">
        <v>2214</v>
      </c>
      <c r="D67" s="169">
        <v>15.2</v>
      </c>
      <c r="E67" s="170">
        <v>115.5</v>
      </c>
      <c r="F67" s="166">
        <v>45.37</v>
      </c>
      <c r="G67" s="171">
        <v>921.8</v>
      </c>
      <c r="H67" s="172">
        <v>130</v>
      </c>
      <c r="I67" s="172">
        <v>79</v>
      </c>
      <c r="J67" s="166">
        <v>66.400000000000006</v>
      </c>
    </row>
    <row r="68" spans="1:10" ht="13.8">
      <c r="A68" s="165" t="s">
        <v>338</v>
      </c>
      <c r="B68" s="166">
        <v>39968</v>
      </c>
      <c r="C68" s="168" t="s">
        <v>2338</v>
      </c>
      <c r="D68" s="169">
        <v>22.9</v>
      </c>
      <c r="E68" s="172">
        <v>156.5</v>
      </c>
      <c r="F68" s="166">
        <v>47.13</v>
      </c>
      <c r="G68" s="171">
        <v>543.9</v>
      </c>
      <c r="H68" s="172">
        <v>1213</v>
      </c>
      <c r="I68" s="172">
        <v>116</v>
      </c>
      <c r="J68" s="166">
        <v>92.4</v>
      </c>
    </row>
    <row r="69" spans="1:10" ht="13.8">
      <c r="A69" s="165" t="s">
        <v>339</v>
      </c>
      <c r="B69" s="166">
        <v>42734</v>
      </c>
      <c r="C69" s="168" t="s">
        <v>2269</v>
      </c>
      <c r="D69" s="169">
        <v>15.4</v>
      </c>
      <c r="E69" s="170">
        <v>106.7</v>
      </c>
      <c r="F69" s="166">
        <v>54.07</v>
      </c>
      <c r="G69" s="171">
        <v>667.6</v>
      </c>
      <c r="H69" s="172">
        <v>337</v>
      </c>
      <c r="I69" s="172">
        <v>107</v>
      </c>
      <c r="J69" s="166">
        <v>108.1</v>
      </c>
    </row>
    <row r="70" spans="1:10" ht="13.8">
      <c r="A70" s="165" t="s">
        <v>340</v>
      </c>
      <c r="B70" s="166">
        <v>32930</v>
      </c>
      <c r="C70" s="168" t="s">
        <v>2433</v>
      </c>
      <c r="D70" s="169">
        <v>21.1</v>
      </c>
      <c r="E70" s="170">
        <v>123.6</v>
      </c>
      <c r="F70" s="166">
        <v>44.8</v>
      </c>
      <c r="G70" s="171">
        <v>846.3</v>
      </c>
      <c r="H70" s="172">
        <v>281</v>
      </c>
      <c r="I70" s="172">
        <v>70</v>
      </c>
      <c r="J70" s="166">
        <v>86.6</v>
      </c>
    </row>
    <row r="71" spans="1:10" ht="13.8">
      <c r="A71" s="165" t="s">
        <v>341</v>
      </c>
      <c r="B71" s="166">
        <v>39229</v>
      </c>
      <c r="C71" s="168" t="s">
        <v>2242</v>
      </c>
      <c r="D71" s="169">
        <v>27.7</v>
      </c>
      <c r="E71" s="170">
        <v>128.69999999999999</v>
      </c>
      <c r="F71" s="166">
        <v>46.09</v>
      </c>
      <c r="G71" s="171">
        <v>667.1</v>
      </c>
      <c r="H71" s="172">
        <v>299</v>
      </c>
      <c r="I71" s="172">
        <v>85</v>
      </c>
      <c r="J71" s="166">
        <v>113.7</v>
      </c>
    </row>
    <row r="72" spans="1:10" ht="13.8">
      <c r="A72" s="165" t="s">
        <v>342</v>
      </c>
      <c r="B72" s="166">
        <v>41274</v>
      </c>
      <c r="C72" s="168" t="s">
        <v>2246</v>
      </c>
      <c r="D72" s="169">
        <v>17.100000000000001</v>
      </c>
      <c r="E72" s="170">
        <v>108</v>
      </c>
      <c r="F72" s="166">
        <v>49.19</v>
      </c>
      <c r="G72" s="171">
        <v>854.1</v>
      </c>
      <c r="H72" s="172">
        <v>258</v>
      </c>
      <c r="I72" s="172">
        <v>87</v>
      </c>
      <c r="J72" s="166">
        <v>120.2</v>
      </c>
    </row>
    <row r="73" spans="1:10" ht="13.8">
      <c r="A73" s="165" t="s">
        <v>343</v>
      </c>
      <c r="B73" s="166">
        <v>41600</v>
      </c>
      <c r="C73" s="168" t="s">
        <v>2353</v>
      </c>
      <c r="D73" s="169">
        <v>17</v>
      </c>
      <c r="E73" s="170">
        <v>94.5</v>
      </c>
      <c r="F73" s="166">
        <v>63.91</v>
      </c>
      <c r="G73" s="171">
        <v>774.7</v>
      </c>
      <c r="H73" s="172">
        <v>26</v>
      </c>
      <c r="I73" s="172">
        <v>91</v>
      </c>
      <c r="J73" s="166">
        <v>39.1</v>
      </c>
    </row>
    <row r="74" spans="1:10" ht="13.8">
      <c r="A74" s="165" t="s">
        <v>344</v>
      </c>
      <c r="B74" s="166">
        <v>42375</v>
      </c>
      <c r="C74" s="168" t="s">
        <v>2418</v>
      </c>
      <c r="D74" s="169">
        <v>17.399999999999999</v>
      </c>
      <c r="E74" s="170">
        <v>126.3</v>
      </c>
      <c r="F74" s="166">
        <v>41.92</v>
      </c>
      <c r="G74" s="171">
        <v>767</v>
      </c>
      <c r="H74" s="172">
        <v>427</v>
      </c>
      <c r="I74" s="172">
        <v>118</v>
      </c>
      <c r="J74" s="166">
        <v>117.7</v>
      </c>
    </row>
    <row r="75" spans="1:10" ht="13.8">
      <c r="A75" s="165" t="s">
        <v>345</v>
      </c>
      <c r="B75" s="166">
        <v>43350</v>
      </c>
      <c r="C75" s="168" t="s">
        <v>2242</v>
      </c>
      <c r="D75" s="169">
        <v>21.7</v>
      </c>
      <c r="E75" s="170">
        <v>136.6</v>
      </c>
      <c r="F75" s="166">
        <v>59.77</v>
      </c>
      <c r="G75" s="171">
        <v>723.3</v>
      </c>
      <c r="H75" s="172">
        <v>93</v>
      </c>
      <c r="I75" s="172">
        <v>154</v>
      </c>
      <c r="J75" s="166">
        <v>177.2</v>
      </c>
    </row>
    <row r="76" spans="1:10" ht="13.8">
      <c r="A76" s="165" t="s">
        <v>346</v>
      </c>
      <c r="B76" s="166">
        <v>38939</v>
      </c>
      <c r="C76" s="168" t="s">
        <v>2385</v>
      </c>
      <c r="D76" s="169">
        <v>18.899999999999999</v>
      </c>
      <c r="E76" s="170">
        <v>124.2</v>
      </c>
      <c r="F76" s="166">
        <v>53.97</v>
      </c>
      <c r="G76" s="171">
        <v>898.1</v>
      </c>
      <c r="H76" s="172">
        <v>270</v>
      </c>
      <c r="I76" s="172">
        <v>60</v>
      </c>
      <c r="J76" s="166">
        <v>90.5</v>
      </c>
    </row>
    <row r="77" spans="1:10" ht="13.8">
      <c r="A77" s="165" t="s">
        <v>347</v>
      </c>
      <c r="B77" s="166">
        <v>35783</v>
      </c>
      <c r="C77" s="168" t="s">
        <v>2304</v>
      </c>
      <c r="D77" s="169">
        <v>12.4</v>
      </c>
      <c r="E77" s="170">
        <v>121.1</v>
      </c>
      <c r="F77" s="166">
        <v>44.15</v>
      </c>
      <c r="G77" s="171">
        <v>722.7</v>
      </c>
      <c r="H77" s="172">
        <v>263</v>
      </c>
      <c r="I77" s="172">
        <v>111</v>
      </c>
      <c r="J77" s="166">
        <v>87.8</v>
      </c>
    </row>
    <row r="78" spans="1:10" ht="13.8">
      <c r="A78" s="165" t="s">
        <v>348</v>
      </c>
      <c r="B78" s="166">
        <v>58092</v>
      </c>
      <c r="C78" s="168" t="s">
        <v>2277</v>
      </c>
      <c r="D78" s="169">
        <v>17.8</v>
      </c>
      <c r="E78" s="170">
        <v>117.3</v>
      </c>
      <c r="F78" s="166">
        <v>54.99</v>
      </c>
      <c r="G78" s="171">
        <v>726.3</v>
      </c>
      <c r="H78" s="172">
        <v>13</v>
      </c>
      <c r="I78" s="172">
        <v>74</v>
      </c>
      <c r="J78" s="166">
        <v>103.4</v>
      </c>
    </row>
    <row r="79" spans="1:10" ht="13.8">
      <c r="A79" s="165" t="s">
        <v>349</v>
      </c>
      <c r="B79" s="166">
        <v>72634</v>
      </c>
      <c r="C79" s="168" t="s">
        <v>2250</v>
      </c>
      <c r="D79" s="169">
        <v>15.2</v>
      </c>
      <c r="E79" s="170">
        <v>140.30000000000001</v>
      </c>
      <c r="F79" s="166">
        <v>58.22</v>
      </c>
      <c r="G79" s="171">
        <v>878.9</v>
      </c>
      <c r="H79" s="172">
        <v>12</v>
      </c>
      <c r="I79" s="172">
        <v>58</v>
      </c>
      <c r="J79" s="166">
        <v>73.900000000000006</v>
      </c>
    </row>
    <row r="80" spans="1:10" ht="13.8">
      <c r="A80" s="165" t="s">
        <v>350</v>
      </c>
      <c r="B80" s="166">
        <v>39703</v>
      </c>
      <c r="C80" s="168" t="s">
        <v>2214</v>
      </c>
      <c r="D80" s="169">
        <v>20.9</v>
      </c>
      <c r="E80" s="170">
        <v>136.19999999999999</v>
      </c>
      <c r="F80" s="166">
        <v>43.15</v>
      </c>
      <c r="G80" s="171">
        <v>939.3</v>
      </c>
      <c r="H80" s="172">
        <v>249</v>
      </c>
      <c r="I80" s="172">
        <v>89</v>
      </c>
      <c r="J80" s="166">
        <v>108.5</v>
      </c>
    </row>
    <row r="81" spans="1:10" ht="13.8">
      <c r="A81" s="165" t="s">
        <v>351</v>
      </c>
      <c r="B81" s="166">
        <v>35920</v>
      </c>
      <c r="C81" s="168" t="s">
        <v>2467</v>
      </c>
      <c r="D81" s="169">
        <v>20.6</v>
      </c>
      <c r="E81" s="170">
        <v>179</v>
      </c>
      <c r="F81" s="166">
        <v>33.32</v>
      </c>
      <c r="G81" s="171">
        <v>428.3</v>
      </c>
      <c r="H81" s="172">
        <v>652</v>
      </c>
      <c r="I81" s="172">
        <v>81</v>
      </c>
      <c r="J81" s="166">
        <v>10.9</v>
      </c>
    </row>
    <row r="82" spans="1:10" ht="13.8">
      <c r="A82" s="165" t="s">
        <v>352</v>
      </c>
      <c r="B82" s="166">
        <v>34129</v>
      </c>
      <c r="C82" s="168" t="s">
        <v>2214</v>
      </c>
      <c r="D82" s="169">
        <v>21.7</v>
      </c>
      <c r="E82" s="170">
        <v>124.2</v>
      </c>
      <c r="F82" s="166">
        <v>54.64</v>
      </c>
      <c r="G82" s="171">
        <v>861.8</v>
      </c>
      <c r="H82" s="172">
        <v>472</v>
      </c>
      <c r="I82" s="172">
        <v>109</v>
      </c>
      <c r="J82" s="166">
        <v>75.400000000000006</v>
      </c>
    </row>
    <row r="83" spans="1:10" ht="13.8">
      <c r="A83" s="165" t="s">
        <v>353</v>
      </c>
      <c r="B83" s="166">
        <v>156988</v>
      </c>
      <c r="C83" s="168" t="s">
        <v>2473</v>
      </c>
      <c r="D83" s="169">
        <v>3.3</v>
      </c>
      <c r="E83" s="170">
        <v>74.2</v>
      </c>
      <c r="F83" s="166">
        <v>76.41</v>
      </c>
      <c r="G83" s="171">
        <v>1259.0999999999999</v>
      </c>
      <c r="H83" s="172">
        <v>1.3</v>
      </c>
      <c r="I83" s="172">
        <v>94</v>
      </c>
      <c r="J83" s="166">
        <v>27.1</v>
      </c>
    </row>
    <row r="84" spans="1:10" ht="13.8">
      <c r="A84" s="165" t="s">
        <v>354</v>
      </c>
      <c r="B84" s="166">
        <v>139651</v>
      </c>
      <c r="C84" s="168" t="s">
        <v>2477</v>
      </c>
      <c r="D84" s="169">
        <v>27.9</v>
      </c>
      <c r="E84" s="170">
        <v>125.1</v>
      </c>
      <c r="F84" s="166">
        <v>69.849999999999994</v>
      </c>
      <c r="G84" s="171">
        <v>1428.9</v>
      </c>
      <c r="H84" s="172">
        <v>3.7</v>
      </c>
      <c r="I84" s="172">
        <v>76</v>
      </c>
      <c r="J84" s="166">
        <v>51.9</v>
      </c>
    </row>
    <row r="85" spans="1:10" ht="13.8">
      <c r="A85" s="165" t="s">
        <v>355</v>
      </c>
      <c r="B85" s="166">
        <v>46684</v>
      </c>
      <c r="C85" s="168" t="s">
        <v>2433</v>
      </c>
      <c r="D85" s="169">
        <v>14.1</v>
      </c>
      <c r="E85" s="170">
        <v>109.6</v>
      </c>
      <c r="F85" s="166">
        <v>55.47</v>
      </c>
      <c r="G85" s="171">
        <v>922.4</v>
      </c>
      <c r="H85" s="172">
        <v>287</v>
      </c>
      <c r="I85" s="172">
        <v>108</v>
      </c>
      <c r="J85" s="166">
        <v>119.9</v>
      </c>
    </row>
  </sheetData>
  <sortState xmlns:xlrd2="http://schemas.microsoft.com/office/spreadsheetml/2017/richdata2" ref="A2:J85">
    <sortCondition ref="A1:A85"/>
  </sortState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576F-6E30-4724-9692-26452794065F}">
  <sheetPr>
    <outlinePr summaryBelow="0" summaryRight="0"/>
  </sheetPr>
  <dimension ref="A1:J85"/>
  <sheetViews>
    <sheetView workbookViewId="0">
      <pane xSplit="1" topLeftCell="B1" activePane="topRight" state="frozen"/>
      <selection pane="topRight" activeCell="B2" sqref="B2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</cols>
  <sheetData>
    <row r="1" spans="1:10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</row>
    <row r="2" spans="1:10" ht="15" customHeight="1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</row>
    <row r="3" spans="1:10" ht="15" customHeight="1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</row>
    <row r="4" spans="1:10" ht="15" customHeight="1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</row>
    <row r="5" spans="1:10" ht="15" customHeight="1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</row>
    <row r="6" spans="1:10" ht="15" customHeight="1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</row>
    <row r="7" spans="1:10" ht="15" customHeight="1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</row>
    <row r="8" spans="1:10" ht="15" customHeight="1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</row>
    <row r="9" spans="1:10" ht="15" customHeight="1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</row>
    <row r="10" spans="1:10" ht="15" customHeight="1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</row>
    <row r="11" spans="1:10" ht="15" customHeight="1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</row>
    <row r="12" spans="1:10" ht="15" customHeight="1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</row>
    <row r="13" spans="1:10" ht="15" customHeight="1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</row>
    <row r="14" spans="1:10" ht="15" customHeight="1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</row>
    <row r="15" spans="1:10" ht="15" customHeight="1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</row>
    <row r="16" spans="1:10" ht="15" customHeight="1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</row>
    <row r="17" spans="1:10" ht="15" customHeight="1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</row>
    <row r="18" spans="1:10" ht="15" customHeight="1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</row>
    <row r="19" spans="1:10" ht="15" customHeight="1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</row>
    <row r="20" spans="1:10" ht="15" customHeight="1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</row>
    <row r="21" spans="1:10" ht="15" customHeight="1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</row>
    <row r="22" spans="1:10" ht="15" customHeight="1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</row>
    <row r="23" spans="1:10" ht="15" customHeight="1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</row>
    <row r="24" spans="1:10" ht="15" customHeight="1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</row>
    <row r="25" spans="1:10" ht="15" customHeight="1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</row>
    <row r="26" spans="1:10" ht="15" customHeight="1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</row>
    <row r="27" spans="1:10" ht="15" customHeight="1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</row>
    <row r="28" spans="1:10" ht="15" customHeight="1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</row>
    <row r="29" spans="1:10" ht="15" customHeight="1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</row>
    <row r="30" spans="1:10" ht="15" customHeight="1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</row>
    <row r="31" spans="1:10" ht="15" customHeight="1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</row>
    <row r="32" spans="1:10" ht="15" customHeight="1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</row>
    <row r="33" spans="1:10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</row>
    <row r="34" spans="1:10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</row>
    <row r="35" spans="1:10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</row>
    <row r="36" spans="1:10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</row>
    <row r="37" spans="1:10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</row>
    <row r="38" spans="1:10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</row>
    <row r="39" spans="1:10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</row>
    <row r="40" spans="1:10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</row>
    <row r="41" spans="1:10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</row>
    <row r="42" spans="1:10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</row>
    <row r="43" spans="1:10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</row>
    <row r="44" spans="1:10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</row>
    <row r="45" spans="1:10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</row>
    <row r="46" spans="1:10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</row>
    <row r="47" spans="1:10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</row>
    <row r="48" spans="1:10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</row>
    <row r="49" spans="1:10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</row>
    <row r="50" spans="1:10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</row>
    <row r="51" spans="1:10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</row>
    <row r="52" spans="1:10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</row>
    <row r="53" spans="1:10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</row>
    <row r="54" spans="1:10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</row>
    <row r="55" spans="1:10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</row>
    <row r="56" spans="1:10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</row>
    <row r="57" spans="1:10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</row>
    <row r="58" spans="1:10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</row>
    <row r="59" spans="1:10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</row>
    <row r="60" spans="1:10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</row>
    <row r="61" spans="1:10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</row>
    <row r="62" spans="1:10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</row>
    <row r="63" spans="1:10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</row>
    <row r="64" spans="1:10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</row>
    <row r="65" spans="1:10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</row>
    <row r="66" spans="1:10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</row>
    <row r="67" spans="1:10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</row>
    <row r="68" spans="1:10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</row>
    <row r="69" spans="1:10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</row>
    <row r="70" spans="1:10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</row>
    <row r="71" spans="1:10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</row>
    <row r="72" spans="1:10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</row>
    <row r="73" spans="1:10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</row>
    <row r="74" spans="1:10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</row>
    <row r="75" spans="1:10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</row>
    <row r="76" spans="1:10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</row>
    <row r="77" spans="1:10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</row>
    <row r="78" spans="1:10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</row>
    <row r="79" spans="1:10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</row>
    <row r="80" spans="1:10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</row>
    <row r="81" spans="1:10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</row>
    <row r="82" spans="1:10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</row>
    <row r="83" spans="1:10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</row>
    <row r="84" spans="1:10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</row>
    <row r="85" spans="1:10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</row>
  </sheetData>
  <autoFilter ref="A1:J85" xr:uid="{5262576F-6E30-4724-9692-26452794065F}">
    <sortState xmlns:xlrd2="http://schemas.microsoft.com/office/spreadsheetml/2017/richdata2" ref="A2:J85">
      <sortCondition ref="A1:A85"/>
    </sortState>
  </autoFilter>
  <sortState xmlns:xlrd2="http://schemas.microsoft.com/office/spreadsheetml/2017/richdata2" ref="A2:J85">
    <sortCondition ref="A1:A85"/>
  </sortState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21EF-6AB8-41C2-8D4C-F779C8F3F9DB}">
  <sheetPr>
    <outlinePr summaryBelow="0" summaryRight="0"/>
  </sheetPr>
  <dimension ref="A1:L86"/>
  <sheetViews>
    <sheetView topLeftCell="A39" zoomScale="70" zoomScaleNormal="70" workbookViewId="0">
      <pane xSplit="1" topLeftCell="B1" activePane="topRight" state="frozen"/>
      <selection activeCell="F90" sqref="F90"/>
      <selection pane="topRight" activeCell="B2" sqref="B2:J85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  <col min="11" max="11" width="16.77734375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2564</v>
      </c>
      <c r="L1" s="161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8">
        <v>4</v>
      </c>
      <c r="L2" s="188">
        <f>SUMXMY2(Таблица3[[#This Row],[X1]:[X9]],Таблица3[[#Totals],[X1]:[X9]])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8">
        <v>4</v>
      </c>
      <c r="L3" s="188">
        <f>SUMXMY2(Таблица3[[#This Row],[X1]:[X9]],Таблица3[[#Totals],[X1]:[X9]])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8">
        <v>4</v>
      </c>
      <c r="L4" s="188">
        <f>SUMXMY2(Таблица3[[#This Row],[X1]:[X9]],Таблица3[[#Totals],[X1]:[X9]])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8">
        <v>5</v>
      </c>
      <c r="L5" s="188">
        <f>SUMXMY2(Таблица3[[#This Row],[X1]:[X9]],Таблица3[[#Totals],[X1]:[X9]])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8">
        <v>5</v>
      </c>
      <c r="L6" s="188">
        <f>SUMXMY2(Таблица3[[#This Row],[X1]:[X9]],Таблица3[[#Totals],[X1]:[X9]])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8">
        <v>5</v>
      </c>
      <c r="L7" s="188">
        <f>SUMXMY2(Таблица3[[#This Row],[X1]:[X9]],Таблица3[[#Totals],[X1]:[X9]])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8">
        <v>4</v>
      </c>
      <c r="L8" s="188">
        <f>SUMXMY2(Таблица3[[#This Row],[X1]:[X9]],Таблица3[[#Totals],[X1]:[X9]])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8">
        <v>5</v>
      </c>
      <c r="L9" s="188">
        <f>SUMXMY2(Таблица3[[#This Row],[X1]:[X9]],Таблица3[[#Totals],[X1]:[X9]])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8">
        <v>4</v>
      </c>
      <c r="L10" s="188">
        <f>SUMXMY2(Таблица3[[#This Row],[X1]:[X9]],Таблица3[[#Totals],[X1]:[X9]])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8">
        <v>5</v>
      </c>
      <c r="L11" s="188">
        <f>SUMXMY2(Таблица3[[#This Row],[X1]:[X9]],Таблица3[[#Totals],[X1]:[X9]])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8">
        <v>3</v>
      </c>
      <c r="L12" s="188">
        <f>SUMXMY2(Таблица3[[#This Row],[X1]:[X9]],Таблица3[[#Totals],[X1]:[X9]])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8">
        <v>4</v>
      </c>
      <c r="L13" s="188">
        <f>SUMXMY2(Таблица3[[#This Row],[X1]:[X9]],Таблица3[[#Totals],[X1]:[X9]])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8">
        <v>4</v>
      </c>
      <c r="L14" s="188">
        <f>SUMXMY2(Таблица3[[#This Row],[X1]:[X9]],Таблица3[[#Totals],[X1]:[X9]])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8">
        <v>5</v>
      </c>
      <c r="L15" s="188">
        <f>SUMXMY2(Таблица3[[#This Row],[X1]:[X9]],Таблица3[[#Totals],[X1]:[X9]])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8">
        <v>5</v>
      </c>
      <c r="L16" s="188">
        <f>SUMXMY2(Таблица3[[#This Row],[X1]:[X9]],Таблица3[[#Totals],[X1]:[X9]])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8">
        <v>2</v>
      </c>
      <c r="L17" s="188">
        <f>SUMXMY2(Таблица3[[#This Row],[X1]:[X9]],Таблица3[[#Totals],[X1]:[X9]])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8">
        <v>5</v>
      </c>
      <c r="L18" s="188">
        <f>SUMXMY2(Таблица3[[#This Row],[X1]:[X9]],Таблица3[[#Totals],[X1]:[X9]])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8">
        <v>5</v>
      </c>
      <c r="L19" s="188">
        <f>SUMXMY2(Таблица3[[#This Row],[X1]:[X9]],Таблица3[[#Totals],[X1]:[X9]])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8">
        <v>6</v>
      </c>
      <c r="L20" s="188">
        <f>SUMXMY2(Таблица3[[#This Row],[X1]:[X9]],Таблица3[[#Totals],[X1]:[X9]])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8">
        <v>5</v>
      </c>
      <c r="L21" s="188">
        <f>SUMXMY2(Таблица3[[#This Row],[X1]:[X9]],Таблица3[[#Totals],[X1]:[X9]])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8">
        <v>5</v>
      </c>
      <c r="L22" s="188">
        <f>SUMXMY2(Таблица3[[#This Row],[X1]:[X9]],Таблица3[[#Totals],[X1]:[X9]])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8">
        <v>4</v>
      </c>
      <c r="L23" s="188">
        <f>SUMXMY2(Таблица3[[#This Row],[X1]:[X9]],Таблица3[[#Totals],[X1]:[X9]])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8">
        <v>5</v>
      </c>
      <c r="L24" s="188">
        <f>SUMXMY2(Таблица3[[#This Row],[X1]:[X9]],Таблица3[[#Totals],[X1]:[X9]])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8">
        <v>5</v>
      </c>
      <c r="L25" s="188">
        <f>SUMXMY2(Таблица3[[#This Row],[X1]:[X9]],Таблица3[[#Totals],[X1]:[X9]])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8">
        <v>5</v>
      </c>
      <c r="L26" s="188">
        <f>SUMXMY2(Таблица3[[#This Row],[X1]:[X9]],Таблица3[[#Totals],[X1]:[X9]])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8">
        <v>4</v>
      </c>
      <c r="L27" s="188">
        <f>SUMXMY2(Таблица3[[#This Row],[X1]:[X9]],Таблица3[[#Totals],[X1]:[X9]])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8">
        <v>5</v>
      </c>
      <c r="L28" s="188">
        <f>SUMXMY2(Таблица3[[#This Row],[X1]:[X9]],Таблица3[[#Totals],[X1]:[X9]])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8">
        <v>5</v>
      </c>
      <c r="L29" s="188">
        <f>SUMXMY2(Таблица3[[#This Row],[X1]:[X9]],Таблица3[[#Totals],[X1]:[X9]])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8">
        <v>5</v>
      </c>
      <c r="L30" s="188">
        <f>SUMXMY2(Таблица3[[#This Row],[X1]:[X9]],Таблица3[[#Totals],[X1]:[X9]])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8">
        <v>6</v>
      </c>
      <c r="L31" s="188">
        <f>SUMXMY2(Таблица3[[#This Row],[X1]:[X9]],Таблица3[[#Totals],[X1]:[X9]])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8">
        <v>5</v>
      </c>
      <c r="L32" s="188">
        <f>SUMXMY2(Таблица3[[#This Row],[X1]:[X9]],Таблица3[[#Totals],[X1]:[X9]])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8">
        <v>6</v>
      </c>
      <c r="L33" s="188">
        <f>SUMXMY2(Таблица3[[#This Row],[X1]:[X9]],Таблица3[[#Totals],[X1]:[X9]])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8">
        <v>6</v>
      </c>
      <c r="L34" s="188">
        <f>SUMXMY2(Таблица3[[#This Row],[X1]:[X9]],Таблица3[[#Totals],[X1]:[X9]])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8">
        <v>4</v>
      </c>
      <c r="L35" s="188">
        <f>SUMXMY2(Таблица3[[#This Row],[X1]:[X9]],Таблица3[[#Totals],[X1]:[X9]])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8">
        <v>5</v>
      </c>
      <c r="L36" s="188">
        <f>SUMXMY2(Таблица3[[#This Row],[X1]:[X9]],Таблица3[[#Totals],[X1]:[X9]])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8">
        <v>5</v>
      </c>
      <c r="L37" s="188">
        <f>SUMXMY2(Таблица3[[#This Row],[X1]:[X9]],Таблица3[[#Totals],[X1]:[X9]])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8">
        <v>4</v>
      </c>
      <c r="L38" s="188">
        <f>SUMXMY2(Таблица3[[#This Row],[X1]:[X9]],Таблица3[[#Totals],[X1]:[X9]])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8">
        <v>5</v>
      </c>
      <c r="L39" s="188">
        <f>SUMXMY2(Таблица3[[#This Row],[X1]:[X9]],Таблица3[[#Totals],[X1]:[X9]])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8">
        <v>4</v>
      </c>
      <c r="L40" s="188">
        <f>SUMXMY2(Таблица3[[#This Row],[X1]:[X9]],Таблица3[[#Totals],[X1]:[X9]])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8">
        <v>5</v>
      </c>
      <c r="L41" s="188">
        <f>SUMXMY2(Таблица3[[#This Row],[X1]:[X9]],Таблица3[[#Totals],[X1]:[X9]])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8">
        <v>5</v>
      </c>
      <c r="L42" s="188">
        <f>SUMXMY2(Таблица3[[#This Row],[X1]:[X9]],Таблица3[[#Totals],[X1]:[X9]])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8">
        <v>4</v>
      </c>
      <c r="L43" s="188">
        <f>SUMXMY2(Таблица3[[#This Row],[X1]:[X9]],Таблица3[[#Totals],[X1]:[X9]])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8">
        <v>5</v>
      </c>
      <c r="L44" s="188">
        <f>SUMXMY2(Таблица3[[#This Row],[X1]:[X9]],Таблица3[[#Totals],[X1]:[X9]])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8">
        <v>5</v>
      </c>
      <c r="L45" s="188">
        <f>SUMXMY2(Таблица3[[#This Row],[X1]:[X9]],Таблица3[[#Totals],[X1]:[X9]])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8">
        <v>4</v>
      </c>
      <c r="L46" s="188">
        <f>SUMXMY2(Таблица3[[#This Row],[X1]:[X9]],Таблица3[[#Totals],[X1]:[X9]])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8">
        <v>5</v>
      </c>
      <c r="L47" s="188">
        <f>SUMXMY2(Таблица3[[#This Row],[X1]:[X9]],Таблица3[[#Totals],[X1]:[X9]])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8">
        <v>5</v>
      </c>
      <c r="L48" s="188">
        <f>SUMXMY2(Таблица3[[#This Row],[X1]:[X9]],Таблица3[[#Totals],[X1]:[X9]])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8">
        <v>2</v>
      </c>
      <c r="L49" s="188">
        <f>SUMXMY2(Таблица3[[#This Row],[X1]:[X9]],Таблица3[[#Totals],[X1]:[X9]])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8">
        <v>5</v>
      </c>
      <c r="L50" s="188">
        <f>SUMXMY2(Таблица3[[#This Row],[X1]:[X9]],Таблица3[[#Totals],[X1]:[X9]])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8">
        <v>4</v>
      </c>
      <c r="L51" s="188">
        <f>SUMXMY2(Таблица3[[#This Row],[X1]:[X9]],Таблица3[[#Totals],[X1]:[X9]])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8">
        <v>4</v>
      </c>
      <c r="L52" s="188">
        <f>SUMXMY2(Таблица3[[#This Row],[X1]:[X9]],Таблица3[[#Totals],[X1]:[X9]])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8">
        <v>5</v>
      </c>
      <c r="L53" s="188">
        <f>SUMXMY2(Таблица3[[#This Row],[X1]:[X9]],Таблица3[[#Totals],[X1]:[X9]])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8">
        <v>4</v>
      </c>
      <c r="L54" s="188">
        <f>SUMXMY2(Таблица3[[#This Row],[X1]:[X9]],Таблица3[[#Totals],[X1]:[X9]])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8">
        <v>5</v>
      </c>
      <c r="L55" s="188">
        <f>SUMXMY2(Таблица3[[#This Row],[X1]:[X9]],Таблица3[[#Totals],[X1]:[X9]])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8">
        <v>4</v>
      </c>
      <c r="L56" s="188">
        <f>SUMXMY2(Таблица3[[#This Row],[X1]:[X9]],Таблица3[[#Totals],[X1]:[X9]])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8">
        <v>1</v>
      </c>
      <c r="L57" s="188">
        <f>SUMXMY2(Таблица3[[#This Row],[X1]:[X9]],Таблица3[[#Totals],[X1]:[X9]])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8">
        <v>5</v>
      </c>
      <c r="L58" s="188">
        <f>SUMXMY2(Таблица3[[#This Row],[X1]:[X9]],Таблица3[[#Totals],[X1]:[X9]])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8">
        <v>4</v>
      </c>
      <c r="L59" s="188">
        <f>SUMXMY2(Таблица3[[#This Row],[X1]:[X9]],Таблица3[[#Totals],[X1]:[X9]])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8">
        <v>5</v>
      </c>
      <c r="L60" s="188">
        <f>SUMXMY2(Таблица3[[#This Row],[X1]:[X9]],Таблица3[[#Totals],[X1]:[X9]])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8">
        <v>5</v>
      </c>
      <c r="L61" s="188">
        <f>SUMXMY2(Таблица3[[#This Row],[X1]:[X9]],Таблица3[[#Totals],[X1]:[X9]])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8">
        <v>4</v>
      </c>
      <c r="L62" s="188">
        <f>SUMXMY2(Таблица3[[#This Row],[X1]:[X9]],Таблица3[[#Totals],[X1]:[X9]])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8">
        <v>5</v>
      </c>
      <c r="L63" s="188">
        <f>SUMXMY2(Таблица3[[#This Row],[X1]:[X9]],Таблица3[[#Totals],[X1]:[X9]])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8">
        <v>3</v>
      </c>
      <c r="L64" s="188">
        <f>SUMXMY2(Таблица3[[#This Row],[X1]:[X9]],Таблица3[[#Totals],[X1]:[X9]])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8">
        <v>5</v>
      </c>
      <c r="L65" s="188">
        <f>SUMXMY2(Таблица3[[#This Row],[X1]:[X9]],Таблица3[[#Totals],[X1]:[X9]])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8">
        <v>6</v>
      </c>
      <c r="L66" s="188">
        <f>SUMXMY2(Таблица3[[#This Row],[X1]:[X9]],Таблица3[[#Totals],[X1]:[X9]])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8">
        <v>5</v>
      </c>
      <c r="L67" s="188">
        <f>SUMXMY2(Таблица3[[#This Row],[X1]:[X9]],Таблица3[[#Totals],[X1]:[X9]])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8">
        <v>5</v>
      </c>
      <c r="L68" s="188">
        <f>SUMXMY2(Таблица3[[#This Row],[X1]:[X9]],Таблица3[[#Totals],[X1]:[X9]])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8">
        <v>5</v>
      </c>
      <c r="L69" s="188">
        <f>SUMXMY2(Таблица3[[#This Row],[X1]:[X9]],Таблица3[[#Totals],[X1]:[X9]])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8">
        <v>5</v>
      </c>
      <c r="L70" s="188">
        <f>SUMXMY2(Таблица3[[#This Row],[X1]:[X9]],Таблица3[[#Totals],[X1]:[X9]])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8">
        <v>5</v>
      </c>
      <c r="L71" s="188">
        <f>SUMXMY2(Таблица3[[#This Row],[X1]:[X9]],Таблица3[[#Totals],[X1]:[X9]])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8">
        <v>5</v>
      </c>
      <c r="L72" s="188">
        <f>SUMXMY2(Таблица3[[#This Row],[X1]:[X9]],Таблица3[[#Totals],[X1]:[X9]])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8">
        <v>5</v>
      </c>
      <c r="L73" s="188">
        <f>SUMXMY2(Таблица3[[#This Row],[X1]:[X9]],Таблица3[[#Totals],[X1]:[X9]])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8">
        <v>5</v>
      </c>
      <c r="L74" s="188">
        <f>SUMXMY2(Таблица3[[#This Row],[X1]:[X9]],Таблица3[[#Totals],[X1]:[X9]])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8">
        <v>5</v>
      </c>
      <c r="L75" s="188">
        <f>SUMXMY2(Таблица3[[#This Row],[X1]:[X9]],Таблица3[[#Totals],[X1]:[X9]])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8">
        <v>5</v>
      </c>
      <c r="L76" s="188">
        <f>SUMXMY2(Таблица3[[#This Row],[X1]:[X9]],Таблица3[[#Totals],[X1]:[X9]])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8">
        <v>5</v>
      </c>
      <c r="L77" s="188">
        <f>SUMXMY2(Таблица3[[#This Row],[X1]:[X9]],Таблица3[[#Totals],[X1]:[X9]])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8">
        <v>5</v>
      </c>
      <c r="L78" s="188">
        <f>SUMXMY2(Таблица3[[#This Row],[X1]:[X9]],Таблица3[[#Totals],[X1]:[X9]])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8">
        <v>5</v>
      </c>
      <c r="L79" s="188">
        <f>SUMXMY2(Таблица3[[#This Row],[X1]:[X9]],Таблица3[[#Totals],[X1]:[X9]])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8">
        <v>5</v>
      </c>
      <c r="L80" s="188">
        <f>SUMXMY2(Таблица3[[#This Row],[X1]:[X9]],Таблица3[[#Totals],[X1]:[X9]])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8">
        <v>2</v>
      </c>
      <c r="L81" s="188">
        <f>SUMXMY2(Таблица3[[#This Row],[X1]:[X9]],Таблица3[[#Totals],[X1]:[X9]])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8">
        <v>5</v>
      </c>
      <c r="L82" s="188">
        <f>SUMXMY2(Таблица3[[#This Row],[X1]:[X9]],Таблица3[[#Totals],[X1]:[X9]])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8">
        <v>6</v>
      </c>
      <c r="L83" s="188">
        <f>SUMXMY2(Таблица3[[#This Row],[X1]:[X9]],Таблица3[[#Totals],[X1]:[X9]])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8">
        <v>6</v>
      </c>
      <c r="L84" s="188">
        <f>SUMXMY2(Таблица3[[#This Row],[X1]:[X9]],Таблица3[[#Totals],[X1]:[X9]])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8">
        <v>5</v>
      </c>
      <c r="L85" s="188">
        <f>SUMXMY2(Таблица3[[#This Row],[X1]:[X9]],Таблица3[[#Totals],[X1]:[X9]])</f>
        <v>1.9368550920811685</v>
      </c>
    </row>
    <row r="86" spans="1:12" ht="15" customHeight="1">
      <c r="A86" s="165"/>
      <c r="B86" s="181">
        <f>SUBTOTAL(101,Таблица3[X1])</f>
        <v>-4.9827866700438574E-16</v>
      </c>
      <c r="C86" s="181">
        <f>SUBTOTAL(101,Таблица3[X2])</f>
        <v>7.4130516540075553E-16</v>
      </c>
      <c r="D86" s="181">
        <f>SUBTOTAL(101,Таблица3[X3])</f>
        <v>-2.9077269692563624E-16</v>
      </c>
      <c r="E86" s="181">
        <f>SUBTOTAL(101,Таблица3[X4])</f>
        <v>-1.1895246692412391E-15</v>
      </c>
      <c r="F86" s="181">
        <f>SUBTOTAL(101,Таблица3[X5])</f>
        <v>-1.0659462730478438E-15</v>
      </c>
      <c r="G86" s="181">
        <f>SUBTOTAL(101,Таблица3[X6])</f>
        <v>-1.5662074811676317E-16</v>
      </c>
      <c r="H86" s="181">
        <f>SUBTOTAL(101,Таблица3[X7])</f>
        <v>2.9820722610839397E-17</v>
      </c>
      <c r="I86" s="181">
        <f>SUBTOTAL(101,Таблица3[X8])</f>
        <v>-1.0071308866242491E-15</v>
      </c>
      <c r="J86" s="181">
        <f>SUBTOTAL(101,Таблица3[X9])</f>
        <v>2.7887745023322384E-16</v>
      </c>
      <c r="K86" s="181"/>
      <c r="L86" s="182"/>
    </row>
  </sheetData>
  <phoneticPr fontId="6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D399-9BA0-41C1-97A7-EBF68BDB165C}">
  <sheetPr>
    <outlinePr summaryBelow="0" summaryRight="0"/>
  </sheetPr>
  <dimension ref="A1:L86"/>
  <sheetViews>
    <sheetView workbookViewId="0">
      <pane xSplit="1" topLeftCell="B1" activePane="topRight" state="frozen"/>
      <selection pane="topRight" activeCell="K2" sqref="K2"/>
    </sheetView>
  </sheetViews>
  <sheetFormatPr defaultColWidth="12.77734375" defaultRowHeight="15" customHeight="1"/>
  <cols>
    <col min="1" max="1" width="47.77734375" bestFit="1" customWidth="1"/>
    <col min="2" max="2" width="13.1093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  <col min="11" max="11" width="16.77734375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2566</v>
      </c>
      <c r="L1" s="161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9">
        <v>5</v>
      </c>
      <c r="L2" s="189">
        <f>SUMXMY2(Таблица4[[#This Row],[X1]:[X9]],Таблица4[[#Totals],[X1]:[X9]])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9">
        <v>5</v>
      </c>
      <c r="L3" s="189">
        <f>SUMXMY2(Таблица4[[#This Row],[X1]:[X9]],Таблица4[[#Totals],[X1]:[X9]])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9">
        <v>5</v>
      </c>
      <c r="L4" s="189">
        <f>SUMXMY2(Таблица4[[#This Row],[X1]:[X9]],Таблица4[[#Totals],[X1]:[X9]])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9">
        <v>5</v>
      </c>
      <c r="L5" s="189">
        <f>SUMXMY2(Таблица4[[#This Row],[X1]:[X9]],Таблица4[[#Totals],[X1]:[X9]])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9">
        <v>5</v>
      </c>
      <c r="L6" s="189">
        <f>SUMXMY2(Таблица4[[#This Row],[X1]:[X9]],Таблица4[[#Totals],[X1]:[X9]])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9">
        <v>5</v>
      </c>
      <c r="L7" s="189">
        <f>SUMXMY2(Таблица4[[#This Row],[X1]:[X9]],Таблица4[[#Totals],[X1]:[X9]])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9">
        <v>5</v>
      </c>
      <c r="L8" s="189">
        <f>SUMXMY2(Таблица4[[#This Row],[X1]:[X9]],Таблица4[[#Totals],[X1]:[X9]])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9">
        <v>5</v>
      </c>
      <c r="L9" s="189">
        <f>SUMXMY2(Таблица4[[#This Row],[X1]:[X9]],Таблица4[[#Totals],[X1]:[X9]])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9">
        <v>5</v>
      </c>
      <c r="L10" s="189">
        <f>SUMXMY2(Таблица4[[#This Row],[X1]:[X9]],Таблица4[[#Totals],[X1]:[X9]])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9">
        <v>5</v>
      </c>
      <c r="L11" s="189">
        <f>SUMXMY2(Таблица4[[#This Row],[X1]:[X9]],Таблица4[[#Totals],[X1]:[X9]])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9">
        <v>4</v>
      </c>
      <c r="L12" s="189">
        <f>SUMXMY2(Таблица4[[#This Row],[X1]:[X9]],Таблица4[[#Totals],[X1]:[X9]])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9">
        <v>5</v>
      </c>
      <c r="L13" s="189">
        <f>SUMXMY2(Таблица4[[#This Row],[X1]:[X9]],Таблица4[[#Totals],[X1]:[X9]])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9">
        <v>5</v>
      </c>
      <c r="L14" s="189">
        <f>SUMXMY2(Таблица4[[#This Row],[X1]:[X9]],Таблица4[[#Totals],[X1]:[X9]])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9">
        <v>5</v>
      </c>
      <c r="L15" s="189">
        <f>SUMXMY2(Таблица4[[#This Row],[X1]:[X9]],Таблица4[[#Totals],[X1]:[X9]])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9">
        <v>5</v>
      </c>
      <c r="L16" s="189">
        <f>SUMXMY2(Таблица4[[#This Row],[X1]:[X9]],Таблица4[[#Totals],[X1]:[X9]])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9">
        <v>2</v>
      </c>
      <c r="L17" s="189">
        <f>SUMXMY2(Таблица4[[#This Row],[X1]:[X9]],Таблица4[[#Totals],[X1]:[X9]])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9">
        <v>5</v>
      </c>
      <c r="L18" s="189">
        <f>SUMXMY2(Таблица4[[#This Row],[X1]:[X9]],Таблица4[[#Totals],[X1]:[X9]])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9">
        <v>5</v>
      </c>
      <c r="L19" s="189">
        <f>SUMXMY2(Таблица4[[#This Row],[X1]:[X9]],Таблица4[[#Totals],[X1]:[X9]])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9">
        <v>5</v>
      </c>
      <c r="L20" s="189">
        <f>SUMXMY2(Таблица4[[#This Row],[X1]:[X9]],Таблица4[[#Totals],[X1]:[X9]])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9">
        <v>3</v>
      </c>
      <c r="L21" s="189">
        <f>SUMXMY2(Таблица4[[#This Row],[X1]:[X9]],Таблица4[[#Totals],[X1]:[X9]])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9">
        <v>5</v>
      </c>
      <c r="L22" s="189">
        <f>SUMXMY2(Таблица4[[#This Row],[X1]:[X9]],Таблица4[[#Totals],[X1]:[X9]])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9">
        <v>5</v>
      </c>
      <c r="L23" s="189">
        <f>SUMXMY2(Таблица4[[#This Row],[X1]:[X9]],Таблица4[[#Totals],[X1]:[X9]])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9">
        <v>5</v>
      </c>
      <c r="L24" s="189">
        <f>SUMXMY2(Таблица4[[#This Row],[X1]:[X9]],Таблица4[[#Totals],[X1]:[X9]])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9">
        <v>5</v>
      </c>
      <c r="L25" s="189">
        <f>SUMXMY2(Таблица4[[#This Row],[X1]:[X9]],Таблица4[[#Totals],[X1]:[X9]])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9">
        <v>5</v>
      </c>
      <c r="L26" s="189">
        <f>SUMXMY2(Таблица4[[#This Row],[X1]:[X9]],Таблица4[[#Totals],[X1]:[X9]])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9">
        <v>5</v>
      </c>
      <c r="L27" s="189">
        <f>SUMXMY2(Таблица4[[#This Row],[X1]:[X9]],Таблица4[[#Totals],[X1]:[X9]])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9">
        <v>5</v>
      </c>
      <c r="L28" s="189">
        <f>SUMXMY2(Таблица4[[#This Row],[X1]:[X9]],Таблица4[[#Totals],[X1]:[X9]])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9">
        <v>3</v>
      </c>
      <c r="L29" s="189">
        <f>SUMXMY2(Таблица4[[#This Row],[X1]:[X9]],Таблица4[[#Totals],[X1]:[X9]])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9">
        <v>5</v>
      </c>
      <c r="L30" s="189">
        <f>SUMXMY2(Таблица4[[#This Row],[X1]:[X9]],Таблица4[[#Totals],[X1]:[X9]])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9">
        <v>5</v>
      </c>
      <c r="L31" s="189">
        <f>SUMXMY2(Таблица4[[#This Row],[X1]:[X9]],Таблица4[[#Totals],[X1]:[X9]])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9">
        <v>3</v>
      </c>
      <c r="L32" s="189">
        <f>SUMXMY2(Таблица4[[#This Row],[X1]:[X9]],Таблица4[[#Totals],[X1]:[X9]])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9">
        <v>5</v>
      </c>
      <c r="L33" s="189">
        <f>SUMXMY2(Таблица4[[#This Row],[X1]:[X9]],Таблица4[[#Totals],[X1]:[X9]])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9">
        <v>6</v>
      </c>
      <c r="L34" s="189">
        <f>SUMXMY2(Таблица4[[#This Row],[X1]:[X9]],Таблица4[[#Totals],[X1]:[X9]])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9">
        <v>5</v>
      </c>
      <c r="L35" s="189">
        <f>SUMXMY2(Таблица4[[#This Row],[X1]:[X9]],Таблица4[[#Totals],[X1]:[X9]])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9">
        <v>5</v>
      </c>
      <c r="L36" s="189">
        <f>SUMXMY2(Таблица4[[#This Row],[X1]:[X9]],Таблица4[[#Totals],[X1]:[X9]])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9">
        <v>5</v>
      </c>
      <c r="L37" s="189">
        <f>SUMXMY2(Таблица4[[#This Row],[X1]:[X9]],Таблица4[[#Totals],[X1]:[X9]])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9">
        <v>5</v>
      </c>
      <c r="L38" s="189">
        <f>SUMXMY2(Таблица4[[#This Row],[X1]:[X9]],Таблица4[[#Totals],[X1]:[X9]])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9">
        <v>5</v>
      </c>
      <c r="L39" s="189">
        <f>SUMXMY2(Таблица4[[#This Row],[X1]:[X9]],Таблица4[[#Totals],[X1]:[X9]])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9">
        <v>5</v>
      </c>
      <c r="L40" s="189">
        <f>SUMXMY2(Таблица4[[#This Row],[X1]:[X9]],Таблица4[[#Totals],[X1]:[X9]])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9">
        <v>5</v>
      </c>
      <c r="L41" s="189">
        <f>SUMXMY2(Таблица4[[#This Row],[X1]:[X9]],Таблица4[[#Totals],[X1]:[X9]])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9">
        <v>5</v>
      </c>
      <c r="L42" s="189">
        <f>SUMXMY2(Таблица4[[#This Row],[X1]:[X9]],Таблица4[[#Totals],[X1]:[X9]])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9">
        <v>5</v>
      </c>
      <c r="L43" s="189">
        <f>SUMXMY2(Таблица4[[#This Row],[X1]:[X9]],Таблица4[[#Totals],[X1]:[X9]])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9">
        <v>5</v>
      </c>
      <c r="L44" s="189">
        <f>SUMXMY2(Таблица4[[#This Row],[X1]:[X9]],Таблица4[[#Totals],[X1]:[X9]])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9">
        <v>3</v>
      </c>
      <c r="L45" s="189">
        <f>SUMXMY2(Таблица4[[#This Row],[X1]:[X9]],Таблица4[[#Totals],[X1]:[X9]])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9">
        <v>5</v>
      </c>
      <c r="L46" s="189">
        <f>SUMXMY2(Таблица4[[#This Row],[X1]:[X9]],Таблица4[[#Totals],[X1]:[X9]])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9">
        <v>5</v>
      </c>
      <c r="L47" s="189">
        <f>SUMXMY2(Таблица4[[#This Row],[X1]:[X9]],Таблица4[[#Totals],[X1]:[X9]])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9">
        <v>5</v>
      </c>
      <c r="L48" s="189">
        <f>SUMXMY2(Таблица4[[#This Row],[X1]:[X9]],Таблица4[[#Totals],[X1]:[X9]])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9">
        <v>2</v>
      </c>
      <c r="L49" s="189">
        <f>SUMXMY2(Таблица4[[#This Row],[X1]:[X9]],Таблица4[[#Totals],[X1]:[X9]])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9">
        <v>5</v>
      </c>
      <c r="L50" s="189">
        <f>SUMXMY2(Таблица4[[#This Row],[X1]:[X9]],Таблица4[[#Totals],[X1]:[X9]])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9">
        <v>5</v>
      </c>
      <c r="L51" s="189">
        <f>SUMXMY2(Таблица4[[#This Row],[X1]:[X9]],Таблица4[[#Totals],[X1]:[X9]])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9">
        <v>5</v>
      </c>
      <c r="L52" s="189">
        <f>SUMXMY2(Таблица4[[#This Row],[X1]:[X9]],Таблица4[[#Totals],[X1]:[X9]])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9">
        <v>5</v>
      </c>
      <c r="L53" s="189">
        <f>SUMXMY2(Таблица4[[#This Row],[X1]:[X9]],Таблица4[[#Totals],[X1]:[X9]])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9">
        <v>5</v>
      </c>
      <c r="L54" s="189">
        <f>SUMXMY2(Таблица4[[#This Row],[X1]:[X9]],Таблица4[[#Totals],[X1]:[X9]])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9">
        <v>5</v>
      </c>
      <c r="L55" s="189">
        <f>SUMXMY2(Таблица4[[#This Row],[X1]:[X9]],Таблица4[[#Totals],[X1]:[X9]])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9">
        <v>5</v>
      </c>
      <c r="L56" s="189">
        <f>SUMXMY2(Таблица4[[#This Row],[X1]:[X9]],Таблица4[[#Totals],[X1]:[X9]])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9">
        <v>1</v>
      </c>
      <c r="L57" s="189">
        <f>SUMXMY2(Таблица4[[#This Row],[X1]:[X9]],Таблица4[[#Totals],[X1]:[X9]])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9">
        <v>3</v>
      </c>
      <c r="L58" s="189">
        <f>SUMXMY2(Таблица4[[#This Row],[X1]:[X9]],Таблица4[[#Totals],[X1]:[X9]])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9">
        <v>5</v>
      </c>
      <c r="L59" s="189">
        <f>SUMXMY2(Таблица4[[#This Row],[X1]:[X9]],Таблица4[[#Totals],[X1]:[X9]])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9">
        <v>3</v>
      </c>
      <c r="L60" s="189">
        <f>SUMXMY2(Таблица4[[#This Row],[X1]:[X9]],Таблица4[[#Totals],[X1]:[X9]])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9">
        <v>5</v>
      </c>
      <c r="L61" s="189">
        <f>SUMXMY2(Таблица4[[#This Row],[X1]:[X9]],Таблица4[[#Totals],[X1]:[X9]])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9">
        <v>5</v>
      </c>
      <c r="L62" s="189">
        <f>SUMXMY2(Таблица4[[#This Row],[X1]:[X9]],Таблица4[[#Totals],[X1]:[X9]])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9">
        <v>5</v>
      </c>
      <c r="L63" s="189">
        <f>SUMXMY2(Таблица4[[#This Row],[X1]:[X9]],Таблица4[[#Totals],[X1]:[X9]])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9">
        <v>4</v>
      </c>
      <c r="L64" s="189">
        <f>SUMXMY2(Таблица4[[#This Row],[X1]:[X9]],Таблица4[[#Totals],[X1]:[X9]])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9">
        <v>5</v>
      </c>
      <c r="L65" s="189">
        <f>SUMXMY2(Таблица4[[#This Row],[X1]:[X9]],Таблица4[[#Totals],[X1]:[X9]])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9">
        <v>5</v>
      </c>
      <c r="L66" s="189">
        <f>SUMXMY2(Таблица4[[#This Row],[X1]:[X9]],Таблица4[[#Totals],[X1]:[X9]])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9">
        <v>5</v>
      </c>
      <c r="L67" s="189">
        <f>SUMXMY2(Таблица4[[#This Row],[X1]:[X9]],Таблица4[[#Totals],[X1]:[X9]])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9">
        <v>3</v>
      </c>
      <c r="L68" s="189">
        <f>SUMXMY2(Таблица4[[#This Row],[X1]:[X9]],Таблица4[[#Totals],[X1]:[X9]])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9">
        <v>5</v>
      </c>
      <c r="L69" s="189">
        <f>SUMXMY2(Таблица4[[#This Row],[X1]:[X9]],Таблица4[[#Totals],[X1]:[X9]])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9">
        <v>5</v>
      </c>
      <c r="L70" s="189">
        <f>SUMXMY2(Таблица4[[#This Row],[X1]:[X9]],Таблица4[[#Totals],[X1]:[X9]])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9">
        <v>5</v>
      </c>
      <c r="L71" s="189">
        <f>SUMXMY2(Таблица4[[#This Row],[X1]:[X9]],Таблица4[[#Totals],[X1]:[X9]])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9">
        <v>5</v>
      </c>
      <c r="L72" s="189">
        <f>SUMXMY2(Таблица4[[#This Row],[X1]:[X9]],Таблица4[[#Totals],[X1]:[X9]])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9">
        <v>5</v>
      </c>
      <c r="L73" s="189">
        <f>SUMXMY2(Таблица4[[#This Row],[X1]:[X9]],Таблица4[[#Totals],[X1]:[X9]])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9">
        <v>5</v>
      </c>
      <c r="L74" s="189">
        <f>SUMXMY2(Таблица4[[#This Row],[X1]:[X9]],Таблица4[[#Totals],[X1]:[X9]])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9">
        <v>5</v>
      </c>
      <c r="L75" s="189">
        <f>SUMXMY2(Таблица4[[#This Row],[X1]:[X9]],Таблица4[[#Totals],[X1]:[X9]])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9">
        <v>5</v>
      </c>
      <c r="L76" s="189">
        <f>SUMXMY2(Таблица4[[#This Row],[X1]:[X9]],Таблица4[[#Totals],[X1]:[X9]])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9">
        <v>5</v>
      </c>
      <c r="L77" s="189">
        <f>SUMXMY2(Таблица4[[#This Row],[X1]:[X9]],Таблица4[[#Totals],[X1]:[X9]])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9">
        <v>5</v>
      </c>
      <c r="L78" s="189">
        <f>SUMXMY2(Таблица4[[#This Row],[X1]:[X9]],Таблица4[[#Totals],[X1]:[X9]])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9">
        <v>3</v>
      </c>
      <c r="L79" s="189">
        <f>SUMXMY2(Таблица4[[#This Row],[X1]:[X9]],Таблица4[[#Totals],[X1]:[X9]])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9">
        <v>5</v>
      </c>
      <c r="L80" s="189">
        <f>SUMXMY2(Таблица4[[#This Row],[X1]:[X9]],Таблица4[[#Totals],[X1]:[X9]])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9">
        <v>2</v>
      </c>
      <c r="L81" s="189">
        <f>SUMXMY2(Таблица4[[#This Row],[X1]:[X9]],Таблица4[[#Totals],[X1]:[X9]])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9">
        <v>5</v>
      </c>
      <c r="L82" s="189">
        <f>SUMXMY2(Таблица4[[#This Row],[X1]:[X9]],Таблица4[[#Totals],[X1]:[X9]])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9">
        <v>6</v>
      </c>
      <c r="L83" s="189">
        <f>SUMXMY2(Таблица4[[#This Row],[X1]:[X9]],Таблица4[[#Totals],[X1]:[X9]])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9">
        <v>6</v>
      </c>
      <c r="L84" s="189">
        <f>SUMXMY2(Таблица4[[#This Row],[X1]:[X9]],Таблица4[[#Totals],[X1]:[X9]])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9">
        <v>5</v>
      </c>
      <c r="L85" s="189">
        <f>SUMXMY2(Таблица4[[#This Row],[X1]:[X9]],Таблица4[[#Totals],[X1]:[X9]])</f>
        <v>1.9368550920811685</v>
      </c>
    </row>
    <row r="86" spans="1:12" ht="15" customHeight="1">
      <c r="A86" s="165"/>
      <c r="B86" s="181">
        <f>SUBTOTAL(101,Таблица4[X1])</f>
        <v>-4.9827866700438574E-16</v>
      </c>
      <c r="C86" s="181">
        <f>SUBTOTAL(101,Таблица4[X2])</f>
        <v>7.4130516540075553E-16</v>
      </c>
      <c r="D86" s="181">
        <f>SUBTOTAL(101,Таблица4[X3])</f>
        <v>-2.9077269692563624E-16</v>
      </c>
      <c r="E86" s="181">
        <f>SUBTOTAL(101,Таблица4[X4])</f>
        <v>-1.1895246692412391E-15</v>
      </c>
      <c r="F86" s="181">
        <f>SUBTOTAL(101,Таблица4[X5])</f>
        <v>-1.0659462730478438E-15</v>
      </c>
      <c r="G86" s="181">
        <f>SUBTOTAL(101,Таблица4[X6])</f>
        <v>-1.5662074811676317E-16</v>
      </c>
      <c r="H86" s="181">
        <f>SUBTOTAL(101,Таблица4[X7])</f>
        <v>2.9820722610839397E-17</v>
      </c>
      <c r="I86" s="181">
        <f>SUBTOTAL(101,Таблица4[X8])</f>
        <v>-1.0071308866242491E-15</v>
      </c>
      <c r="J86" s="181">
        <f>SUBTOTAL(101,Таблица4[X9])</f>
        <v>2.7887745023322384E-16</v>
      </c>
      <c r="K86" s="181"/>
      <c r="L86" s="182">
        <f>SUBTOTAL(109,L17:L81)</f>
        <v>542.40867020347901</v>
      </c>
    </row>
  </sheetData>
  <phoneticPr fontId="6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E6FE-4227-4BD6-B821-0173FFAB4868}">
  <sheetPr>
    <outlinePr summaryBelow="0" summaryRight="0"/>
  </sheetPr>
  <dimension ref="A1:L86"/>
  <sheetViews>
    <sheetView topLeftCell="A52" workbookViewId="0">
      <pane xSplit="1" topLeftCell="B1" activePane="topRight" state="frozen"/>
      <selection pane="topRight" activeCell="K2" sqref="K2:K85"/>
    </sheetView>
  </sheetViews>
  <sheetFormatPr defaultColWidth="12.77734375" defaultRowHeight="15" customHeight="1"/>
  <cols>
    <col min="1" max="1" width="47.77734375" bestFit="1" customWidth="1"/>
    <col min="2" max="2" width="12.5546875" customWidth="1"/>
    <col min="3" max="3" width="11.77734375" customWidth="1"/>
    <col min="4" max="5" width="12.21875" customWidth="1"/>
    <col min="6" max="6" width="12.77734375" customWidth="1"/>
    <col min="7" max="7" width="11.77734375" customWidth="1"/>
    <col min="8" max="8" width="12.109375" customWidth="1"/>
    <col min="9" max="9" width="11.77734375" customWidth="1"/>
    <col min="10" max="11" width="16.77734375" customWidth="1"/>
    <col min="12" max="12" width="16.109375" bestFit="1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2555</v>
      </c>
      <c r="L1" s="184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90">
        <v>4</v>
      </c>
      <c r="L2" s="183">
        <f>SUMXMY2(Таблица2[[#This Row],[X1]:[X9]],Таблица2[[#Totals],[X1]:[X9]])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90">
        <v>4</v>
      </c>
      <c r="L3" s="183">
        <f>SUMXMY2(Таблица2[[#This Row],[X1]:[X9]],Таблица2[[#Totals],[X1]:[X9]])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90">
        <v>5</v>
      </c>
      <c r="L4" s="183">
        <f>SUMXMY2(Таблица2[[#This Row],[X1]:[X9]],Таблица2[[#Totals],[X1]:[X9]])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90">
        <v>4</v>
      </c>
      <c r="L5" s="183">
        <f>SUMXMY2(Таблица2[[#This Row],[X1]:[X9]],Таблица2[[#Totals],[X1]:[X9]])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90">
        <v>7</v>
      </c>
      <c r="L6" s="183">
        <f>SUMXMY2(Таблица2[[#This Row],[X1]:[X9]],Таблица2[[#Totals],[X1]:[X9]])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90">
        <v>7</v>
      </c>
      <c r="L7" s="183">
        <f>SUMXMY2(Таблица2[[#This Row],[X1]:[X9]],Таблица2[[#Totals],[X1]:[X9]])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90">
        <v>5</v>
      </c>
      <c r="L8" s="183">
        <f>SUMXMY2(Таблица2[[#This Row],[X1]:[X9]],Таблица2[[#Totals],[X1]:[X9]])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90">
        <v>7</v>
      </c>
      <c r="L9" s="183">
        <f>SUMXMY2(Таблица2[[#This Row],[X1]:[X9]],Таблица2[[#Totals],[X1]:[X9]])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90">
        <v>5</v>
      </c>
      <c r="L10" s="183">
        <f>SUMXMY2(Таблица2[[#This Row],[X1]:[X9]],Таблица2[[#Totals],[X1]:[X9]])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90">
        <v>7</v>
      </c>
      <c r="L11" s="183">
        <f>SUMXMY2(Таблица2[[#This Row],[X1]:[X9]],Таблица2[[#Totals],[X1]:[X9]])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90">
        <v>2</v>
      </c>
      <c r="L12" s="183">
        <f>SUMXMY2(Таблица2[[#This Row],[X1]:[X9]],Таблица2[[#Totals],[X1]:[X9]])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90">
        <v>4</v>
      </c>
      <c r="L13" s="183">
        <f>SUMXMY2(Таблица2[[#This Row],[X1]:[X9]],Таблица2[[#Totals],[X1]:[X9]])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90">
        <v>4</v>
      </c>
      <c r="L14" s="183">
        <f>SUMXMY2(Таблица2[[#This Row],[X1]:[X9]],Таблица2[[#Totals],[X1]:[X9]])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90">
        <v>4</v>
      </c>
      <c r="L15" s="183">
        <f>SUMXMY2(Таблица2[[#This Row],[X1]:[X9]],Таблица2[[#Totals],[X1]:[X9]])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90">
        <v>4</v>
      </c>
      <c r="L16" s="183">
        <f>SUMXMY2(Таблица2[[#This Row],[X1]:[X9]],Таблица2[[#Totals],[X1]:[X9]])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90">
        <v>1</v>
      </c>
      <c r="L17" s="183">
        <f>SUMXMY2(Таблица2[[#This Row],[X1]:[X9]],Таблица2[[#Totals],[X1]:[X9]])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90">
        <v>7</v>
      </c>
      <c r="L18" s="183">
        <f>SUMXMY2(Таблица2[[#This Row],[X1]:[X9]],Таблица2[[#Totals],[X1]:[X9]])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90">
        <v>5</v>
      </c>
      <c r="L19" s="183">
        <f>SUMXMY2(Таблица2[[#This Row],[X1]:[X9]],Таблица2[[#Totals],[X1]:[X9]])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90">
        <v>6</v>
      </c>
      <c r="L20" s="183">
        <f>SUMXMY2(Таблица2[[#This Row],[X1]:[X9]],Таблица2[[#Totals],[X1]:[X9]])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90">
        <v>7</v>
      </c>
      <c r="L21" s="183">
        <f>SUMXMY2(Таблица2[[#This Row],[X1]:[X9]],Таблица2[[#Totals],[X1]:[X9]])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90">
        <v>7</v>
      </c>
      <c r="L22" s="183">
        <f>SUMXMY2(Таблица2[[#This Row],[X1]:[X9]],Таблица2[[#Totals],[X1]:[X9]])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90">
        <v>4</v>
      </c>
      <c r="L23" s="183">
        <f>SUMXMY2(Таблица2[[#This Row],[X1]:[X9]],Таблица2[[#Totals],[X1]:[X9]])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90">
        <v>4</v>
      </c>
      <c r="L24" s="183">
        <f>SUMXMY2(Таблица2[[#This Row],[X1]:[X9]],Таблица2[[#Totals],[X1]:[X9]])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90">
        <v>7</v>
      </c>
      <c r="L25" s="183">
        <f>SUMXMY2(Таблица2[[#This Row],[X1]:[X9]],Таблица2[[#Totals],[X1]:[X9]])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90">
        <v>5</v>
      </c>
      <c r="L26" s="183">
        <f>SUMXMY2(Таблица2[[#This Row],[X1]:[X9]],Таблица2[[#Totals],[X1]:[X9]])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90">
        <v>5</v>
      </c>
      <c r="L27" s="183">
        <f>SUMXMY2(Таблица2[[#This Row],[X1]:[X9]],Таблица2[[#Totals],[X1]:[X9]])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90">
        <v>7</v>
      </c>
      <c r="L28" s="183">
        <f>SUMXMY2(Таблица2[[#This Row],[X1]:[X9]],Таблица2[[#Totals],[X1]:[X9]])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90">
        <v>7</v>
      </c>
      <c r="L29" s="183">
        <f>SUMXMY2(Таблица2[[#This Row],[X1]:[X9]],Таблица2[[#Totals],[X1]:[X9]])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90">
        <v>7</v>
      </c>
      <c r="L30" s="183">
        <f>SUMXMY2(Таблица2[[#This Row],[X1]:[X9]],Таблица2[[#Totals],[X1]:[X9]])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90">
        <v>6</v>
      </c>
      <c r="L31" s="183">
        <f>SUMXMY2(Таблица2[[#This Row],[X1]:[X9]],Таблица2[[#Totals],[X1]:[X9]])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90">
        <v>7</v>
      </c>
      <c r="L32" s="183">
        <f>SUMXMY2(Таблица2[[#This Row],[X1]:[X9]],Таблица2[[#Totals],[X1]:[X9]])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90">
        <v>6</v>
      </c>
      <c r="L33" s="183">
        <f>SUMXMY2(Таблица2[[#This Row],[X1]:[X9]],Таблица2[[#Totals],[X1]:[X9]])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90">
        <v>3</v>
      </c>
      <c r="L34" s="183">
        <f>SUMXMY2(Таблица2[[#This Row],[X1]:[X9]],Таблица2[[#Totals],[X1]:[X9]])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90">
        <v>4</v>
      </c>
      <c r="L35" s="183">
        <f>SUMXMY2(Таблица2[[#This Row],[X1]:[X9]],Таблица2[[#Totals],[X1]:[X9]])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90">
        <v>4</v>
      </c>
      <c r="L36" s="183">
        <f>SUMXMY2(Таблица2[[#This Row],[X1]:[X9]],Таблица2[[#Totals],[X1]:[X9]])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90">
        <v>5</v>
      </c>
      <c r="L37" s="183">
        <f>SUMXMY2(Таблица2[[#This Row],[X1]:[X9]],Таблица2[[#Totals],[X1]:[X9]])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90">
        <v>4</v>
      </c>
      <c r="L38" s="183">
        <f>SUMXMY2(Таблица2[[#This Row],[X1]:[X9]],Таблица2[[#Totals],[X1]:[X9]])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90">
        <v>7</v>
      </c>
      <c r="L39" s="183">
        <f>SUMXMY2(Таблица2[[#This Row],[X1]:[X9]],Таблица2[[#Totals],[X1]:[X9]])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90">
        <v>4</v>
      </c>
      <c r="L40" s="183">
        <f>SUMXMY2(Таблица2[[#This Row],[X1]:[X9]],Таблица2[[#Totals],[X1]:[X9]])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90">
        <v>4</v>
      </c>
      <c r="L41" s="183">
        <f>SUMXMY2(Таблица2[[#This Row],[X1]:[X9]],Таблица2[[#Totals],[X1]:[X9]])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90">
        <v>5</v>
      </c>
      <c r="L42" s="183">
        <f>SUMXMY2(Таблица2[[#This Row],[X1]:[X9]],Таблица2[[#Totals],[X1]:[X9]])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90">
        <v>4</v>
      </c>
      <c r="L43" s="183">
        <f>SUMXMY2(Таблица2[[#This Row],[X1]:[X9]],Таблица2[[#Totals],[X1]:[X9]])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90">
        <v>4</v>
      </c>
      <c r="L44" s="183">
        <f>SUMXMY2(Таблица2[[#This Row],[X1]:[X9]],Таблица2[[#Totals],[X1]:[X9]])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90">
        <v>7</v>
      </c>
      <c r="L45" s="183">
        <f>SUMXMY2(Таблица2[[#This Row],[X1]:[X9]],Таблица2[[#Totals],[X1]:[X9]])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90">
        <v>4</v>
      </c>
      <c r="L46" s="183">
        <f>SUMXMY2(Таблица2[[#This Row],[X1]:[X9]],Таблица2[[#Totals],[X1]:[X9]])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90">
        <v>5</v>
      </c>
      <c r="L47" s="183">
        <f>SUMXMY2(Таблица2[[#This Row],[X1]:[X9]],Таблица2[[#Totals],[X1]:[X9]])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90">
        <v>4</v>
      </c>
      <c r="L48" s="183">
        <f>SUMXMY2(Таблица2[[#This Row],[X1]:[X9]],Таблица2[[#Totals],[X1]:[X9]])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90">
        <v>1</v>
      </c>
      <c r="L49" s="183">
        <f>SUMXMY2(Таблица2[[#This Row],[X1]:[X9]],Таблица2[[#Totals],[X1]:[X9]])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90">
        <v>6</v>
      </c>
      <c r="L50" s="183">
        <f>SUMXMY2(Таблица2[[#This Row],[X1]:[X9]],Таблица2[[#Totals],[X1]:[X9]])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90">
        <v>5</v>
      </c>
      <c r="L51" s="183">
        <f>SUMXMY2(Таблица2[[#This Row],[X1]:[X9]],Таблица2[[#Totals],[X1]:[X9]])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90">
        <v>5</v>
      </c>
      <c r="L52" s="183">
        <f>SUMXMY2(Таблица2[[#This Row],[X1]:[X9]],Таблица2[[#Totals],[X1]:[X9]])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90">
        <v>7</v>
      </c>
      <c r="L53" s="183">
        <f>SUMXMY2(Таблица2[[#This Row],[X1]:[X9]],Таблица2[[#Totals],[X1]:[X9]])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90">
        <v>5</v>
      </c>
      <c r="L54" s="183">
        <f>SUMXMY2(Таблица2[[#This Row],[X1]:[X9]],Таблица2[[#Totals],[X1]:[X9]])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90">
        <v>7</v>
      </c>
      <c r="L55" s="183">
        <f>SUMXMY2(Таблица2[[#This Row],[X1]:[X9]],Таблица2[[#Totals],[X1]:[X9]])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90">
        <v>5</v>
      </c>
      <c r="L56" s="183">
        <f>SUMXMY2(Таблица2[[#This Row],[X1]:[X9]],Таблица2[[#Totals],[X1]:[X9]])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90">
        <v>6</v>
      </c>
      <c r="L57" s="183">
        <f>SUMXMY2(Таблица2[[#This Row],[X1]:[X9]],Таблица2[[#Totals],[X1]:[X9]])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90">
        <v>7</v>
      </c>
      <c r="L58" s="183">
        <f>SUMXMY2(Таблица2[[#This Row],[X1]:[X9]],Таблица2[[#Totals],[X1]:[X9]])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90">
        <v>4</v>
      </c>
      <c r="L59" s="183">
        <f>SUMXMY2(Таблица2[[#This Row],[X1]:[X9]],Таблица2[[#Totals],[X1]:[X9]])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90">
        <v>7</v>
      </c>
      <c r="L60" s="183">
        <f>SUMXMY2(Таблица2[[#This Row],[X1]:[X9]],Таблица2[[#Totals],[X1]:[X9]])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90">
        <v>7</v>
      </c>
      <c r="L61" s="183">
        <f>SUMXMY2(Таблица2[[#This Row],[X1]:[X9]],Таблица2[[#Totals],[X1]:[X9]])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90">
        <v>4</v>
      </c>
      <c r="L62" s="183">
        <f>SUMXMY2(Таблица2[[#This Row],[X1]:[X9]],Таблица2[[#Totals],[X1]:[X9]])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90">
        <v>5</v>
      </c>
      <c r="L63" s="183">
        <f>SUMXMY2(Таблица2[[#This Row],[X1]:[X9]],Таблица2[[#Totals],[X1]:[X9]])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90">
        <v>2</v>
      </c>
      <c r="L64" s="183">
        <f>SUMXMY2(Таблица2[[#This Row],[X1]:[X9]],Таблица2[[#Totals],[X1]:[X9]])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90">
        <v>7</v>
      </c>
      <c r="L65" s="183">
        <f>SUMXMY2(Таблица2[[#This Row],[X1]:[X9]],Таблица2[[#Totals],[X1]:[X9]])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90">
        <v>6</v>
      </c>
      <c r="L66" s="183">
        <f>SUMXMY2(Таблица2[[#This Row],[X1]:[X9]],Таблица2[[#Totals],[X1]:[X9]])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90">
        <v>5</v>
      </c>
      <c r="L67" s="183">
        <f>SUMXMY2(Таблица2[[#This Row],[X1]:[X9]],Таблица2[[#Totals],[X1]:[X9]])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90">
        <v>7</v>
      </c>
      <c r="L68" s="183">
        <f>SUMXMY2(Таблица2[[#This Row],[X1]:[X9]],Таблица2[[#Totals],[X1]:[X9]])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90">
        <v>4</v>
      </c>
      <c r="L69" s="183">
        <f>SUMXMY2(Таблица2[[#This Row],[X1]:[X9]],Таблица2[[#Totals],[X1]:[X9]])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90">
        <v>5</v>
      </c>
      <c r="L70" s="183">
        <f>SUMXMY2(Таблица2[[#This Row],[X1]:[X9]],Таблица2[[#Totals],[X1]:[X9]])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90">
        <v>7</v>
      </c>
      <c r="L71" s="183">
        <f>SUMXMY2(Таблица2[[#This Row],[X1]:[X9]],Таблица2[[#Totals],[X1]:[X9]])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90">
        <v>4</v>
      </c>
      <c r="L72" s="183">
        <f>SUMXMY2(Таблица2[[#This Row],[X1]:[X9]],Таблица2[[#Totals],[X1]:[X9]])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90">
        <v>5</v>
      </c>
      <c r="L73" s="183">
        <f>SUMXMY2(Таблица2[[#This Row],[X1]:[X9]],Таблица2[[#Totals],[X1]:[X9]])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90">
        <v>4</v>
      </c>
      <c r="L74" s="183">
        <f>SUMXMY2(Таблица2[[#This Row],[X1]:[X9]],Таблица2[[#Totals],[X1]:[X9]])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90">
        <v>6</v>
      </c>
      <c r="L75" s="183">
        <f>SUMXMY2(Таблица2[[#This Row],[X1]:[X9]],Таблица2[[#Totals],[X1]:[X9]])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90">
        <v>5</v>
      </c>
      <c r="L76" s="183">
        <f>SUMXMY2(Таблица2[[#This Row],[X1]:[X9]],Таблица2[[#Totals],[X1]:[X9]])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90">
        <v>4</v>
      </c>
      <c r="L77" s="183">
        <f>SUMXMY2(Таблица2[[#This Row],[X1]:[X9]],Таблица2[[#Totals],[X1]:[X9]])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90">
        <v>5</v>
      </c>
      <c r="L78" s="183">
        <f>SUMXMY2(Таблица2[[#This Row],[X1]:[X9]],Таблица2[[#Totals],[X1]:[X9]])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90">
        <v>5</v>
      </c>
      <c r="L79" s="183">
        <f>SUMXMY2(Таблица2[[#This Row],[X1]:[X9]],Таблица2[[#Totals],[X1]:[X9]])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90">
        <v>5</v>
      </c>
      <c r="L80" s="183">
        <f>SUMXMY2(Таблица2[[#This Row],[X1]:[X9]],Таблица2[[#Totals],[X1]:[X9]])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90">
        <v>1</v>
      </c>
      <c r="L81" s="183">
        <f>SUMXMY2(Таблица2[[#This Row],[X1]:[X9]],Таблица2[[#Totals],[X1]:[X9]])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90">
        <v>7</v>
      </c>
      <c r="L82" s="183">
        <f>SUMXMY2(Таблица2[[#This Row],[X1]:[X9]],Таблица2[[#Totals],[X1]:[X9]])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90">
        <v>3</v>
      </c>
      <c r="L83" s="183">
        <f>SUMXMY2(Таблица2[[#This Row],[X1]:[X9]],Таблица2[[#Totals],[X1]:[X9]])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90">
        <v>3</v>
      </c>
      <c r="L84" s="183">
        <f>SUMXMY2(Таблица2[[#This Row],[X1]:[X9]],Таблица2[[#Totals],[X1]:[X9]])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90">
        <v>4</v>
      </c>
      <c r="L85" s="183">
        <f>SUMXMY2(Таблица2[[#This Row],[X1]:[X9]],Таблица2[[#Totals],[X1]:[X9]])</f>
        <v>1.9368550920811685</v>
      </c>
    </row>
    <row r="86" spans="1:12" ht="15" customHeight="1">
      <c r="A86" s="165" t="s">
        <v>2558</v>
      </c>
      <c r="B86" s="181">
        <f>SUBTOTAL(101,Таблица2[X1])</f>
        <v>-4.9827866700438574E-16</v>
      </c>
      <c r="C86" s="181">
        <f>SUBTOTAL(101,Таблица2[X2])</f>
        <v>7.4130516540075553E-16</v>
      </c>
      <c r="D86" s="181">
        <f>SUBTOTAL(101,Таблица2[X3])</f>
        <v>-2.9077269692563624E-16</v>
      </c>
      <c r="E86" s="181">
        <f>SUBTOTAL(101,Таблица2[X4])</f>
        <v>-1.1895246692412391E-15</v>
      </c>
      <c r="F86" s="181">
        <f>SUBTOTAL(101,Таблица2[X5])</f>
        <v>-1.0659462730478438E-15</v>
      </c>
      <c r="G86" s="181">
        <f>SUBTOTAL(101,Таблица2[X6])</f>
        <v>-1.5662074811676317E-16</v>
      </c>
      <c r="H86" s="181">
        <f>SUBTOTAL(101,Таблица2[X7])</f>
        <v>2.9820722610839397E-17</v>
      </c>
      <c r="I86" s="181">
        <f>SUBTOTAL(101,Таблица2[X8])</f>
        <v>-1.0071308866242491E-15</v>
      </c>
      <c r="J86" s="181">
        <f>SUBTOTAL(101,Таблица2[X9])</f>
        <v>2.7887745023322384E-16</v>
      </c>
      <c r="K86" s="181"/>
      <c r="L86" s="182">
        <f>SUBTOTAL(109,L17:L81)</f>
        <v>542.40867020347901</v>
      </c>
    </row>
  </sheetData>
  <phoneticPr fontId="62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0191-8FE7-4178-8B6B-6EC8DC5A4735}">
  <dimension ref="A1:Z87"/>
  <sheetViews>
    <sheetView topLeftCell="B1" workbookViewId="0">
      <selection activeCell="A81" sqref="A49:A81"/>
    </sheetView>
  </sheetViews>
  <sheetFormatPr defaultRowHeight="13.2"/>
  <cols>
    <col min="2" max="2" width="43.77734375" bestFit="1" customWidth="1"/>
    <col min="3" max="3" width="15.21875" style="192" customWidth="1"/>
    <col min="4" max="4" width="16.109375" style="192" customWidth="1"/>
    <col min="5" max="5" width="9.109375" style="192" customWidth="1"/>
    <col min="6" max="7" width="12.109375" style="192" customWidth="1"/>
    <col min="8" max="9" width="9.109375" customWidth="1"/>
    <col min="10" max="13" width="13.109375" customWidth="1"/>
    <col min="14" max="16" width="9.109375" customWidth="1"/>
    <col min="17" max="17" width="22.21875" customWidth="1"/>
    <col min="18" max="18" width="15.21875" style="192" customWidth="1"/>
    <col min="19" max="19" width="18.109375" customWidth="1"/>
    <col min="20" max="20" width="12" customWidth="1"/>
    <col min="21" max="21" width="12.77734375" style="192" customWidth="1"/>
    <col min="22" max="22" width="17.5546875" customWidth="1"/>
    <col min="23" max="23" width="14.21875" customWidth="1"/>
    <col min="24" max="24" width="12.109375" customWidth="1"/>
    <col min="25" max="25" width="14.109375" customWidth="1"/>
    <col min="26" max="26" width="12.44140625" customWidth="1"/>
  </cols>
  <sheetData>
    <row r="1" spans="1:26" ht="27.6">
      <c r="A1" t="s">
        <v>2689</v>
      </c>
      <c r="B1" s="204" t="s">
        <v>239</v>
      </c>
      <c r="C1" s="204" t="s">
        <v>2574</v>
      </c>
      <c r="D1" s="204" t="s">
        <v>2575</v>
      </c>
      <c r="E1" s="204" t="s">
        <v>2576</v>
      </c>
      <c r="F1" s="204" t="s">
        <v>2563</v>
      </c>
      <c r="G1" s="204" t="s">
        <v>2578</v>
      </c>
      <c r="H1" s="204" t="s">
        <v>2532</v>
      </c>
      <c r="I1" s="204" t="s">
        <v>2533</v>
      </c>
      <c r="J1" s="204" t="s">
        <v>2534</v>
      </c>
      <c r="K1" s="204" t="s">
        <v>2535</v>
      </c>
      <c r="L1" s="204" t="s">
        <v>2536</v>
      </c>
      <c r="M1" s="204" t="s">
        <v>2537</v>
      </c>
      <c r="N1" s="204" t="s">
        <v>2538</v>
      </c>
      <c r="O1" s="204" t="s">
        <v>2539</v>
      </c>
      <c r="P1" s="204" t="s">
        <v>2540</v>
      </c>
      <c r="Q1" s="204" t="s">
        <v>2577</v>
      </c>
      <c r="R1" s="194" t="s">
        <v>2681</v>
      </c>
      <c r="S1" s="194" t="s">
        <v>2682</v>
      </c>
      <c r="T1" s="194" t="s">
        <v>2683</v>
      </c>
      <c r="U1" s="194" t="s">
        <v>2619</v>
      </c>
      <c r="V1" s="194" t="s">
        <v>2629</v>
      </c>
      <c r="W1" s="194" t="s">
        <v>2639</v>
      </c>
      <c r="X1" s="194" t="s">
        <v>2649</v>
      </c>
      <c r="Y1" s="194" t="s">
        <v>2659</v>
      </c>
      <c r="Z1" s="194" t="s">
        <v>2669</v>
      </c>
    </row>
    <row r="2" spans="1:26" ht="13.8">
      <c r="A2">
        <v>0</v>
      </c>
      <c r="B2" s="205" t="s">
        <v>270</v>
      </c>
      <c r="C2" s="206">
        <v>4</v>
      </c>
      <c r="D2" s="207">
        <v>5</v>
      </c>
      <c r="E2" s="206">
        <v>4</v>
      </c>
      <c r="F2" s="208">
        <v>3</v>
      </c>
      <c r="G2" s="208"/>
      <c r="H2" s="178">
        <v>-0.56742350158129584</v>
      </c>
      <c r="I2" s="178">
        <v>-0.12671335829713987</v>
      </c>
      <c r="J2" s="178">
        <v>-1.0232463341113265</v>
      </c>
      <c r="K2" s="178">
        <v>-0.9170515061953245</v>
      </c>
      <c r="L2" s="178">
        <v>-0.43239675907901698</v>
      </c>
      <c r="M2" s="178">
        <v>1.0067713438522587</v>
      </c>
      <c r="N2" s="178">
        <v>-0.25008035010612689</v>
      </c>
      <c r="O2" s="178">
        <v>-0.73015367632614725</v>
      </c>
      <c r="P2" s="178">
        <v>0.16359301643449839</v>
      </c>
      <c r="Q2" s="209">
        <f>SUMXMY2(Таблица17[[#This Row],[X1]:[X9]],Таблица17[[#Totals],[X1]:[X9]])</f>
        <v>4.0490249742571454</v>
      </c>
      <c r="R2" s="214">
        <v>3</v>
      </c>
      <c r="S2" s="226">
        <v>3</v>
      </c>
      <c r="T2" s="226">
        <v>3</v>
      </c>
      <c r="U2" s="227">
        <v>3</v>
      </c>
      <c r="V2" s="226">
        <v>3</v>
      </c>
      <c r="W2" s="226">
        <v>3</v>
      </c>
      <c r="X2" s="227">
        <v>3</v>
      </c>
      <c r="Y2" s="226">
        <v>3</v>
      </c>
      <c r="Z2" s="226">
        <v>3</v>
      </c>
    </row>
    <row r="3" spans="1:26" ht="13.8">
      <c r="A3">
        <v>1</v>
      </c>
      <c r="B3" s="205" t="s">
        <v>342</v>
      </c>
      <c r="C3" s="206">
        <v>5</v>
      </c>
      <c r="D3" s="207">
        <v>5</v>
      </c>
      <c r="E3" s="206">
        <v>4</v>
      </c>
      <c r="F3" s="208">
        <v>2</v>
      </c>
      <c r="G3" s="208">
        <v>2</v>
      </c>
      <c r="H3" s="178">
        <v>-0.36552509376294046</v>
      </c>
      <c r="I3" s="178">
        <v>-0.22303844514745472</v>
      </c>
      <c r="J3" s="178">
        <v>-0.35195498709152728</v>
      </c>
      <c r="K3" s="178">
        <v>-0.74563577157209204</v>
      </c>
      <c r="L3" s="178">
        <v>-0.10722989504916051</v>
      </c>
      <c r="M3" s="178">
        <v>5.5636346109753633E-2</v>
      </c>
      <c r="N3" s="178">
        <v>-0.1110421821594134</v>
      </c>
      <c r="O3" s="178">
        <v>-0.42783496376227154</v>
      </c>
      <c r="P3" s="178">
        <v>0.5996958378750642</v>
      </c>
      <c r="Q3" s="209">
        <f>SUMXMY2(Таблица17[[#This Row],[X1]:[X9]],Таблица17[[#Totals],[X1]:[X9]])</f>
        <v>1.4328016327722655</v>
      </c>
      <c r="R3" s="214">
        <v>2</v>
      </c>
      <c r="S3" s="226">
        <v>2</v>
      </c>
      <c r="T3" s="226">
        <v>2</v>
      </c>
      <c r="U3" s="227">
        <v>3</v>
      </c>
      <c r="V3" s="226">
        <v>2</v>
      </c>
      <c r="W3" s="226">
        <v>2</v>
      </c>
      <c r="X3" s="227">
        <v>2</v>
      </c>
      <c r="Y3" s="227">
        <v>2</v>
      </c>
      <c r="Z3" s="227">
        <v>2</v>
      </c>
    </row>
    <row r="4" spans="1:26" ht="13.8">
      <c r="A4">
        <v>2</v>
      </c>
      <c r="B4" s="205" t="s">
        <v>272</v>
      </c>
      <c r="C4" s="206">
        <v>4</v>
      </c>
      <c r="D4" s="207">
        <v>5</v>
      </c>
      <c r="E4" s="206">
        <v>5</v>
      </c>
      <c r="F4" s="208">
        <v>4</v>
      </c>
      <c r="G4" s="208">
        <v>4</v>
      </c>
      <c r="H4" s="178">
        <v>0.24638174702950655</v>
      </c>
      <c r="I4" s="178">
        <v>0.88470005363116744</v>
      </c>
      <c r="J4" s="178">
        <v>-0.98214686388562433</v>
      </c>
      <c r="K4" s="178">
        <v>-0.70754338610026268</v>
      </c>
      <c r="L4" s="178">
        <v>1.1357771578556701</v>
      </c>
      <c r="M4" s="178">
        <v>1.4412278849769034</v>
      </c>
      <c r="N4" s="178">
        <v>-0.65760601477752856</v>
      </c>
      <c r="O4" s="178">
        <v>-0.42783496376227154</v>
      </c>
      <c r="P4" s="178">
        <v>-0.62932120436653038</v>
      </c>
      <c r="Q4" s="209">
        <f>SUMXMY2(Таблица17[[#This Row],[X1]:[X9]],Таблица17[[#Totals],[X1]:[X9]])</f>
        <v>6.6872894295149834</v>
      </c>
      <c r="R4" s="214">
        <v>4</v>
      </c>
      <c r="S4" s="226">
        <v>4</v>
      </c>
      <c r="T4" s="226">
        <v>4</v>
      </c>
      <c r="U4" s="227">
        <v>4</v>
      </c>
      <c r="V4" s="226">
        <v>4</v>
      </c>
      <c r="W4" s="226">
        <v>4</v>
      </c>
      <c r="X4" s="227">
        <v>4</v>
      </c>
      <c r="Y4" s="227">
        <v>4</v>
      </c>
      <c r="Z4" s="227">
        <v>4</v>
      </c>
    </row>
    <row r="5" spans="1:26" ht="13.8">
      <c r="A5">
        <v>3</v>
      </c>
      <c r="B5" s="205" t="s">
        <v>355</v>
      </c>
      <c r="C5" s="206">
        <v>5</v>
      </c>
      <c r="D5" s="207">
        <v>5</v>
      </c>
      <c r="E5" s="206">
        <v>4</v>
      </c>
      <c r="F5" s="208">
        <v>2</v>
      </c>
      <c r="G5" s="208">
        <v>2</v>
      </c>
      <c r="H5" s="178">
        <v>-0.13998918909696834</v>
      </c>
      <c r="I5" s="178">
        <v>6.5936815403490043E-2</v>
      </c>
      <c r="J5" s="178">
        <v>-0.76294968934854723</v>
      </c>
      <c r="K5" s="178">
        <v>-0.66945100062843343</v>
      </c>
      <c r="L5" s="178">
        <v>0.48638868230767102</v>
      </c>
      <c r="M5" s="178">
        <v>0.4022880021706558</v>
      </c>
      <c r="N5" s="178">
        <v>-4.1523098186056644E-2</v>
      </c>
      <c r="O5" s="178">
        <v>0.36575165671790222</v>
      </c>
      <c r="P5" s="178">
        <v>0.5905468276350524</v>
      </c>
      <c r="Q5" s="209">
        <f>SUMXMY2(Таблица17[[#This Row],[X1]:[X9]],Таблица17[[#Totals],[X1]:[X9]])</f>
        <v>1.9368550920811687</v>
      </c>
      <c r="R5" s="214">
        <v>2</v>
      </c>
      <c r="S5" s="226">
        <v>2</v>
      </c>
      <c r="T5" s="226">
        <v>2</v>
      </c>
      <c r="U5" s="227">
        <v>2</v>
      </c>
      <c r="V5" s="226">
        <v>2</v>
      </c>
      <c r="W5" s="226">
        <v>2</v>
      </c>
      <c r="X5" s="227">
        <v>2</v>
      </c>
      <c r="Y5" s="227">
        <v>2</v>
      </c>
      <c r="Z5" s="227">
        <v>2</v>
      </c>
    </row>
    <row r="6" spans="1:26" ht="13.8">
      <c r="A6">
        <v>4</v>
      </c>
      <c r="B6" s="205" t="s">
        <v>274</v>
      </c>
      <c r="C6" s="206">
        <v>5</v>
      </c>
      <c r="D6" s="207">
        <v>5</v>
      </c>
      <c r="E6" s="206">
        <v>7</v>
      </c>
      <c r="F6" s="208">
        <v>1</v>
      </c>
      <c r="G6" s="208">
        <v>1</v>
      </c>
      <c r="H6" s="178">
        <v>-0.11610156000757796</v>
      </c>
      <c r="I6" s="178">
        <v>-3.0388271446824808E-2</v>
      </c>
      <c r="J6" s="178">
        <v>0.92212858990523339</v>
      </c>
      <c r="K6" s="178">
        <v>0.77805964730108756</v>
      </c>
      <c r="L6" s="178">
        <v>-0.53353877783248993</v>
      </c>
      <c r="M6" s="178">
        <v>-0.39049367684417485</v>
      </c>
      <c r="N6" s="178">
        <v>1.0252352593361418</v>
      </c>
      <c r="O6" s="178">
        <v>-0.16330609026888029</v>
      </c>
      <c r="P6" s="178">
        <v>-0.82754975956678767</v>
      </c>
      <c r="Q6" s="209">
        <f>SUMXMY2(Таблица17[[#This Row],[X1]:[X9]],Таблица17[[#Totals],[X1]:[X9]])</f>
        <v>3.669864730126899</v>
      </c>
      <c r="R6" s="214">
        <v>1</v>
      </c>
      <c r="S6" s="226">
        <v>1</v>
      </c>
      <c r="T6" s="226">
        <v>1</v>
      </c>
      <c r="U6" s="227">
        <v>1</v>
      </c>
      <c r="V6" s="226">
        <v>1</v>
      </c>
      <c r="W6" s="226">
        <v>1</v>
      </c>
      <c r="X6" s="227">
        <v>1</v>
      </c>
      <c r="Y6" s="227">
        <v>1</v>
      </c>
      <c r="Z6" s="227">
        <v>1</v>
      </c>
    </row>
    <row r="7" spans="1:26" ht="13.8">
      <c r="A7">
        <v>5</v>
      </c>
      <c r="B7" s="205" t="s">
        <v>293</v>
      </c>
      <c r="C7" s="206">
        <v>5</v>
      </c>
      <c r="D7" s="207">
        <v>5</v>
      </c>
      <c r="E7" s="206">
        <v>7</v>
      </c>
      <c r="F7" s="208">
        <v>1</v>
      </c>
      <c r="G7" s="208">
        <v>1</v>
      </c>
      <c r="H7" s="178">
        <v>0.19114421030447643</v>
      </c>
      <c r="I7" s="178">
        <v>-0.80098896624934468</v>
      </c>
      <c r="J7" s="178">
        <v>0.47003441742251212</v>
      </c>
      <c r="K7" s="178">
        <v>0.66378249088559882</v>
      </c>
      <c r="L7" s="178">
        <v>-0.44657554675473737</v>
      </c>
      <c r="M7" s="178">
        <v>-0.80921639463369821</v>
      </c>
      <c r="N7" s="178">
        <v>0.42353560149777819</v>
      </c>
      <c r="O7" s="178">
        <v>-0.20109592933936477</v>
      </c>
      <c r="P7" s="178">
        <v>0.15444400619448617</v>
      </c>
      <c r="Q7" s="209">
        <f>SUMXMY2(Таблица17[[#This Row],[X1]:[X9]],Таблица17[[#Totals],[X1]:[X9]])</f>
        <v>2.4375948038397315</v>
      </c>
      <c r="R7" s="214">
        <v>1</v>
      </c>
      <c r="S7" s="226">
        <v>1</v>
      </c>
      <c r="T7" s="226">
        <v>1</v>
      </c>
      <c r="U7" s="227">
        <v>1</v>
      </c>
      <c r="V7" s="226">
        <v>1</v>
      </c>
      <c r="W7" s="226">
        <v>1</v>
      </c>
      <c r="X7" s="227">
        <v>1</v>
      </c>
      <c r="Y7" s="227">
        <v>1</v>
      </c>
      <c r="Z7" s="227">
        <v>1</v>
      </c>
    </row>
    <row r="8" spans="1:26" ht="13.8">
      <c r="A8">
        <v>6</v>
      </c>
      <c r="B8" s="205" t="s">
        <v>276</v>
      </c>
      <c r="C8" s="206">
        <v>4</v>
      </c>
      <c r="D8" s="207">
        <v>5</v>
      </c>
      <c r="E8" s="206">
        <v>5</v>
      </c>
      <c r="F8" s="208">
        <v>3</v>
      </c>
      <c r="G8" s="208"/>
      <c r="H8" s="178">
        <v>-0.47495794953894349</v>
      </c>
      <c r="I8" s="178">
        <v>-0.80098896624934468</v>
      </c>
      <c r="J8" s="178">
        <v>0.15493847902546359</v>
      </c>
      <c r="K8" s="178">
        <v>-0.19329618223056472</v>
      </c>
      <c r="L8" s="178">
        <v>-1.1659127081696239</v>
      </c>
      <c r="M8" s="178">
        <v>0.87379515953607056</v>
      </c>
      <c r="N8" s="178">
        <v>0.21497834957770792</v>
      </c>
      <c r="O8" s="178">
        <v>-0.69236383725566286</v>
      </c>
      <c r="P8" s="178">
        <v>1.1791331530758156</v>
      </c>
      <c r="Q8" s="209">
        <f>SUMXMY2(Таблица17[[#This Row],[X1]:[X9]],Таблица17[[#Totals],[X1]:[X9]])</f>
        <v>4.9673465147402123</v>
      </c>
      <c r="R8" s="214">
        <v>3</v>
      </c>
      <c r="S8" s="226">
        <v>3</v>
      </c>
      <c r="T8" s="226">
        <v>3</v>
      </c>
      <c r="U8" s="227">
        <v>3</v>
      </c>
      <c r="V8" s="226">
        <v>3</v>
      </c>
      <c r="W8" s="226">
        <v>3</v>
      </c>
      <c r="X8" s="227">
        <v>3</v>
      </c>
      <c r="Y8" s="227">
        <v>3</v>
      </c>
      <c r="Z8" s="227">
        <v>3</v>
      </c>
    </row>
    <row r="9" spans="1:26" ht="13.8">
      <c r="A9">
        <v>7</v>
      </c>
      <c r="B9" s="205" t="s">
        <v>277</v>
      </c>
      <c r="C9" s="206">
        <v>5</v>
      </c>
      <c r="D9" s="207">
        <v>5</v>
      </c>
      <c r="E9" s="206">
        <v>7</v>
      </c>
      <c r="F9" s="208">
        <v>3</v>
      </c>
      <c r="G9" s="208"/>
      <c r="H9" s="178">
        <v>-0.60310903474101341</v>
      </c>
      <c r="I9" s="178">
        <v>-0.36752607542292731</v>
      </c>
      <c r="J9" s="178">
        <v>-9.459401877344193E-3</v>
      </c>
      <c r="K9" s="178">
        <v>-0.38375810958971218</v>
      </c>
      <c r="L9" s="178">
        <v>-0.42388948647358438</v>
      </c>
      <c r="M9" s="178">
        <v>-0.97772056712596733</v>
      </c>
      <c r="N9" s="178">
        <v>-0.36274921033880853</v>
      </c>
      <c r="O9" s="178">
        <v>-0.46562480283275604</v>
      </c>
      <c r="P9" s="178">
        <v>-4.3784549005771022E-2</v>
      </c>
      <c r="Q9" s="209">
        <f>SUMXMY2(Таблица17[[#This Row],[X1]:[X9]],Таблица17[[#Totals],[X1]:[X9]])</f>
        <v>2.1321060283318332</v>
      </c>
      <c r="R9" s="214">
        <v>2</v>
      </c>
      <c r="S9" s="226">
        <v>2</v>
      </c>
      <c r="T9" s="226">
        <v>2</v>
      </c>
      <c r="U9" s="227">
        <v>2</v>
      </c>
      <c r="V9" s="226">
        <v>2</v>
      </c>
      <c r="W9" s="226">
        <v>2</v>
      </c>
      <c r="X9" s="227">
        <v>2</v>
      </c>
      <c r="Y9" s="227">
        <v>2</v>
      </c>
      <c r="Z9" s="227">
        <v>2</v>
      </c>
    </row>
    <row r="10" spans="1:26" ht="13.8">
      <c r="A10">
        <v>8</v>
      </c>
      <c r="B10" s="205" t="s">
        <v>278</v>
      </c>
      <c r="C10" s="206">
        <v>4</v>
      </c>
      <c r="D10" s="207">
        <v>5</v>
      </c>
      <c r="E10" s="206">
        <v>5</v>
      </c>
      <c r="F10" s="208">
        <v>3</v>
      </c>
      <c r="G10" s="208"/>
      <c r="H10" s="178">
        <v>-0.30574348797902101</v>
      </c>
      <c r="I10" s="178">
        <v>-0.27120098857261227</v>
      </c>
      <c r="J10" s="178">
        <v>-0.9684470404770571</v>
      </c>
      <c r="K10" s="178">
        <v>0.39237424439881424</v>
      </c>
      <c r="L10" s="178">
        <v>-1.3133720999971172</v>
      </c>
      <c r="M10" s="178">
        <v>1.1336570159096901</v>
      </c>
      <c r="N10" s="178">
        <v>-0.46343202161056657</v>
      </c>
      <c r="O10" s="178">
        <v>-0.99468254981953852</v>
      </c>
      <c r="P10" s="178">
        <v>0.43196398347484655</v>
      </c>
      <c r="Q10" s="209">
        <f>SUMXMY2(Таблица17[[#This Row],[X1]:[X9]],Таблица17[[#Totals],[X1]:[X9]])</f>
        <v>5.6597562738817606</v>
      </c>
      <c r="R10" s="214">
        <v>3</v>
      </c>
      <c r="S10" s="226">
        <v>3</v>
      </c>
      <c r="T10" s="226">
        <v>3</v>
      </c>
      <c r="U10" s="227">
        <v>3</v>
      </c>
      <c r="V10" s="226">
        <v>3</v>
      </c>
      <c r="W10" s="226">
        <v>3</v>
      </c>
      <c r="X10" s="227">
        <v>3</v>
      </c>
      <c r="Y10" s="227">
        <v>3</v>
      </c>
      <c r="Z10" s="227">
        <v>3</v>
      </c>
    </row>
    <row r="11" spans="1:26" ht="13.8">
      <c r="A11">
        <v>9</v>
      </c>
      <c r="B11" s="205" t="s">
        <v>341</v>
      </c>
      <c r="C11" s="206">
        <v>5</v>
      </c>
      <c r="D11" s="207">
        <v>5</v>
      </c>
      <c r="E11" s="206">
        <v>7</v>
      </c>
      <c r="F11" s="208">
        <v>1</v>
      </c>
      <c r="G11" s="208">
        <v>1</v>
      </c>
      <c r="H11" s="178">
        <v>-0.45077849950081711</v>
      </c>
      <c r="I11" s="178">
        <v>-0.27120098857261227</v>
      </c>
      <c r="J11" s="178">
        <v>1.1002262942166088</v>
      </c>
      <c r="K11" s="178">
        <v>0.24000470251149547</v>
      </c>
      <c r="L11" s="178">
        <v>-0.40025817368071687</v>
      </c>
      <c r="M11" s="178">
        <v>-0.89346848087983277</v>
      </c>
      <c r="N11" s="178">
        <v>-1.2756580679840056E-2</v>
      </c>
      <c r="O11" s="178">
        <v>-0.50341464190324048</v>
      </c>
      <c r="P11" s="178">
        <v>0.40146728267480697</v>
      </c>
      <c r="Q11" s="209">
        <f>SUMXMY2(Таблица17[[#This Row],[X1]:[X9]],Таблица17[[#Totals],[X1]:[X9]])</f>
        <v>2.9181089305436538</v>
      </c>
      <c r="R11" s="214">
        <v>1</v>
      </c>
      <c r="S11" s="226">
        <v>1</v>
      </c>
      <c r="T11" s="226">
        <v>1</v>
      </c>
      <c r="U11" s="227">
        <v>1</v>
      </c>
      <c r="V11" s="226">
        <v>1</v>
      </c>
      <c r="W11" s="226">
        <v>1</v>
      </c>
      <c r="X11" s="227">
        <v>1</v>
      </c>
      <c r="Y11" s="227">
        <v>1</v>
      </c>
      <c r="Z11" s="227">
        <v>1</v>
      </c>
    </row>
    <row r="12" spans="1:26" ht="13.8">
      <c r="A12">
        <v>10</v>
      </c>
      <c r="B12" s="205" t="s">
        <v>280</v>
      </c>
      <c r="C12" s="206">
        <v>3</v>
      </c>
      <c r="D12" s="207">
        <v>4</v>
      </c>
      <c r="E12" s="206">
        <v>2</v>
      </c>
      <c r="F12" s="208">
        <v>6</v>
      </c>
      <c r="G12" s="208">
        <v>6</v>
      </c>
      <c r="H12" s="178">
        <v>2.7956878664803124</v>
      </c>
      <c r="I12" s="178">
        <v>-0.89731405309965961</v>
      </c>
      <c r="J12" s="178">
        <v>2.1277130498591585</v>
      </c>
      <c r="K12" s="178">
        <v>2.358893644382011</v>
      </c>
      <c r="L12" s="178">
        <v>2.356098150479347</v>
      </c>
      <c r="M12" s="178">
        <v>-0.75896966849895553</v>
      </c>
      <c r="N12" s="178">
        <v>5.316240787346783</v>
      </c>
      <c r="O12" s="178">
        <v>-0.76794351539663175</v>
      </c>
      <c r="P12" s="178">
        <v>-1.1813114888472469</v>
      </c>
      <c r="Q12" s="209">
        <f>SUMXMY2(Таблица17[[#This Row],[X1]:[X9]],Таблица17[[#Totals],[X1]:[X9]])</f>
        <v>55.087468842687592</v>
      </c>
      <c r="R12" s="214">
        <v>6</v>
      </c>
      <c r="S12" s="226">
        <v>6</v>
      </c>
      <c r="T12" s="226">
        <v>6</v>
      </c>
      <c r="U12" s="227">
        <v>6</v>
      </c>
      <c r="V12" s="226">
        <v>6</v>
      </c>
      <c r="W12" s="226">
        <v>6</v>
      </c>
      <c r="X12" s="227">
        <v>6</v>
      </c>
      <c r="Y12" s="227">
        <v>6</v>
      </c>
      <c r="Z12" s="227">
        <v>6</v>
      </c>
    </row>
    <row r="13" spans="1:26" ht="13.8">
      <c r="A13">
        <v>11</v>
      </c>
      <c r="B13" s="205" t="s">
        <v>310</v>
      </c>
      <c r="C13" s="206">
        <v>5</v>
      </c>
      <c r="D13" s="207">
        <v>5</v>
      </c>
      <c r="E13" s="206">
        <v>4</v>
      </c>
      <c r="F13" s="208">
        <v>2</v>
      </c>
      <c r="G13" s="208">
        <v>2</v>
      </c>
      <c r="H13" s="178">
        <v>-0.56750687899522045</v>
      </c>
      <c r="I13" s="178">
        <v>-0.36752607542292731</v>
      </c>
      <c r="J13" s="178">
        <v>-0.26975604664012365</v>
      </c>
      <c r="K13" s="178">
        <v>-8.8542122183033492E-2</v>
      </c>
      <c r="L13" s="178">
        <v>-0.28304686222809461</v>
      </c>
      <c r="M13" s="178">
        <v>-0.40419732942637765</v>
      </c>
      <c r="N13" s="178">
        <v>-6.0700776523534367E-2</v>
      </c>
      <c r="O13" s="178">
        <v>0.59249069114080899</v>
      </c>
      <c r="P13" s="178">
        <v>0.75522901195526582</v>
      </c>
      <c r="Q13" s="209">
        <f>SUMXMY2(Таблица17[[#This Row],[X1]:[X9]],Таблица17[[#Totals],[X1]:[X9]])</f>
        <v>1.7063391771128451</v>
      </c>
      <c r="R13" s="214">
        <v>2</v>
      </c>
      <c r="S13" s="226">
        <v>2</v>
      </c>
      <c r="T13" s="226">
        <v>2</v>
      </c>
      <c r="U13" s="227">
        <v>2</v>
      </c>
      <c r="V13" s="226">
        <v>2</v>
      </c>
      <c r="W13" s="226">
        <v>2</v>
      </c>
      <c r="X13" s="227">
        <v>2</v>
      </c>
      <c r="Y13" s="227">
        <v>2</v>
      </c>
      <c r="Z13" s="227">
        <v>2</v>
      </c>
    </row>
    <row r="14" spans="1:26" ht="13.8">
      <c r="A14">
        <v>12</v>
      </c>
      <c r="B14" s="205" t="s">
        <v>291</v>
      </c>
      <c r="C14" s="206">
        <v>4</v>
      </c>
      <c r="D14" s="207">
        <v>5</v>
      </c>
      <c r="E14" s="206">
        <v>4</v>
      </c>
      <c r="F14" s="208">
        <v>2</v>
      </c>
      <c r="G14" s="208">
        <v>2</v>
      </c>
      <c r="H14" s="178">
        <v>-0.49046614852891424</v>
      </c>
      <c r="I14" s="178">
        <v>-0.22303844514745472</v>
      </c>
      <c r="J14" s="178">
        <v>-0.87254827661708567</v>
      </c>
      <c r="K14" s="178">
        <v>-1.0122824698748982</v>
      </c>
      <c r="L14" s="178">
        <v>0.36917737085504809</v>
      </c>
      <c r="M14" s="178">
        <v>0.13227529203244229</v>
      </c>
      <c r="N14" s="178">
        <v>-0.45144597264964303</v>
      </c>
      <c r="O14" s="178">
        <v>-0.31446544655081815</v>
      </c>
      <c r="P14" s="178">
        <v>1.185232493235824</v>
      </c>
      <c r="Q14" s="209">
        <f>SUMXMY2(Таблица17[[#This Row],[X1]:[X9]],Таблица17[[#Totals],[X1]:[X9]])</f>
        <v>3.937616215061758</v>
      </c>
      <c r="R14" s="214">
        <v>2</v>
      </c>
      <c r="S14" s="226">
        <v>2</v>
      </c>
      <c r="T14" s="226">
        <v>2</v>
      </c>
      <c r="U14" s="227">
        <v>2</v>
      </c>
      <c r="V14" s="226">
        <v>2</v>
      </c>
      <c r="W14" s="226">
        <v>2</v>
      </c>
      <c r="X14" s="227">
        <v>2</v>
      </c>
      <c r="Y14" s="227">
        <v>2</v>
      </c>
      <c r="Z14" s="227">
        <v>2</v>
      </c>
    </row>
    <row r="15" spans="1:26" ht="13.8">
      <c r="A15">
        <v>13</v>
      </c>
      <c r="B15" s="205" t="s">
        <v>283</v>
      </c>
      <c r="C15" s="206">
        <v>5</v>
      </c>
      <c r="D15" s="207">
        <v>5</v>
      </c>
      <c r="E15" s="206">
        <v>4</v>
      </c>
      <c r="F15" s="208">
        <v>2</v>
      </c>
      <c r="G15" s="208">
        <v>2</v>
      </c>
      <c r="H15" s="178">
        <v>-0.37244541911868007</v>
      </c>
      <c r="I15" s="178">
        <v>-0.27120098857261227</v>
      </c>
      <c r="J15" s="178">
        <v>-1.3383422725083747</v>
      </c>
      <c r="K15" s="178">
        <v>-0.73135112702015614</v>
      </c>
      <c r="L15" s="178">
        <v>-0.2509082768297945</v>
      </c>
      <c r="M15" s="178">
        <v>-0.32958855425660777</v>
      </c>
      <c r="N15" s="178">
        <v>8.0734601215363855E-2</v>
      </c>
      <c r="O15" s="178">
        <v>0.78143988649323137</v>
      </c>
      <c r="P15" s="178">
        <v>0.47160969451489787</v>
      </c>
      <c r="Q15" s="209">
        <f>SUMXMY2(Таблица17[[#This Row],[X1]:[X9]],Таблица17[[#Totals],[X1]:[X9]])</f>
        <v>3.5494657302768338</v>
      </c>
      <c r="R15" s="214">
        <v>2</v>
      </c>
      <c r="S15" s="226">
        <v>2</v>
      </c>
      <c r="T15" s="226">
        <v>2</v>
      </c>
      <c r="U15" s="227">
        <v>2</v>
      </c>
      <c r="V15" s="226">
        <v>2</v>
      </c>
      <c r="W15" s="226">
        <v>2</v>
      </c>
      <c r="X15" s="227">
        <v>2</v>
      </c>
      <c r="Y15" s="227">
        <v>2</v>
      </c>
      <c r="Z15" s="227">
        <v>2</v>
      </c>
    </row>
    <row r="16" spans="1:26" ht="13.8">
      <c r="A16">
        <v>14</v>
      </c>
      <c r="B16" s="205" t="s">
        <v>284</v>
      </c>
      <c r="C16" s="206">
        <v>5</v>
      </c>
      <c r="D16" s="207">
        <v>5</v>
      </c>
      <c r="E16" s="206">
        <v>4</v>
      </c>
      <c r="F16" s="208">
        <v>3</v>
      </c>
      <c r="G16" s="208">
        <v>3</v>
      </c>
      <c r="H16" s="178">
        <v>-0.31512344704553558</v>
      </c>
      <c r="I16" s="178">
        <v>1.7774271978332722E-2</v>
      </c>
      <c r="J16" s="178">
        <v>-0.24235639982298909</v>
      </c>
      <c r="K16" s="178">
        <v>-0.43137359142949905</v>
      </c>
      <c r="L16" s="178">
        <v>-8.0762824721148818E-2</v>
      </c>
      <c r="M16" s="178">
        <v>0.61900873004474877</v>
      </c>
      <c r="N16" s="178">
        <v>-0.6504143854009744</v>
      </c>
      <c r="O16" s="178">
        <v>0.40354149578838666</v>
      </c>
      <c r="P16" s="178">
        <v>-5.9032899405790804E-2</v>
      </c>
      <c r="Q16" s="209">
        <f>SUMXMY2(Таблица17[[#This Row],[X1]:[X9]],Таблица17[[#Totals],[X1]:[X9]])</f>
        <v>1.3235024480406263</v>
      </c>
      <c r="R16" s="214">
        <v>3</v>
      </c>
      <c r="S16" s="226">
        <v>3</v>
      </c>
      <c r="T16" s="226">
        <v>3</v>
      </c>
      <c r="U16" s="227">
        <v>3</v>
      </c>
      <c r="V16" s="226">
        <v>3</v>
      </c>
      <c r="W16" s="226">
        <v>3</v>
      </c>
      <c r="X16" s="227">
        <v>3</v>
      </c>
      <c r="Y16" s="227">
        <v>3</v>
      </c>
      <c r="Z16" s="227">
        <v>3</v>
      </c>
    </row>
    <row r="17" spans="1:26" ht="13.8">
      <c r="A17">
        <v>15</v>
      </c>
      <c r="B17" s="205" t="s">
        <v>285</v>
      </c>
      <c r="C17" s="206">
        <v>2</v>
      </c>
      <c r="D17" s="207">
        <v>2</v>
      </c>
      <c r="E17" s="206">
        <v>1</v>
      </c>
      <c r="F17" s="208">
        <v>7</v>
      </c>
      <c r="G17" s="208"/>
      <c r="H17" s="178">
        <v>-0.46249302615721971</v>
      </c>
      <c r="I17" s="178">
        <v>2.6185516169368372</v>
      </c>
      <c r="J17" s="178">
        <v>1.5660202901078981</v>
      </c>
      <c r="K17" s="178">
        <v>0.73044416546130075</v>
      </c>
      <c r="L17" s="178">
        <v>-0.42767049652044375</v>
      </c>
      <c r="M17" s="178">
        <v>-1.9983889131559451</v>
      </c>
      <c r="N17" s="178">
        <v>0.86701941305195063</v>
      </c>
      <c r="O17" s="178">
        <v>2.0662944148897031</v>
      </c>
      <c r="P17" s="178">
        <v>-0.90989085172689455</v>
      </c>
      <c r="Q17" s="209">
        <f>SUMXMY2(Таблица17[[#This Row],[X1]:[X9]],Таблица17[[#Totals],[X1]:[X9]])</f>
        <v>20.082337533180937</v>
      </c>
      <c r="R17" s="214">
        <v>7</v>
      </c>
      <c r="S17" s="226">
        <v>7</v>
      </c>
      <c r="T17" s="226">
        <v>7</v>
      </c>
      <c r="U17" s="227">
        <v>7</v>
      </c>
      <c r="V17" s="226">
        <v>7</v>
      </c>
      <c r="W17" s="226">
        <v>7</v>
      </c>
      <c r="X17" s="227">
        <v>7</v>
      </c>
      <c r="Y17" s="227">
        <v>7</v>
      </c>
      <c r="Z17" s="227">
        <v>7</v>
      </c>
    </row>
    <row r="18" spans="1:26" ht="13.8">
      <c r="A18">
        <v>16</v>
      </c>
      <c r="B18" s="205" t="s">
        <v>286</v>
      </c>
      <c r="C18" s="206">
        <v>5</v>
      </c>
      <c r="D18" s="207">
        <v>5</v>
      </c>
      <c r="E18" s="206">
        <v>7</v>
      </c>
      <c r="F18" s="208">
        <v>3</v>
      </c>
      <c r="G18" s="208"/>
      <c r="H18" s="178">
        <v>-0.27093341766551149</v>
      </c>
      <c r="I18" s="178">
        <v>-0.31936353199776979</v>
      </c>
      <c r="J18" s="178">
        <v>0.18233812584259815</v>
      </c>
      <c r="K18" s="178">
        <v>9.2396708808156466E-2</v>
      </c>
      <c r="L18" s="178">
        <v>-1.6485653924549259E-2</v>
      </c>
      <c r="M18" s="178">
        <v>-0.31486981629794586</v>
      </c>
      <c r="N18" s="178">
        <v>0.51462957360079742</v>
      </c>
      <c r="O18" s="178">
        <v>0.29017197857693328</v>
      </c>
      <c r="P18" s="178">
        <v>-0.11087729076585773</v>
      </c>
      <c r="Q18" s="209">
        <f>SUMXMY2(Таблица17[[#This Row],[X1]:[X9]],Таблица17[[#Totals],[X1]:[X9]])</f>
        <v>0.67793425309656596</v>
      </c>
      <c r="R18" s="214">
        <v>1</v>
      </c>
      <c r="S18" s="226">
        <v>1</v>
      </c>
      <c r="T18" s="226">
        <v>1</v>
      </c>
      <c r="U18" s="227">
        <v>1</v>
      </c>
      <c r="V18" s="226">
        <v>1</v>
      </c>
      <c r="W18" s="226">
        <v>1</v>
      </c>
      <c r="X18" s="227">
        <v>1</v>
      </c>
      <c r="Y18" s="227">
        <v>1</v>
      </c>
      <c r="Z18" s="227">
        <v>1</v>
      </c>
    </row>
    <row r="19" spans="1:26" ht="13.8">
      <c r="A19">
        <v>17</v>
      </c>
      <c r="B19" s="205" t="s">
        <v>287</v>
      </c>
      <c r="C19" s="206">
        <v>5</v>
      </c>
      <c r="D19" s="207">
        <v>5</v>
      </c>
      <c r="E19" s="206">
        <v>5</v>
      </c>
      <c r="F19" s="208">
        <v>3</v>
      </c>
      <c r="G19" s="208"/>
      <c r="H19" s="178">
        <v>0.73810004564968046</v>
      </c>
      <c r="I19" s="178">
        <v>-0.60833879254871481</v>
      </c>
      <c r="J19" s="178">
        <v>-1.3246424490998074</v>
      </c>
      <c r="K19" s="178">
        <v>1.3446838811945516</v>
      </c>
      <c r="L19" s="178">
        <v>-0.9286543277292344</v>
      </c>
      <c r="M19" s="178">
        <v>1.0128618561110159</v>
      </c>
      <c r="N19" s="178">
        <v>0.14545926560435118</v>
      </c>
      <c r="O19" s="178">
        <v>0.59249069114080899</v>
      </c>
      <c r="P19" s="178">
        <v>0.23373542827458932</v>
      </c>
      <c r="Q19" s="209">
        <f>SUMXMY2(Таблица17[[#This Row],[X1]:[X9]],Таблица17[[#Totals],[X1]:[X9]])</f>
        <v>6.7928439896535355</v>
      </c>
      <c r="R19" s="214">
        <v>3</v>
      </c>
      <c r="S19" s="226">
        <v>3</v>
      </c>
      <c r="T19" s="226">
        <v>3</v>
      </c>
      <c r="U19" s="227">
        <v>3</v>
      </c>
      <c r="V19" s="226">
        <v>3</v>
      </c>
      <c r="W19" s="226">
        <v>3</v>
      </c>
      <c r="X19" s="227">
        <v>3</v>
      </c>
      <c r="Y19" s="227">
        <v>3</v>
      </c>
      <c r="Z19" s="227">
        <v>3</v>
      </c>
    </row>
    <row r="20" spans="1:26" ht="13.8">
      <c r="A20">
        <v>18</v>
      </c>
      <c r="B20" s="205" t="s">
        <v>288</v>
      </c>
      <c r="C20" s="206">
        <v>6</v>
      </c>
      <c r="D20" s="207">
        <v>5</v>
      </c>
      <c r="E20" s="206">
        <v>6</v>
      </c>
      <c r="F20" s="208">
        <v>5</v>
      </c>
      <c r="G20" s="208">
        <v>5</v>
      </c>
      <c r="H20" s="178">
        <v>1.5429839109705534</v>
      </c>
      <c r="I20" s="178">
        <v>-0.7528264228241871</v>
      </c>
      <c r="J20" s="178">
        <v>0.37413565356254047</v>
      </c>
      <c r="K20" s="178">
        <v>-1.7550839865755739</v>
      </c>
      <c r="L20" s="178">
        <v>1.2000543286522698</v>
      </c>
      <c r="M20" s="178">
        <v>0.1535920849380904</v>
      </c>
      <c r="N20" s="178">
        <v>-0.71897458545745729</v>
      </c>
      <c r="O20" s="178">
        <v>2.0662944148897031</v>
      </c>
      <c r="P20" s="178">
        <v>0.90466284587545942</v>
      </c>
      <c r="Q20" s="209">
        <f>SUMXMY2(Таблица17[[#This Row],[X1]:[X9]],Таблица17[[#Totals],[X1]:[X9]])</f>
        <v>13.236477108135198</v>
      </c>
      <c r="R20" s="214">
        <v>5</v>
      </c>
      <c r="S20" s="226">
        <v>5</v>
      </c>
      <c r="T20" s="226">
        <v>5</v>
      </c>
      <c r="U20" s="227">
        <v>5</v>
      </c>
      <c r="V20" s="226">
        <v>5</v>
      </c>
      <c r="W20" s="226">
        <v>5</v>
      </c>
      <c r="X20" s="227">
        <v>5</v>
      </c>
      <c r="Y20" s="227">
        <v>5</v>
      </c>
      <c r="Z20" s="227">
        <v>5</v>
      </c>
    </row>
    <row r="21" spans="1:26" ht="13.8">
      <c r="A21">
        <v>19</v>
      </c>
      <c r="B21" s="205" t="s">
        <v>331</v>
      </c>
      <c r="C21" s="206">
        <v>5</v>
      </c>
      <c r="D21" s="207">
        <v>5</v>
      </c>
      <c r="E21" s="206">
        <v>7</v>
      </c>
      <c r="F21" s="208">
        <v>1</v>
      </c>
      <c r="G21" s="208">
        <v>1</v>
      </c>
      <c r="H21" s="178">
        <v>-0.13348575081085159</v>
      </c>
      <c r="I21" s="178">
        <v>-0.27120098857261227</v>
      </c>
      <c r="J21" s="178">
        <v>0.77143053241099313</v>
      </c>
      <c r="K21" s="178">
        <v>4.9542775152348686E-2</v>
      </c>
      <c r="L21" s="178">
        <v>-1.1139238200253156</v>
      </c>
      <c r="M21" s="178">
        <v>-0.47170050696093091</v>
      </c>
      <c r="N21" s="178">
        <v>-7.5084035276642661E-2</v>
      </c>
      <c r="O21" s="178">
        <v>-0.31446544655081815</v>
      </c>
      <c r="P21" s="178">
        <v>-0.99833128404700944</v>
      </c>
      <c r="Q21" s="209">
        <f>SUMXMY2(Таблица17[[#This Row],[X1]:[X9]],Таблица17[[#Totals],[X1]:[X9]])</f>
        <v>3.2534471019997726</v>
      </c>
      <c r="R21" s="214">
        <v>1</v>
      </c>
      <c r="S21" s="226">
        <v>1</v>
      </c>
      <c r="T21" s="226">
        <v>1</v>
      </c>
      <c r="U21" s="227">
        <v>3</v>
      </c>
      <c r="V21" s="226">
        <v>1</v>
      </c>
      <c r="W21" s="226">
        <v>1</v>
      </c>
      <c r="X21" s="227">
        <v>1</v>
      </c>
      <c r="Y21" s="227">
        <v>1</v>
      </c>
      <c r="Z21" s="227">
        <v>1</v>
      </c>
    </row>
    <row r="22" spans="1:26" ht="13.8">
      <c r="A22">
        <v>20</v>
      </c>
      <c r="B22" s="205" t="s">
        <v>290</v>
      </c>
      <c r="C22" s="206">
        <v>5</v>
      </c>
      <c r="D22" s="207">
        <v>5</v>
      </c>
      <c r="E22" s="206">
        <v>7</v>
      </c>
      <c r="F22" s="208">
        <v>3</v>
      </c>
      <c r="G22" s="208">
        <v>3</v>
      </c>
      <c r="H22" s="178">
        <v>-0.44331622095456774</v>
      </c>
      <c r="I22" s="178">
        <v>-0.12671335829713987</v>
      </c>
      <c r="J22" s="178">
        <v>-0.31085551686582569</v>
      </c>
      <c r="K22" s="178">
        <v>-0.55041229602896624</v>
      </c>
      <c r="L22" s="178">
        <v>-0.62239251393367145</v>
      </c>
      <c r="M22" s="178">
        <v>-0.31791507242732436</v>
      </c>
      <c r="N22" s="178">
        <v>-0.29083291657326704</v>
      </c>
      <c r="O22" s="178">
        <v>-0.35225528562130259</v>
      </c>
      <c r="P22" s="178">
        <v>-8.0380589965818164E-2</v>
      </c>
      <c r="Q22" s="209">
        <f>SUMXMY2(Таблица17[[#This Row],[X1]:[X9]],Таблица17[[#Totals],[X1]:[X9]])</f>
        <v>1.3157414404492305</v>
      </c>
      <c r="R22" s="214">
        <v>3</v>
      </c>
      <c r="S22" s="226">
        <v>3</v>
      </c>
      <c r="T22" s="226">
        <v>3</v>
      </c>
      <c r="U22" s="227">
        <v>3</v>
      </c>
      <c r="V22" s="226">
        <v>3</v>
      </c>
      <c r="W22" s="226">
        <v>3</v>
      </c>
      <c r="X22" s="227">
        <v>2</v>
      </c>
      <c r="Y22" s="227">
        <v>2</v>
      </c>
      <c r="Z22" s="227">
        <v>2</v>
      </c>
    </row>
    <row r="23" spans="1:26" ht="13.8">
      <c r="A23">
        <v>21</v>
      </c>
      <c r="B23" s="205" t="s">
        <v>339</v>
      </c>
      <c r="C23" s="206">
        <v>5</v>
      </c>
      <c r="D23" s="207">
        <v>5</v>
      </c>
      <c r="E23" s="206">
        <v>4</v>
      </c>
      <c r="F23" s="208">
        <v>2</v>
      </c>
      <c r="G23" s="208">
        <v>2</v>
      </c>
      <c r="H23" s="178">
        <v>-0.30465958159800155</v>
      </c>
      <c r="I23" s="178">
        <v>-0.31936353199776979</v>
      </c>
      <c r="J23" s="178">
        <v>-0.58485198503717195</v>
      </c>
      <c r="K23" s="178">
        <v>-0.80753589796381486</v>
      </c>
      <c r="L23" s="178">
        <v>0.35405333066761319</v>
      </c>
      <c r="M23" s="178">
        <v>-0.89093076743868416</v>
      </c>
      <c r="N23" s="178">
        <v>7.8337391423179137E-2</v>
      </c>
      <c r="O23" s="178">
        <v>0.32796181764741777</v>
      </c>
      <c r="P23" s="178">
        <v>0.23068575819458512</v>
      </c>
      <c r="Q23" s="209">
        <f>SUMXMY2(Таблица17[[#This Row],[X1]:[X9]],Таблица17[[#Totals],[X1]:[X9]])</f>
        <v>2.2749996102208141</v>
      </c>
      <c r="R23" s="214">
        <v>2</v>
      </c>
      <c r="S23" s="226">
        <v>2</v>
      </c>
      <c r="T23" s="226">
        <v>2</v>
      </c>
      <c r="U23" s="227">
        <v>2</v>
      </c>
      <c r="V23" s="226">
        <v>2</v>
      </c>
      <c r="W23" s="226">
        <v>2</v>
      </c>
      <c r="X23" s="227">
        <v>2</v>
      </c>
      <c r="Y23" s="227">
        <v>2</v>
      </c>
      <c r="Z23" s="227">
        <v>2</v>
      </c>
    </row>
    <row r="24" spans="1:26" ht="13.8">
      <c r="A24">
        <v>22</v>
      </c>
      <c r="B24" s="205" t="s">
        <v>305</v>
      </c>
      <c r="C24" s="206">
        <v>5</v>
      </c>
      <c r="D24" s="207">
        <v>5</v>
      </c>
      <c r="E24" s="206">
        <v>4</v>
      </c>
      <c r="F24" s="208">
        <v>2</v>
      </c>
      <c r="G24" s="208">
        <v>2</v>
      </c>
      <c r="H24" s="178">
        <v>-0.46436901797052266</v>
      </c>
      <c r="I24" s="178">
        <v>-0.65650133597387228</v>
      </c>
      <c r="J24" s="178">
        <v>-1.3794417427340768</v>
      </c>
      <c r="K24" s="178">
        <v>-0.33138107956594626</v>
      </c>
      <c r="L24" s="178">
        <v>-0.42010847642672566</v>
      </c>
      <c r="M24" s="178">
        <v>-0.24279875456932523</v>
      </c>
      <c r="N24" s="178">
        <v>-0.24768314031394217</v>
      </c>
      <c r="O24" s="178">
        <v>-0.23888576840984924</v>
      </c>
      <c r="P24" s="178">
        <v>0.49600705515492943</v>
      </c>
      <c r="Q24" s="209">
        <f>SUMXMY2(Таблица17[[#This Row],[X1]:[X9]],Таблица17[[#Totals],[X1]:[X9]])</f>
        <v>3.2591842447719084</v>
      </c>
      <c r="R24" s="214">
        <v>2</v>
      </c>
      <c r="S24" s="226">
        <v>2</v>
      </c>
      <c r="T24" s="226">
        <v>2</v>
      </c>
      <c r="U24" s="227">
        <v>2</v>
      </c>
      <c r="V24" s="226">
        <v>2</v>
      </c>
      <c r="W24" s="226">
        <v>2</v>
      </c>
      <c r="X24" s="227">
        <v>2</v>
      </c>
      <c r="Y24" s="227">
        <v>2</v>
      </c>
      <c r="Z24" s="227">
        <v>2</v>
      </c>
    </row>
    <row r="25" spans="1:26" ht="13.8">
      <c r="A25">
        <v>23</v>
      </c>
      <c r="B25" s="205" t="s">
        <v>325</v>
      </c>
      <c r="C25" s="206">
        <v>5</v>
      </c>
      <c r="D25" s="207">
        <v>5</v>
      </c>
      <c r="E25" s="206">
        <v>7</v>
      </c>
      <c r="F25" s="208">
        <v>1</v>
      </c>
      <c r="G25" s="208">
        <v>1</v>
      </c>
      <c r="H25" s="178">
        <v>-0.80855098265116321</v>
      </c>
      <c r="I25" s="178">
        <v>-0.56017624912355723</v>
      </c>
      <c r="J25" s="178">
        <v>1.524920819882196</v>
      </c>
      <c r="K25" s="178">
        <v>0.46855901534247296</v>
      </c>
      <c r="L25" s="178">
        <v>0.39848019871820395</v>
      </c>
      <c r="M25" s="178">
        <v>-0.92493612755007593</v>
      </c>
      <c r="N25" s="178">
        <v>1.6266780732682388E-3</v>
      </c>
      <c r="O25" s="178">
        <v>-0.46562480283275604</v>
      </c>
      <c r="P25" s="178">
        <v>-0.80010272884675226</v>
      </c>
      <c r="Q25" s="209">
        <f>SUMXMY2(Таблица17[[#This Row],[X1]:[X9]],Таблица17[[#Totals],[X1]:[X9]])</f>
        <v>5.3837499680176437</v>
      </c>
      <c r="R25" s="214">
        <v>1</v>
      </c>
      <c r="S25" s="226">
        <v>1</v>
      </c>
      <c r="T25" s="226">
        <v>1</v>
      </c>
      <c r="U25" s="227">
        <v>1</v>
      </c>
      <c r="V25" s="226">
        <v>1</v>
      </c>
      <c r="W25" s="226">
        <v>1</v>
      </c>
      <c r="X25" s="227">
        <v>1</v>
      </c>
      <c r="Y25" s="227">
        <v>1</v>
      </c>
      <c r="Z25" s="227">
        <v>1</v>
      </c>
    </row>
    <row r="26" spans="1:26" ht="13.8">
      <c r="A26">
        <v>24</v>
      </c>
      <c r="B26" s="205" t="s">
        <v>294</v>
      </c>
      <c r="C26" s="206">
        <v>5</v>
      </c>
      <c r="D26" s="207">
        <v>5</v>
      </c>
      <c r="E26" s="206">
        <v>5</v>
      </c>
      <c r="F26" s="208">
        <v>3</v>
      </c>
      <c r="G26" s="208">
        <v>3</v>
      </c>
      <c r="H26" s="178">
        <v>1.4092271835644004E-2</v>
      </c>
      <c r="I26" s="178">
        <v>-0.80098896624934468</v>
      </c>
      <c r="J26" s="178">
        <v>-9.1658342328748324E-2</v>
      </c>
      <c r="K26" s="178">
        <v>0.26857399161536866</v>
      </c>
      <c r="L26" s="178">
        <v>-3.8226461693987059E-2</v>
      </c>
      <c r="M26" s="178">
        <v>4.8820772867810966E-3</v>
      </c>
      <c r="N26" s="178">
        <v>-0.70075579103685348</v>
      </c>
      <c r="O26" s="178">
        <v>2.5643105083542034E-2</v>
      </c>
      <c r="P26" s="178">
        <v>0.10564928491442305</v>
      </c>
      <c r="Q26" s="209">
        <f>SUMXMY2(Таблица17[[#This Row],[X1]:[X9]],Таблица17[[#Totals],[X1]:[X9]])</f>
        <v>1.226678272834568</v>
      </c>
      <c r="R26" s="214">
        <v>3</v>
      </c>
      <c r="S26" s="226">
        <v>3</v>
      </c>
      <c r="T26" s="226">
        <v>3</v>
      </c>
      <c r="U26" s="227">
        <v>3</v>
      </c>
      <c r="V26" s="226">
        <v>3</v>
      </c>
      <c r="W26" s="226">
        <v>3</v>
      </c>
      <c r="X26" s="227">
        <v>3</v>
      </c>
      <c r="Y26" s="227">
        <v>3</v>
      </c>
      <c r="Z26" s="227">
        <v>3</v>
      </c>
    </row>
    <row r="27" spans="1:26" ht="13.8">
      <c r="A27">
        <v>25</v>
      </c>
      <c r="B27" s="205" t="s">
        <v>295</v>
      </c>
      <c r="C27" s="206">
        <v>4</v>
      </c>
      <c r="D27" s="207">
        <v>5</v>
      </c>
      <c r="E27" s="206">
        <v>5</v>
      </c>
      <c r="F27" s="208">
        <v>3</v>
      </c>
      <c r="G27" s="208"/>
      <c r="H27" s="178">
        <v>-0.63491751815323827</v>
      </c>
      <c r="I27" s="178">
        <v>0.49939970622990759</v>
      </c>
      <c r="J27" s="178">
        <v>-1.1328449213798648</v>
      </c>
      <c r="K27" s="178">
        <v>-0.53612765147702957</v>
      </c>
      <c r="L27" s="178">
        <v>-1.763312295573314</v>
      </c>
      <c r="M27" s="178">
        <v>1.5315704834817954</v>
      </c>
      <c r="N27" s="178">
        <v>-0.40110456701376401</v>
      </c>
      <c r="O27" s="178">
        <v>-0.65457399818517836</v>
      </c>
      <c r="P27" s="178">
        <v>0.21543740779456533</v>
      </c>
      <c r="Q27" s="209">
        <f>SUMXMY2(Таблица17[[#This Row],[X1]:[X9]],Таблица17[[#Totals],[X1]:[X9]])</f>
        <v>8.3140344630641678</v>
      </c>
      <c r="R27" s="214">
        <v>3</v>
      </c>
      <c r="S27" s="226">
        <v>3</v>
      </c>
      <c r="T27" s="226">
        <v>3</v>
      </c>
      <c r="U27" s="227">
        <v>3</v>
      </c>
      <c r="V27" s="226">
        <v>3</v>
      </c>
      <c r="W27" s="226">
        <v>3</v>
      </c>
      <c r="X27" s="227">
        <v>3</v>
      </c>
      <c r="Y27" s="227">
        <v>3</v>
      </c>
      <c r="Z27" s="227">
        <v>3</v>
      </c>
    </row>
    <row r="28" spans="1:26" ht="13.8">
      <c r="A28">
        <v>26</v>
      </c>
      <c r="B28" s="205" t="s">
        <v>298</v>
      </c>
      <c r="C28" s="206">
        <v>5</v>
      </c>
      <c r="D28" s="207">
        <v>5</v>
      </c>
      <c r="E28" s="206">
        <v>7</v>
      </c>
      <c r="F28" s="208">
        <v>1</v>
      </c>
      <c r="G28" s="208">
        <v>1</v>
      </c>
      <c r="H28" s="178">
        <v>-0.19109954383273209</v>
      </c>
      <c r="I28" s="178">
        <v>-0.36752607542292731</v>
      </c>
      <c r="J28" s="178">
        <v>1.0180273537652051</v>
      </c>
      <c r="K28" s="178">
        <v>-6.4734381263140059E-2</v>
      </c>
      <c r="L28" s="178">
        <v>-0.95512139805724605</v>
      </c>
      <c r="M28" s="178">
        <v>-0.99700718927869658</v>
      </c>
      <c r="N28" s="178">
        <v>0.62969564362566377</v>
      </c>
      <c r="O28" s="178">
        <v>0.5547008520703246</v>
      </c>
      <c r="P28" s="178">
        <v>0.19408971723453797</v>
      </c>
      <c r="Q28" s="209">
        <f>SUMXMY2(Таблица17[[#This Row],[X1]:[X9]],Таблица17[[#Totals],[X1]:[X9]])</f>
        <v>3.8603253626256659</v>
      </c>
      <c r="R28" s="214">
        <v>1</v>
      </c>
      <c r="S28" s="226">
        <v>1</v>
      </c>
      <c r="T28" s="226">
        <v>1</v>
      </c>
      <c r="U28" s="227">
        <v>1</v>
      </c>
      <c r="V28" s="226">
        <v>1</v>
      </c>
      <c r="W28" s="226">
        <v>1</v>
      </c>
      <c r="X28" s="227">
        <v>1</v>
      </c>
      <c r="Y28" s="227">
        <v>1</v>
      </c>
      <c r="Z28" s="227">
        <v>1</v>
      </c>
    </row>
    <row r="29" spans="1:26" ht="13.8">
      <c r="A29">
        <v>27</v>
      </c>
      <c r="B29" s="205" t="s">
        <v>314</v>
      </c>
      <c r="C29" s="206">
        <v>5</v>
      </c>
      <c r="D29" s="207">
        <v>3</v>
      </c>
      <c r="E29" s="206">
        <v>7</v>
      </c>
      <c r="F29" s="208">
        <v>1</v>
      </c>
      <c r="G29" s="208"/>
      <c r="H29" s="178">
        <v>-0.30674401694611592</v>
      </c>
      <c r="I29" s="178">
        <v>0.1622619022538051</v>
      </c>
      <c r="J29" s="178">
        <v>1.908515875322081</v>
      </c>
      <c r="K29" s="178">
        <v>1.5922843867614427</v>
      </c>
      <c r="L29" s="178">
        <v>-1.2746167470168142</v>
      </c>
      <c r="M29" s="178">
        <v>-1.128460745530196</v>
      </c>
      <c r="N29" s="178">
        <v>0.65846216113188027</v>
      </c>
      <c r="O29" s="178">
        <v>-0.73015367632614725</v>
      </c>
      <c r="P29" s="178">
        <v>-0.38534759796621387</v>
      </c>
      <c r="Q29" s="209">
        <f>SUMXMY2(Таблица17[[#This Row],[X1]:[X9]],Таблица17[[#Totals],[X1]:[X9]])</f>
        <v>10.311484317467611</v>
      </c>
      <c r="R29" s="214">
        <v>1</v>
      </c>
      <c r="S29" s="226">
        <v>1</v>
      </c>
      <c r="T29" s="226">
        <v>1</v>
      </c>
      <c r="U29" s="227">
        <v>1</v>
      </c>
      <c r="V29" s="226">
        <v>1</v>
      </c>
      <c r="W29" s="226">
        <v>1</v>
      </c>
      <c r="X29" s="227">
        <v>1</v>
      </c>
      <c r="Y29" s="227">
        <v>1</v>
      </c>
      <c r="Z29" s="227">
        <v>1</v>
      </c>
    </row>
    <row r="30" spans="1:26" ht="13.8">
      <c r="A30">
        <v>28</v>
      </c>
      <c r="B30" s="205" t="s">
        <v>323</v>
      </c>
      <c r="C30" s="206">
        <v>5</v>
      </c>
      <c r="D30" s="207">
        <v>5</v>
      </c>
      <c r="E30" s="206">
        <v>7</v>
      </c>
      <c r="F30" s="208">
        <v>1</v>
      </c>
      <c r="G30" s="208"/>
      <c r="H30" s="178">
        <v>-0.71566854353918807</v>
      </c>
      <c r="I30" s="178">
        <v>-3.0388271446824808E-2</v>
      </c>
      <c r="J30" s="178">
        <v>0.82622982604526229</v>
      </c>
      <c r="K30" s="178">
        <v>-0.3075733386460528</v>
      </c>
      <c r="L30" s="178">
        <v>-0.33503575037240285</v>
      </c>
      <c r="M30" s="178">
        <v>-1.3126987413575861</v>
      </c>
      <c r="N30" s="178">
        <v>0.49784910505550439</v>
      </c>
      <c r="O30" s="178">
        <v>0.74365004742274687</v>
      </c>
      <c r="P30" s="178">
        <v>-0.77265569812671653</v>
      </c>
      <c r="Q30" s="209">
        <f>SUMXMY2(Таблица17[[#This Row],[X1]:[X9]],Таблица17[[#Totals],[X1]:[X9]])</f>
        <v>4.5236548872191866</v>
      </c>
      <c r="R30" s="214">
        <v>1</v>
      </c>
      <c r="S30" s="226">
        <v>1</v>
      </c>
      <c r="T30" s="226">
        <v>1</v>
      </c>
      <c r="U30" s="227">
        <v>1</v>
      </c>
      <c r="V30" s="226">
        <v>1</v>
      </c>
      <c r="W30" s="226">
        <v>1</v>
      </c>
      <c r="X30" s="227">
        <v>1</v>
      </c>
      <c r="Y30" s="227">
        <v>1</v>
      </c>
      <c r="Z30" s="227">
        <v>1</v>
      </c>
    </row>
    <row r="31" spans="1:26" ht="13.8">
      <c r="A31">
        <v>29</v>
      </c>
      <c r="B31" s="205" t="s">
        <v>299</v>
      </c>
      <c r="C31" s="206">
        <v>6</v>
      </c>
      <c r="D31" s="207">
        <v>5</v>
      </c>
      <c r="E31" s="206">
        <v>6</v>
      </c>
      <c r="F31" s="208">
        <v>5</v>
      </c>
      <c r="G31" s="208"/>
      <c r="H31" s="178">
        <v>2.5478068148825543</v>
      </c>
      <c r="I31" s="178">
        <v>-0.12671335829713987</v>
      </c>
      <c r="J31" s="178">
        <v>1.3057236453451186</v>
      </c>
      <c r="K31" s="178">
        <v>-0.99323627713898388</v>
      </c>
      <c r="L31" s="178">
        <v>1.1745325108359725</v>
      </c>
      <c r="M31" s="178">
        <v>-0.64121976482965959</v>
      </c>
      <c r="N31" s="178">
        <v>-0.71609793370683561</v>
      </c>
      <c r="O31" s="178">
        <v>0.4791211739293556</v>
      </c>
      <c r="P31" s="178">
        <v>0.96565624747553858</v>
      </c>
      <c r="Q31" s="209">
        <f>SUMXMY2(Таблица17[[#This Row],[X1]:[X9]],Таблица17[[#Totals],[X1]:[X9]])</f>
        <v>12.664343125445225</v>
      </c>
      <c r="R31" s="214">
        <v>5</v>
      </c>
      <c r="S31" s="226">
        <v>5</v>
      </c>
      <c r="T31" s="226">
        <v>5</v>
      </c>
      <c r="U31" s="227">
        <v>5</v>
      </c>
      <c r="V31" s="226">
        <v>5</v>
      </c>
      <c r="W31" s="226">
        <v>5</v>
      </c>
      <c r="X31" s="227">
        <v>5</v>
      </c>
      <c r="Y31" s="227">
        <v>5</v>
      </c>
      <c r="Z31" s="227">
        <v>5</v>
      </c>
    </row>
    <row r="32" spans="1:26" ht="13.8">
      <c r="A32">
        <v>30</v>
      </c>
      <c r="B32" s="205" t="s">
        <v>279</v>
      </c>
      <c r="C32" s="206">
        <v>5</v>
      </c>
      <c r="D32" s="207">
        <v>5</v>
      </c>
      <c r="E32" s="206">
        <v>7</v>
      </c>
      <c r="F32" s="208">
        <v>1</v>
      </c>
      <c r="G32" s="208"/>
      <c r="H32" s="178">
        <v>-0.2065660541157405</v>
      </c>
      <c r="I32" s="178">
        <v>-0.22303844514745472</v>
      </c>
      <c r="J32" s="178">
        <v>0.37413565356254047</v>
      </c>
      <c r="K32" s="178">
        <v>0.24952779887945364</v>
      </c>
      <c r="L32" s="178">
        <v>0.5459395905456973</v>
      </c>
      <c r="M32" s="178">
        <v>-1.2817386373755726</v>
      </c>
      <c r="N32" s="178">
        <v>0.29888069230417297</v>
      </c>
      <c r="O32" s="178">
        <v>0.21459230043596436</v>
      </c>
      <c r="P32" s="178">
        <v>0.35572223147474757</v>
      </c>
      <c r="Q32" s="209">
        <f>SUMXMY2(Таблица17[[#This Row],[X1]:[X9]],Таблица17[[#Totals],[X1]:[X9]])</f>
        <v>2.4974790930776249</v>
      </c>
      <c r="R32" s="214">
        <v>2</v>
      </c>
      <c r="S32" s="226">
        <v>2</v>
      </c>
      <c r="T32" s="226">
        <v>2</v>
      </c>
      <c r="U32" s="227">
        <v>2</v>
      </c>
      <c r="V32" s="226">
        <v>2</v>
      </c>
      <c r="W32" s="226">
        <v>2</v>
      </c>
      <c r="X32" s="227">
        <v>1</v>
      </c>
      <c r="Y32" s="227">
        <v>1</v>
      </c>
      <c r="Z32" s="227">
        <v>1</v>
      </c>
    </row>
    <row r="33" spans="1:26" ht="13.8">
      <c r="A33">
        <v>31</v>
      </c>
      <c r="B33" s="205" t="s">
        <v>301</v>
      </c>
      <c r="C33" s="206">
        <v>6</v>
      </c>
      <c r="D33" s="207">
        <v>5</v>
      </c>
      <c r="E33" s="206">
        <v>6</v>
      </c>
      <c r="F33" s="208">
        <v>5</v>
      </c>
      <c r="G33" s="208">
        <v>5</v>
      </c>
      <c r="H33" s="178">
        <v>1.0732355609195048</v>
      </c>
      <c r="I33" s="178">
        <v>-0.12671335829713987</v>
      </c>
      <c r="J33" s="178">
        <v>0.5385335344653488</v>
      </c>
      <c r="K33" s="178">
        <v>-1.2551214272578117</v>
      </c>
      <c r="L33" s="178">
        <v>0.59131171110800262</v>
      </c>
      <c r="M33" s="178">
        <v>0.40381063023534536</v>
      </c>
      <c r="N33" s="178">
        <v>-0.67198927353063687</v>
      </c>
      <c r="O33" s="178">
        <v>0.78143988649323137</v>
      </c>
      <c r="P33" s="178">
        <v>-0.13832432148589352</v>
      </c>
      <c r="Q33" s="209">
        <f>SUMXMY2(Таблица17[[#This Row],[X1]:[X9]],Таблица17[[#Totals],[X1]:[X9]])</f>
        <v>4.6273030719404327</v>
      </c>
      <c r="R33" s="214">
        <v>5</v>
      </c>
      <c r="S33" s="226">
        <v>5</v>
      </c>
      <c r="T33" s="226">
        <v>5</v>
      </c>
      <c r="U33" s="227">
        <v>5</v>
      </c>
      <c r="V33" s="226">
        <v>5</v>
      </c>
      <c r="W33" s="226">
        <v>5</v>
      </c>
      <c r="X33" s="227">
        <v>5</v>
      </c>
      <c r="Y33" s="227">
        <v>5</v>
      </c>
      <c r="Z33" s="227">
        <v>5</v>
      </c>
    </row>
    <row r="34" spans="1:26" ht="13.8">
      <c r="A34">
        <v>32</v>
      </c>
      <c r="B34" s="205" t="s">
        <v>302</v>
      </c>
      <c r="C34" s="206">
        <v>6</v>
      </c>
      <c r="D34" s="207">
        <v>6</v>
      </c>
      <c r="E34" s="206">
        <v>3</v>
      </c>
      <c r="F34" s="208">
        <v>4</v>
      </c>
      <c r="G34" s="208"/>
      <c r="H34" s="178">
        <v>3.2584742024686593</v>
      </c>
      <c r="I34" s="178">
        <v>1.2700004010324273</v>
      </c>
      <c r="J34" s="178">
        <v>-1.3109426256912402</v>
      </c>
      <c r="K34" s="178">
        <v>1.3970609112183168</v>
      </c>
      <c r="L34" s="178">
        <v>0.23495151419156121</v>
      </c>
      <c r="M34" s="178">
        <v>2.3070957110968155</v>
      </c>
      <c r="N34" s="178">
        <v>-0.72496760993791909</v>
      </c>
      <c r="O34" s="178">
        <v>-0.12551625119839582</v>
      </c>
      <c r="P34" s="178">
        <v>-2.0443681214883664</v>
      </c>
      <c r="Q34" s="209">
        <f>SUMXMY2(Таблица17[[#This Row],[X1]:[X9]],Таблица17[[#Totals],[X1]:[X9]])</f>
        <v>25.999571119398791</v>
      </c>
      <c r="R34" s="214">
        <v>4</v>
      </c>
      <c r="S34" s="226">
        <v>4</v>
      </c>
      <c r="T34" s="226">
        <v>4</v>
      </c>
      <c r="U34" s="227">
        <v>4</v>
      </c>
      <c r="V34" s="226">
        <v>4</v>
      </c>
      <c r="W34" s="226">
        <v>4</v>
      </c>
      <c r="X34" s="227">
        <v>4</v>
      </c>
      <c r="Y34" s="227">
        <v>4</v>
      </c>
      <c r="Z34" s="227">
        <v>4</v>
      </c>
    </row>
    <row r="35" spans="1:26" ht="13.8">
      <c r="A35">
        <v>33</v>
      </c>
      <c r="B35" s="205" t="s">
        <v>307</v>
      </c>
      <c r="C35" s="206">
        <v>4</v>
      </c>
      <c r="D35" s="207">
        <v>5</v>
      </c>
      <c r="E35" s="206">
        <v>4</v>
      </c>
      <c r="F35" s="208">
        <v>2</v>
      </c>
      <c r="G35" s="208">
        <v>2</v>
      </c>
      <c r="H35" s="178">
        <v>-0.38511878603521527</v>
      </c>
      <c r="I35" s="178">
        <v>-3.0388271446824808E-2</v>
      </c>
      <c r="J35" s="178">
        <v>-1.4342410363683462</v>
      </c>
      <c r="K35" s="178">
        <v>-9.8065218550990998E-2</v>
      </c>
      <c r="L35" s="178">
        <v>0.19052464614097045</v>
      </c>
      <c r="M35" s="178">
        <v>-0.20422551026386598</v>
      </c>
      <c r="N35" s="178">
        <v>-0.48980132932459847</v>
      </c>
      <c r="O35" s="178">
        <v>0.93259924277516926</v>
      </c>
      <c r="P35" s="178">
        <v>1.5328948823562751</v>
      </c>
      <c r="Q35" s="209">
        <f>SUMXMY2(Таблица17[[#This Row],[X1]:[X9]],Таблица17[[#Totals],[X1]:[X9]])</f>
        <v>5.7533251739078661</v>
      </c>
      <c r="R35" s="214">
        <v>2</v>
      </c>
      <c r="S35" s="226">
        <v>2</v>
      </c>
      <c r="T35" s="226">
        <v>2</v>
      </c>
      <c r="U35" s="227">
        <v>2</v>
      </c>
      <c r="V35" s="226">
        <v>2</v>
      </c>
      <c r="W35" s="226">
        <v>2</v>
      </c>
      <c r="X35" s="227">
        <v>2</v>
      </c>
      <c r="Y35" s="227">
        <v>2</v>
      </c>
      <c r="Z35" s="227">
        <v>2</v>
      </c>
    </row>
    <row r="36" spans="1:26" ht="13.8">
      <c r="A36">
        <v>34</v>
      </c>
      <c r="B36" s="205" t="s">
        <v>332</v>
      </c>
      <c r="C36" s="206">
        <v>4</v>
      </c>
      <c r="D36" s="207">
        <v>5</v>
      </c>
      <c r="E36" s="206">
        <v>4</v>
      </c>
      <c r="F36" s="208">
        <v>2</v>
      </c>
      <c r="G36" s="208"/>
      <c r="H36" s="178">
        <v>-0.42259693359431116</v>
      </c>
      <c r="I36" s="178">
        <v>-0.36752607542292731</v>
      </c>
      <c r="J36" s="178">
        <v>-0.98214686388562433</v>
      </c>
      <c r="K36" s="178">
        <v>0.40189734076677108</v>
      </c>
      <c r="L36" s="178">
        <v>0.64708160929917025</v>
      </c>
      <c r="M36" s="178">
        <v>-0.26919097435727057</v>
      </c>
      <c r="N36" s="178">
        <v>-4.6317517770426073E-2</v>
      </c>
      <c r="O36" s="178">
        <v>2.5643105083542034E-2</v>
      </c>
      <c r="P36" s="178">
        <v>1.1394874420357646</v>
      </c>
      <c r="Q36" s="209">
        <f>SUMXMY2(Таблица17[[#This Row],[X1]:[X9]],Таблица17[[#Totals],[X1]:[X9]])</f>
        <v>3.2322104207714344</v>
      </c>
      <c r="R36" s="214">
        <v>2</v>
      </c>
      <c r="S36" s="226">
        <v>2</v>
      </c>
      <c r="T36" s="226">
        <v>2</v>
      </c>
      <c r="U36" s="227">
        <v>2</v>
      </c>
      <c r="V36" s="226">
        <v>2</v>
      </c>
      <c r="W36" s="226">
        <v>2</v>
      </c>
      <c r="X36" s="227">
        <v>2</v>
      </c>
      <c r="Y36" s="227">
        <v>2</v>
      </c>
      <c r="Z36" s="227">
        <v>2</v>
      </c>
    </row>
    <row r="37" spans="1:26" ht="13.8">
      <c r="A37">
        <v>35</v>
      </c>
      <c r="B37" s="205" t="s">
        <v>306</v>
      </c>
      <c r="C37" s="206">
        <v>5</v>
      </c>
      <c r="D37" s="207">
        <v>5</v>
      </c>
      <c r="E37" s="206">
        <v>5</v>
      </c>
      <c r="F37" s="208">
        <v>3</v>
      </c>
      <c r="G37" s="208"/>
      <c r="H37" s="178">
        <v>-4.4175140556113766E-3</v>
      </c>
      <c r="I37" s="178">
        <v>-0.12671335829713987</v>
      </c>
      <c r="J37" s="178">
        <v>0.18233812584259815</v>
      </c>
      <c r="K37" s="178">
        <v>-0.57898158513283804</v>
      </c>
      <c r="L37" s="178">
        <v>0.80966504131409844</v>
      </c>
      <c r="M37" s="178">
        <v>-0.16615980864663657</v>
      </c>
      <c r="N37" s="178">
        <v>-0.45863760202619719</v>
      </c>
      <c r="O37" s="178">
        <v>-0.46562480283275604</v>
      </c>
      <c r="P37" s="178">
        <v>-0.1596720120459213</v>
      </c>
      <c r="Q37" s="209">
        <f>SUMXMY2(Таблица17[[#This Row],[X1]:[X9]],Таблица17[[#Totals],[X1]:[X9]])</f>
        <v>1.520359277231919</v>
      </c>
      <c r="R37" s="214">
        <v>3</v>
      </c>
      <c r="S37" s="226">
        <v>3</v>
      </c>
      <c r="T37" s="226">
        <v>3</v>
      </c>
      <c r="U37" s="227">
        <v>2</v>
      </c>
      <c r="V37" s="226">
        <v>3</v>
      </c>
      <c r="W37" s="226">
        <v>3</v>
      </c>
      <c r="X37" s="227">
        <v>3</v>
      </c>
      <c r="Y37" s="227">
        <v>3</v>
      </c>
      <c r="Z37" s="227">
        <v>3</v>
      </c>
    </row>
    <row r="38" spans="1:26" ht="13.8">
      <c r="A38">
        <v>36</v>
      </c>
      <c r="B38" s="205" t="s">
        <v>271</v>
      </c>
      <c r="C38" s="206">
        <v>4</v>
      </c>
      <c r="D38" s="207">
        <v>5</v>
      </c>
      <c r="E38" s="206">
        <v>4</v>
      </c>
      <c r="F38" s="208">
        <v>2</v>
      </c>
      <c r="G38" s="208"/>
      <c r="H38" s="178">
        <v>0.16729826992204833</v>
      </c>
      <c r="I38" s="178">
        <v>-0.60833879254871481</v>
      </c>
      <c r="J38" s="178">
        <v>-0.66705092548857581</v>
      </c>
      <c r="K38" s="178">
        <v>-0.7694435124919855</v>
      </c>
      <c r="L38" s="178">
        <v>0.62250504399458761</v>
      </c>
      <c r="M38" s="178">
        <v>0.21652737827857621</v>
      </c>
      <c r="N38" s="178">
        <v>-0.64082554623223553</v>
      </c>
      <c r="O38" s="178">
        <v>-8.7726412127911366E-2</v>
      </c>
      <c r="P38" s="178">
        <v>1.5938882839563544</v>
      </c>
      <c r="Q38" s="209">
        <f>SUMXMY2(Таблица17[[#This Row],[X1]:[X9]],Таблица17[[#Totals],[X1]:[X9]])</f>
        <v>4.828294854914617</v>
      </c>
      <c r="R38" s="214">
        <v>2</v>
      </c>
      <c r="S38" s="226">
        <v>2</v>
      </c>
      <c r="T38" s="226">
        <v>2</v>
      </c>
      <c r="U38" s="227">
        <v>2</v>
      </c>
      <c r="V38" s="226">
        <v>2</v>
      </c>
      <c r="W38" s="226">
        <v>2</v>
      </c>
      <c r="X38" s="227">
        <v>3</v>
      </c>
      <c r="Y38" s="227">
        <v>3</v>
      </c>
      <c r="Z38" s="227">
        <v>3</v>
      </c>
    </row>
    <row r="39" spans="1:26" ht="13.8">
      <c r="A39">
        <v>37</v>
      </c>
      <c r="B39" s="205" t="s">
        <v>308</v>
      </c>
      <c r="C39" s="206">
        <v>5</v>
      </c>
      <c r="D39" s="207">
        <v>5</v>
      </c>
      <c r="E39" s="206">
        <v>7</v>
      </c>
      <c r="F39" s="208">
        <v>3</v>
      </c>
      <c r="G39" s="208"/>
      <c r="H39" s="178">
        <v>-0.55387467181855266</v>
      </c>
      <c r="I39" s="178">
        <v>-0.51201370569839966</v>
      </c>
      <c r="J39" s="178">
        <v>0.71663123877672352</v>
      </c>
      <c r="K39" s="178">
        <v>0.35904340711096261</v>
      </c>
      <c r="L39" s="178">
        <v>-0.27359433711094749</v>
      </c>
      <c r="M39" s="178">
        <v>0.46420821013468255</v>
      </c>
      <c r="N39" s="178">
        <v>-0.33398269283259197</v>
      </c>
      <c r="O39" s="178">
        <v>0.29017197857693328</v>
      </c>
      <c r="P39" s="178">
        <v>-0.83059942964679179</v>
      </c>
      <c r="Q39" s="209">
        <f>SUMXMY2(Таблица17[[#This Row],[X1]:[X9]],Таблица17[[#Totals],[X1]:[X9]])</f>
        <v>2.3873904399337906</v>
      </c>
      <c r="R39" s="214">
        <v>3</v>
      </c>
      <c r="S39" s="226">
        <v>3</v>
      </c>
      <c r="T39" s="226">
        <v>3</v>
      </c>
      <c r="U39" s="227">
        <v>3</v>
      </c>
      <c r="V39" s="226">
        <v>3</v>
      </c>
      <c r="W39" s="226">
        <v>3</v>
      </c>
      <c r="X39" s="227">
        <v>3</v>
      </c>
      <c r="Y39" s="227">
        <v>3</v>
      </c>
      <c r="Z39" s="227">
        <v>3</v>
      </c>
    </row>
    <row r="40" spans="1:26" ht="13.8">
      <c r="A40">
        <v>38</v>
      </c>
      <c r="B40" s="205" t="s">
        <v>309</v>
      </c>
      <c r="C40" s="206">
        <v>4</v>
      </c>
      <c r="D40" s="207">
        <v>5</v>
      </c>
      <c r="E40" s="206">
        <v>4</v>
      </c>
      <c r="F40" s="208">
        <v>3</v>
      </c>
      <c r="G40" s="208"/>
      <c r="H40" s="178">
        <v>-0.26313762946356384</v>
      </c>
      <c r="I40" s="178">
        <v>-0.17487590172229742</v>
      </c>
      <c r="J40" s="178">
        <v>8.6439361982626972E-2</v>
      </c>
      <c r="K40" s="178">
        <v>-0.35042727230186127</v>
      </c>
      <c r="L40" s="178">
        <v>-0.37946261842299361</v>
      </c>
      <c r="M40" s="178">
        <v>1.5381685384287815</v>
      </c>
      <c r="N40" s="178">
        <v>0.25093649646047866</v>
      </c>
      <c r="O40" s="178">
        <v>-4.9936573057426895E-2</v>
      </c>
      <c r="P40" s="178">
        <v>-0.17187069236593686</v>
      </c>
      <c r="Q40" s="209">
        <f>SUMXMY2(Таблица17[[#This Row],[X1]:[X9]],Таблица17[[#Totals],[X1]:[X9]])</f>
        <v>2.8350506823872705</v>
      </c>
      <c r="R40" s="214">
        <v>3</v>
      </c>
      <c r="S40" s="226">
        <v>3</v>
      </c>
      <c r="T40" s="226">
        <v>3</v>
      </c>
      <c r="U40" s="227">
        <v>3</v>
      </c>
      <c r="V40" s="226">
        <v>3</v>
      </c>
      <c r="W40" s="226">
        <v>3</v>
      </c>
      <c r="X40" s="227">
        <v>3</v>
      </c>
      <c r="Y40" s="227">
        <v>3</v>
      </c>
      <c r="Z40" s="227">
        <v>3</v>
      </c>
    </row>
    <row r="41" spans="1:26" ht="13.8">
      <c r="A41">
        <v>39</v>
      </c>
      <c r="B41" s="205" t="s">
        <v>344</v>
      </c>
      <c r="C41" s="206">
        <v>5</v>
      </c>
      <c r="D41" s="207">
        <v>5</v>
      </c>
      <c r="E41" s="206">
        <v>4</v>
      </c>
      <c r="F41" s="208">
        <v>2</v>
      </c>
      <c r="G41" s="208"/>
      <c r="H41" s="178">
        <v>-0.31962582739746254</v>
      </c>
      <c r="I41" s="178">
        <v>-0.46385116227324219</v>
      </c>
      <c r="J41" s="178">
        <v>-0.31085551686582569</v>
      </c>
      <c r="K41" s="178">
        <v>0.12572754609600739</v>
      </c>
      <c r="L41" s="178">
        <v>-0.79442847106574688</v>
      </c>
      <c r="M41" s="178">
        <v>-0.38643333533833729</v>
      </c>
      <c r="N41" s="178">
        <v>0.29408627271980353</v>
      </c>
      <c r="O41" s="178">
        <v>0.74365004742274687</v>
      </c>
      <c r="P41" s="178">
        <v>0.52345408587496522</v>
      </c>
      <c r="Q41" s="209">
        <f>SUMXMY2(Таблица17[[#This Row],[X1]:[X9]],Таблица17[[#Totals],[X1]:[X9]])</f>
        <v>2.1237107656488412</v>
      </c>
      <c r="R41" s="214">
        <v>2</v>
      </c>
      <c r="S41" s="226">
        <v>2</v>
      </c>
      <c r="T41" s="226">
        <v>2</v>
      </c>
      <c r="U41" s="227">
        <v>3</v>
      </c>
      <c r="V41" s="226">
        <v>2</v>
      </c>
      <c r="W41" s="226">
        <v>2</v>
      </c>
      <c r="X41" s="227">
        <v>2</v>
      </c>
      <c r="Y41" s="227">
        <v>2</v>
      </c>
      <c r="Z41" s="227">
        <v>2</v>
      </c>
    </row>
    <row r="42" spans="1:26" ht="13.8">
      <c r="A42">
        <v>40</v>
      </c>
      <c r="B42" s="205" t="s">
        <v>311</v>
      </c>
      <c r="C42" s="206">
        <v>5</v>
      </c>
      <c r="D42" s="207">
        <v>5</v>
      </c>
      <c r="E42" s="206">
        <v>5</v>
      </c>
      <c r="F42" s="208">
        <v>3</v>
      </c>
      <c r="G42" s="208">
        <v>3</v>
      </c>
      <c r="H42" s="178">
        <v>-0.18355388787255814</v>
      </c>
      <c r="I42" s="178">
        <v>-0.41568861884808483</v>
      </c>
      <c r="J42" s="178">
        <v>-0.58485198503717195</v>
      </c>
      <c r="K42" s="178">
        <v>0.39713579258279269</v>
      </c>
      <c r="L42" s="178">
        <v>-6.4693532021998762E-2</v>
      </c>
      <c r="M42" s="178">
        <v>0.39772011797658841</v>
      </c>
      <c r="N42" s="178">
        <v>-0.37713246909191683</v>
      </c>
      <c r="O42" s="178">
        <v>-0.46562480283275604</v>
      </c>
      <c r="P42" s="178">
        <v>-0.55917879252643954</v>
      </c>
      <c r="Q42" s="209">
        <f>SUMXMY2(Таблица17[[#This Row],[X1]:[X9]],Таблица17[[#Totals],[X1]:[X9]])</f>
        <v>1.5403405633417715</v>
      </c>
      <c r="R42" s="214">
        <v>3</v>
      </c>
      <c r="S42" s="226">
        <v>3</v>
      </c>
      <c r="T42" s="226">
        <v>3</v>
      </c>
      <c r="U42" s="227">
        <v>3</v>
      </c>
      <c r="V42" s="226">
        <v>3</v>
      </c>
      <c r="W42" s="226">
        <v>3</v>
      </c>
      <c r="X42" s="227">
        <v>3</v>
      </c>
      <c r="Y42" s="227">
        <v>3</v>
      </c>
      <c r="Z42" s="227">
        <v>3</v>
      </c>
    </row>
    <row r="43" spans="1:26" ht="13.8">
      <c r="A43">
        <v>41</v>
      </c>
      <c r="B43" s="210" t="s">
        <v>312</v>
      </c>
      <c r="C43" s="206">
        <v>4</v>
      </c>
      <c r="D43" s="207">
        <v>5</v>
      </c>
      <c r="E43" s="206">
        <v>4</v>
      </c>
      <c r="F43" s="208">
        <v>2</v>
      </c>
      <c r="G43" s="208"/>
      <c r="H43" s="178">
        <v>0.18559961227849228</v>
      </c>
      <c r="I43" s="178">
        <v>-0.51201370569839966</v>
      </c>
      <c r="J43" s="178">
        <v>-1.7219373279482599</v>
      </c>
      <c r="K43" s="178">
        <v>-0.70754338610026268</v>
      </c>
      <c r="L43" s="178">
        <v>0.30395494754673402</v>
      </c>
      <c r="M43" s="178">
        <v>0.22820086010786025</v>
      </c>
      <c r="N43" s="178">
        <v>-0.50418458807770672</v>
      </c>
      <c r="O43" s="178">
        <v>-0.50341464190324048</v>
      </c>
      <c r="P43" s="178">
        <v>0.81012307339533696</v>
      </c>
      <c r="Q43" s="209">
        <f>SUMXMY2(Таблица17[[#This Row],[X1]:[X9]],Таблица17[[#Totals],[X1]:[X9]])</f>
        <v>5.0706830927740167</v>
      </c>
      <c r="R43" s="214">
        <v>2</v>
      </c>
      <c r="S43" s="226">
        <v>2</v>
      </c>
      <c r="T43" s="226">
        <v>2</v>
      </c>
      <c r="U43" s="227">
        <v>2</v>
      </c>
      <c r="V43" s="226">
        <v>2</v>
      </c>
      <c r="W43" s="226">
        <v>2</v>
      </c>
      <c r="X43" s="227">
        <v>2</v>
      </c>
      <c r="Y43" s="227">
        <v>2</v>
      </c>
      <c r="Z43" s="227">
        <v>2</v>
      </c>
    </row>
    <row r="44" spans="1:26" ht="13.8">
      <c r="A44">
        <v>42</v>
      </c>
      <c r="B44" s="205" t="s">
        <v>317</v>
      </c>
      <c r="C44" s="206">
        <v>5</v>
      </c>
      <c r="D44" s="207">
        <v>5</v>
      </c>
      <c r="E44" s="206">
        <v>4</v>
      </c>
      <c r="F44" s="208">
        <v>2</v>
      </c>
      <c r="G44" s="208"/>
      <c r="H44" s="178">
        <v>-0.48483817308900551</v>
      </c>
      <c r="I44" s="178">
        <v>0.98102514048148248</v>
      </c>
      <c r="J44" s="178">
        <v>-0.95474721706848986</v>
      </c>
      <c r="K44" s="178">
        <v>-7.5958030553956862E-3</v>
      </c>
      <c r="L44" s="178">
        <v>-0.61483049383995403</v>
      </c>
      <c r="M44" s="178">
        <v>-0.61228983160056505</v>
      </c>
      <c r="N44" s="178">
        <v>-0.66479764415408271</v>
      </c>
      <c r="O44" s="178">
        <v>1.083758599057107</v>
      </c>
      <c r="P44" s="178">
        <v>0.29472882987466847</v>
      </c>
      <c r="Q44" s="209">
        <f>SUMXMY2(Таблица17[[#This Row],[X1]:[X9]],Таблица17[[#Totals],[X1]:[X9]])</f>
        <v>4.5653473909643401</v>
      </c>
      <c r="R44" s="214">
        <v>2</v>
      </c>
      <c r="S44" s="226">
        <v>2</v>
      </c>
      <c r="T44" s="226">
        <v>2</v>
      </c>
      <c r="U44" s="227">
        <v>2</v>
      </c>
      <c r="V44" s="226">
        <v>2</v>
      </c>
      <c r="W44" s="226">
        <v>2</v>
      </c>
      <c r="X44" s="227">
        <v>2</v>
      </c>
      <c r="Y44" s="227">
        <v>2</v>
      </c>
      <c r="Z44" s="227">
        <v>2</v>
      </c>
    </row>
    <row r="45" spans="1:26" ht="13.8">
      <c r="A45">
        <v>43</v>
      </c>
      <c r="B45" s="205" t="s">
        <v>275</v>
      </c>
      <c r="C45" s="206">
        <v>5</v>
      </c>
      <c r="D45" s="207">
        <v>5</v>
      </c>
      <c r="E45" s="206">
        <v>7</v>
      </c>
      <c r="F45" s="208">
        <v>1</v>
      </c>
      <c r="G45" s="208"/>
      <c r="H45" s="178">
        <v>-0.37999107507885399</v>
      </c>
      <c r="I45" s="178">
        <v>-0.51201370569839966</v>
      </c>
      <c r="J45" s="178">
        <v>0.71663123877672352</v>
      </c>
      <c r="K45" s="178">
        <v>0.45903591897451612</v>
      </c>
      <c r="L45" s="178">
        <v>-0.93810685284638151</v>
      </c>
      <c r="M45" s="178">
        <v>-1.9479971748246068E-2</v>
      </c>
      <c r="N45" s="178">
        <v>6.3954132670070843E-2</v>
      </c>
      <c r="O45" s="178">
        <v>0.78143988649323137</v>
      </c>
      <c r="P45" s="178">
        <v>-1.3978380645275277</v>
      </c>
      <c r="Q45" s="209">
        <f>SUMXMY2(Таблица17[[#This Row],[X1]:[X9]],Таблица17[[#Totals],[X1]:[X9]])</f>
        <v>4.5799391778488872</v>
      </c>
      <c r="R45" s="214">
        <v>1</v>
      </c>
      <c r="S45" s="226">
        <v>1</v>
      </c>
      <c r="T45" s="226">
        <v>1</v>
      </c>
      <c r="U45" s="227">
        <v>3</v>
      </c>
      <c r="V45" s="226">
        <v>1</v>
      </c>
      <c r="W45" s="226">
        <v>1</v>
      </c>
      <c r="X45" s="227">
        <v>3</v>
      </c>
      <c r="Y45" s="227">
        <v>1</v>
      </c>
      <c r="Z45" s="227">
        <v>3</v>
      </c>
    </row>
    <row r="46" spans="1:26" ht="13.8">
      <c r="A46">
        <v>44</v>
      </c>
      <c r="B46" s="205" t="s">
        <v>304</v>
      </c>
      <c r="C46" s="206">
        <v>4</v>
      </c>
      <c r="D46" s="207">
        <v>5</v>
      </c>
      <c r="E46" s="206">
        <v>4</v>
      </c>
      <c r="F46" s="208">
        <v>2</v>
      </c>
      <c r="G46" s="208"/>
      <c r="H46" s="178">
        <v>2.3305476074309404E-2</v>
      </c>
      <c r="I46" s="178">
        <v>-0.84915150967450226</v>
      </c>
      <c r="J46" s="178">
        <v>3.1640068348357392E-2</v>
      </c>
      <c r="K46" s="178">
        <v>-0.69325874154832678</v>
      </c>
      <c r="L46" s="178">
        <v>2.4193963097450047E-3</v>
      </c>
      <c r="M46" s="178">
        <v>0.86009150695386827</v>
      </c>
      <c r="N46" s="178">
        <v>2.5598775995115394E-2</v>
      </c>
      <c r="O46" s="178">
        <v>0.17680246136547989</v>
      </c>
      <c r="P46" s="178">
        <v>1.5694909233163223</v>
      </c>
      <c r="Q46" s="209">
        <f>SUMXMY2(Таблица17[[#This Row],[X1]:[X9]],Таблица17[[#Totals],[X1]:[X9]])</f>
        <v>4.4381896281181366</v>
      </c>
      <c r="R46" s="214">
        <v>3</v>
      </c>
      <c r="S46" s="226">
        <v>3</v>
      </c>
      <c r="T46" s="226">
        <v>3</v>
      </c>
      <c r="U46" s="227">
        <v>3</v>
      </c>
      <c r="V46" s="226">
        <v>3</v>
      </c>
      <c r="W46" s="226">
        <v>3</v>
      </c>
      <c r="X46" s="227">
        <v>3</v>
      </c>
      <c r="Y46" s="227">
        <v>3</v>
      </c>
      <c r="Z46" s="227">
        <v>3</v>
      </c>
    </row>
    <row r="47" spans="1:26" ht="13.8">
      <c r="A47">
        <v>45</v>
      </c>
      <c r="B47" s="205" t="s">
        <v>316</v>
      </c>
      <c r="C47" s="206">
        <v>5</v>
      </c>
      <c r="D47" s="207">
        <v>5</v>
      </c>
      <c r="E47" s="206">
        <v>5</v>
      </c>
      <c r="F47" s="208">
        <v>3</v>
      </c>
      <c r="G47" s="208">
        <v>3</v>
      </c>
      <c r="H47" s="178">
        <v>-0.41771935487972361</v>
      </c>
      <c r="I47" s="178">
        <v>-0.65650133597387228</v>
      </c>
      <c r="J47" s="178">
        <v>-0.11905798914588288</v>
      </c>
      <c r="K47" s="178">
        <v>0.56378997902204664</v>
      </c>
      <c r="L47" s="178">
        <v>-0.56284160569564579</v>
      </c>
      <c r="M47" s="178">
        <v>0.91033823308861106</v>
      </c>
      <c r="N47" s="178">
        <v>4.9570873916962549E-2</v>
      </c>
      <c r="O47" s="178">
        <v>-1.2146733986942432E-2</v>
      </c>
      <c r="P47" s="178">
        <v>-0.35790056724617852</v>
      </c>
      <c r="Q47" s="209">
        <f>SUMXMY2(Таблица17[[#This Row],[X1]:[X9]],Таблица17[[#Totals],[X1]:[X9]])</f>
        <v>2.2137214112492778</v>
      </c>
      <c r="R47" s="214">
        <v>3</v>
      </c>
      <c r="S47" s="226">
        <v>3</v>
      </c>
      <c r="T47" s="226">
        <v>3</v>
      </c>
      <c r="U47" s="227">
        <v>3</v>
      </c>
      <c r="V47" s="226">
        <v>3</v>
      </c>
      <c r="W47" s="226">
        <v>3</v>
      </c>
      <c r="X47" s="227">
        <v>3</v>
      </c>
      <c r="Y47" s="227">
        <v>3</v>
      </c>
      <c r="Z47" s="227">
        <v>3</v>
      </c>
    </row>
    <row r="48" spans="1:26" ht="13.8">
      <c r="A48">
        <v>46</v>
      </c>
      <c r="B48" s="205" t="s">
        <v>273</v>
      </c>
      <c r="C48" s="206">
        <v>5</v>
      </c>
      <c r="D48" s="207">
        <v>5</v>
      </c>
      <c r="E48" s="206">
        <v>4</v>
      </c>
      <c r="F48" s="208">
        <v>2</v>
      </c>
      <c r="G48" s="208"/>
      <c r="H48" s="178">
        <v>-0.56066993105340535</v>
      </c>
      <c r="I48" s="178">
        <v>0.35491207595443525</v>
      </c>
      <c r="J48" s="178">
        <v>-0.10535816573731585</v>
      </c>
      <c r="K48" s="178">
        <v>-0.22186547133443657</v>
      </c>
      <c r="L48" s="178">
        <v>1.0412519066842001</v>
      </c>
      <c r="M48" s="178">
        <v>-0.71582853999942886</v>
      </c>
      <c r="N48" s="178">
        <v>-0.52575947620736918</v>
      </c>
      <c r="O48" s="178">
        <v>0.89480940370468476</v>
      </c>
      <c r="P48" s="178">
        <v>-0.16272168212592508</v>
      </c>
      <c r="Q48" s="209">
        <f>SUMXMY2(Таблица17[[#This Row],[X1]:[X9]],Таблица17[[#Totals],[X1]:[X9]])</f>
        <v>3.2008392571689703</v>
      </c>
      <c r="R48" s="214">
        <v>2</v>
      </c>
      <c r="S48" s="226">
        <v>2</v>
      </c>
      <c r="T48" s="226">
        <v>2</v>
      </c>
      <c r="U48" s="227">
        <v>2</v>
      </c>
      <c r="V48" s="226">
        <v>2</v>
      </c>
      <c r="W48" s="226">
        <v>2</v>
      </c>
      <c r="X48" s="227">
        <v>2</v>
      </c>
      <c r="Y48" s="227">
        <v>2</v>
      </c>
      <c r="Z48" s="227">
        <v>2</v>
      </c>
    </row>
    <row r="49" spans="1:26" ht="13.8">
      <c r="A49">
        <v>47</v>
      </c>
      <c r="B49" s="205" t="s">
        <v>318</v>
      </c>
      <c r="C49" s="206">
        <v>2</v>
      </c>
      <c r="D49" s="207">
        <v>2</v>
      </c>
      <c r="E49" s="206">
        <v>1</v>
      </c>
      <c r="F49" s="208">
        <v>7</v>
      </c>
      <c r="G49" s="208">
        <v>7</v>
      </c>
      <c r="H49" s="178">
        <v>-0.431726760419052</v>
      </c>
      <c r="I49" s="178">
        <v>3.9671028328412472</v>
      </c>
      <c r="J49" s="178">
        <v>-0.20125692959728703</v>
      </c>
      <c r="K49" s="178">
        <v>1.5494304531056342</v>
      </c>
      <c r="L49" s="178">
        <v>-0.96457392317439317</v>
      </c>
      <c r="M49" s="178">
        <v>-0.24635155338693296</v>
      </c>
      <c r="N49" s="178">
        <v>0.41394676232903932</v>
      </c>
      <c r="O49" s="178">
        <v>-4.9936573057426895E-2</v>
      </c>
      <c r="P49" s="178">
        <v>-1.4771294866076305</v>
      </c>
      <c r="Q49" s="209">
        <f>SUMXMY2(Таблица17[[#This Row],[X1]:[X9]],Таблица17[[#Totals],[X1]:[X9]])</f>
        <v>21.712381007422362</v>
      </c>
      <c r="R49" s="214">
        <v>7</v>
      </c>
      <c r="S49" s="226">
        <v>7</v>
      </c>
      <c r="T49" s="226">
        <v>7</v>
      </c>
      <c r="U49" s="227">
        <v>7</v>
      </c>
      <c r="V49" s="226">
        <v>7</v>
      </c>
      <c r="W49" s="226">
        <v>7</v>
      </c>
      <c r="X49" s="227">
        <v>7</v>
      </c>
      <c r="Y49" s="227">
        <v>7</v>
      </c>
      <c r="Z49" s="227">
        <v>7</v>
      </c>
    </row>
    <row r="50" spans="1:26" ht="13.8">
      <c r="A50">
        <v>48</v>
      </c>
      <c r="B50" s="205" t="s">
        <v>322</v>
      </c>
      <c r="C50" s="206">
        <v>4</v>
      </c>
      <c r="D50" s="207">
        <v>5</v>
      </c>
      <c r="E50" s="206">
        <v>5</v>
      </c>
      <c r="F50" s="208">
        <v>2</v>
      </c>
      <c r="G50" s="208"/>
      <c r="H50" s="178">
        <v>0.25471948842196396</v>
      </c>
      <c r="I50" s="178">
        <v>0.49939970622990759</v>
      </c>
      <c r="J50" s="178">
        <v>-0.32455534027439276</v>
      </c>
      <c r="K50" s="178">
        <v>-1.2503598790738326</v>
      </c>
      <c r="L50" s="178">
        <v>0.32191474526931307</v>
      </c>
      <c r="M50" s="178">
        <v>1.5539023617639025</v>
      </c>
      <c r="N50" s="178">
        <v>-0.68876974207592989</v>
      </c>
      <c r="O50" s="178">
        <v>-8.7726412127911366E-2</v>
      </c>
      <c r="P50" s="178">
        <v>0.56005012683501276</v>
      </c>
      <c r="Q50" s="209">
        <f>SUMXMY2(Таблица17[[#This Row],[X1]:[X9]],Таблица17[[#Totals],[X1]:[X9]])</f>
        <v>5.2970155591319532</v>
      </c>
      <c r="R50" s="214">
        <v>4</v>
      </c>
      <c r="S50" s="226">
        <v>4</v>
      </c>
      <c r="T50" s="226">
        <v>4</v>
      </c>
      <c r="U50" s="227">
        <v>4</v>
      </c>
      <c r="V50" s="226">
        <v>4</v>
      </c>
      <c r="W50" s="226">
        <v>4</v>
      </c>
      <c r="X50" s="227">
        <v>4</v>
      </c>
      <c r="Y50" s="227">
        <v>4</v>
      </c>
      <c r="Z50" s="227">
        <v>4</v>
      </c>
    </row>
    <row r="51" spans="1:26" ht="13.8">
      <c r="A51">
        <v>49</v>
      </c>
      <c r="B51" s="205" t="s">
        <v>321</v>
      </c>
      <c r="C51" s="206">
        <v>4</v>
      </c>
      <c r="D51" s="207">
        <v>5</v>
      </c>
      <c r="E51" s="206">
        <v>5</v>
      </c>
      <c r="F51" s="208">
        <v>4</v>
      </c>
      <c r="G51" s="208"/>
      <c r="H51" s="178">
        <v>0.12615151615027118</v>
      </c>
      <c r="I51" s="178">
        <v>0.78837496678085239</v>
      </c>
      <c r="J51" s="178">
        <v>-1.3657419193255096</v>
      </c>
      <c r="K51" s="178">
        <v>-0.24567321225433</v>
      </c>
      <c r="L51" s="178">
        <v>0.90513554499728299</v>
      </c>
      <c r="M51" s="178">
        <v>3.363799587991104</v>
      </c>
      <c r="N51" s="178">
        <v>-0.61445623851820363</v>
      </c>
      <c r="O51" s="178">
        <v>-0.27667560748033371</v>
      </c>
      <c r="P51" s="178">
        <v>0.2733811393146407</v>
      </c>
      <c r="Q51" s="209">
        <f>SUMXMY2(Таблица17[[#This Row],[X1]:[X9]],Таблица17[[#Totals],[X1]:[X9]])</f>
        <v>15.22631674184418</v>
      </c>
      <c r="R51" s="214">
        <v>4</v>
      </c>
      <c r="S51" s="226">
        <v>4</v>
      </c>
      <c r="T51" s="226">
        <v>4</v>
      </c>
      <c r="U51" s="227">
        <v>4</v>
      </c>
      <c r="V51" s="226">
        <v>4</v>
      </c>
      <c r="W51" s="226">
        <v>4</v>
      </c>
      <c r="X51" s="227">
        <v>4</v>
      </c>
      <c r="Y51" s="227">
        <v>4</v>
      </c>
      <c r="Z51" s="227">
        <v>4</v>
      </c>
    </row>
    <row r="52" spans="1:26" ht="13.8">
      <c r="A52">
        <v>50</v>
      </c>
      <c r="B52" s="205" t="s">
        <v>292</v>
      </c>
      <c r="C52" s="206">
        <v>5</v>
      </c>
      <c r="D52" s="207">
        <v>5</v>
      </c>
      <c r="E52" s="206">
        <v>4</v>
      </c>
      <c r="F52" s="208">
        <v>2</v>
      </c>
      <c r="G52" s="208"/>
      <c r="H52" s="178">
        <v>-0.2657223292952256</v>
      </c>
      <c r="I52" s="178">
        <v>-0.27120098857261227</v>
      </c>
      <c r="J52" s="178">
        <v>-0.11905798914588288</v>
      </c>
      <c r="K52" s="178">
        <v>-1.1360827226583445</v>
      </c>
      <c r="L52" s="178">
        <v>-0.9759169533149693</v>
      </c>
      <c r="M52" s="178">
        <v>-0.11236028369428558</v>
      </c>
      <c r="N52" s="178">
        <v>-0.39631014742939458</v>
      </c>
      <c r="O52" s="178">
        <v>1.9529248976782498</v>
      </c>
      <c r="P52" s="178">
        <v>1.2157291940358637</v>
      </c>
      <c r="Q52" s="209">
        <f>SUMXMY2(Таблица17[[#This Row],[X1]:[X9]],Таблица17[[#Totals],[X1]:[X9]])</f>
        <v>7.8630306852687326</v>
      </c>
      <c r="R52" s="214">
        <v>1</v>
      </c>
      <c r="S52" s="226">
        <v>1</v>
      </c>
      <c r="T52" s="226">
        <v>1</v>
      </c>
      <c r="U52" s="227">
        <v>3</v>
      </c>
      <c r="V52" s="226">
        <v>1</v>
      </c>
      <c r="W52" s="226">
        <v>1</v>
      </c>
      <c r="X52" s="227">
        <v>2</v>
      </c>
      <c r="Y52" s="227">
        <v>2</v>
      </c>
      <c r="Z52" s="227">
        <v>2</v>
      </c>
    </row>
    <row r="53" spans="1:26" ht="13.8">
      <c r="A53">
        <v>51</v>
      </c>
      <c r="B53" s="205" t="s">
        <v>296</v>
      </c>
      <c r="C53" s="206">
        <v>5</v>
      </c>
      <c r="D53" s="207">
        <v>5</v>
      </c>
      <c r="E53" s="206">
        <v>7</v>
      </c>
      <c r="F53" s="208">
        <v>1</v>
      </c>
      <c r="G53" s="208"/>
      <c r="H53" s="178">
        <v>-0.26359620524014898</v>
      </c>
      <c r="I53" s="178">
        <v>-0.60833879254871481</v>
      </c>
      <c r="J53" s="178">
        <v>2.3195105775791007</v>
      </c>
      <c r="K53" s="178">
        <v>6.3827419704284613E-2</v>
      </c>
      <c r="L53" s="178">
        <v>0.302064442523305</v>
      </c>
      <c r="M53" s="178">
        <v>-1.2568690456523162</v>
      </c>
      <c r="N53" s="178">
        <v>0.19100625165586077</v>
      </c>
      <c r="O53" s="178">
        <v>0.59249069114080899</v>
      </c>
      <c r="P53" s="178">
        <v>-9.5628940365837939E-2</v>
      </c>
      <c r="Q53" s="209">
        <f>SUMXMY2(Таблица17[[#This Row],[X1]:[X9]],Таблица17[[#Totals],[X1]:[X9]])</f>
        <v>7.8913985317955868</v>
      </c>
      <c r="R53" s="214">
        <v>1</v>
      </c>
      <c r="S53" s="226">
        <v>1</v>
      </c>
      <c r="T53" s="226">
        <v>1</v>
      </c>
      <c r="U53" s="227">
        <v>1</v>
      </c>
      <c r="V53" s="226">
        <v>1</v>
      </c>
      <c r="W53" s="226">
        <v>1</v>
      </c>
      <c r="X53" s="227">
        <v>1</v>
      </c>
      <c r="Y53" s="227">
        <v>1</v>
      </c>
      <c r="Z53" s="227">
        <v>1</v>
      </c>
    </row>
    <row r="54" spans="1:26" ht="13.8">
      <c r="A54">
        <v>52</v>
      </c>
      <c r="B54" s="205" t="s">
        <v>324</v>
      </c>
      <c r="C54" s="206">
        <v>4</v>
      </c>
      <c r="D54" s="207">
        <v>5</v>
      </c>
      <c r="E54" s="206">
        <v>5</v>
      </c>
      <c r="F54" s="208">
        <v>3</v>
      </c>
      <c r="G54" s="208"/>
      <c r="H54" s="178">
        <v>-0.79329291590296624</v>
      </c>
      <c r="I54" s="178">
        <v>-0.12671335829713987</v>
      </c>
      <c r="J54" s="178">
        <v>0.82622982604526229</v>
      </c>
      <c r="K54" s="178">
        <v>5.9065871520306193E-2</v>
      </c>
      <c r="L54" s="178">
        <v>-1.2642189693879524</v>
      </c>
      <c r="M54" s="178">
        <v>0.65250654746791081</v>
      </c>
      <c r="N54" s="178">
        <v>-0.18775289550932431</v>
      </c>
      <c r="O54" s="178">
        <v>-0.61678415911469386</v>
      </c>
      <c r="P54" s="178">
        <v>-5.2933559245782809E-2</v>
      </c>
      <c r="Q54" s="209">
        <f>SUMXMY2(Таблица17[[#This Row],[X1]:[X9]],Таблица17[[#Totals],[X1]:[X9]])</f>
        <v>3.774004635668216</v>
      </c>
      <c r="R54" s="214">
        <v>3</v>
      </c>
      <c r="S54" s="226">
        <v>3</v>
      </c>
      <c r="T54" s="226">
        <v>3</v>
      </c>
      <c r="U54" s="227">
        <v>3</v>
      </c>
      <c r="V54" s="226">
        <v>3</v>
      </c>
      <c r="W54" s="226">
        <v>3</v>
      </c>
      <c r="X54" s="227">
        <v>3</v>
      </c>
      <c r="Y54" s="227">
        <v>3</v>
      </c>
      <c r="Z54" s="227">
        <v>3</v>
      </c>
    </row>
    <row r="55" spans="1:26" ht="13.8">
      <c r="A55">
        <v>53</v>
      </c>
      <c r="B55" s="205" t="s">
        <v>300</v>
      </c>
      <c r="C55" s="206">
        <v>5</v>
      </c>
      <c r="D55" s="207">
        <v>3</v>
      </c>
      <c r="E55" s="206">
        <v>7</v>
      </c>
      <c r="F55" s="208">
        <v>1</v>
      </c>
      <c r="G55" s="208"/>
      <c r="H55" s="178">
        <v>0.61816163571918104</v>
      </c>
      <c r="I55" s="178">
        <v>-0.51201370569839966</v>
      </c>
      <c r="J55" s="178">
        <v>1.6893187007850037</v>
      </c>
      <c r="K55" s="178">
        <v>1.5446689049216558</v>
      </c>
      <c r="L55" s="178">
        <v>-0.53164827280906024</v>
      </c>
      <c r="M55" s="178">
        <v>-0.72141150956995603</v>
      </c>
      <c r="N55" s="178">
        <v>1.3057088050217536</v>
      </c>
      <c r="O55" s="178">
        <v>0.25238213950644883</v>
      </c>
      <c r="P55" s="178">
        <v>-1.6662090315678759</v>
      </c>
      <c r="Q55" s="209">
        <f>SUMXMY2(Таблица17[[#This Row],[X1]:[X9]],Таблица17[[#Totals],[X1]:[X9]])</f>
        <v>11.231990758204232</v>
      </c>
      <c r="R55" s="214">
        <v>1</v>
      </c>
      <c r="S55" s="226">
        <v>1</v>
      </c>
      <c r="T55" s="226">
        <v>1</v>
      </c>
      <c r="U55" s="227">
        <v>1</v>
      </c>
      <c r="V55" s="226">
        <v>1</v>
      </c>
      <c r="W55" s="226">
        <v>1</v>
      </c>
      <c r="X55" s="227">
        <v>1</v>
      </c>
      <c r="Y55" s="227">
        <v>1</v>
      </c>
      <c r="Z55" s="227">
        <v>1</v>
      </c>
    </row>
    <row r="56" spans="1:26" ht="13.8">
      <c r="A56">
        <v>54</v>
      </c>
      <c r="B56" s="205" t="s">
        <v>326</v>
      </c>
      <c r="C56" s="206">
        <v>4</v>
      </c>
      <c r="D56" s="207">
        <v>5</v>
      </c>
      <c r="E56" s="206">
        <v>5</v>
      </c>
      <c r="F56" s="208">
        <v>4</v>
      </c>
      <c r="G56" s="208">
        <v>4</v>
      </c>
      <c r="H56" s="178">
        <v>0.79162834538925686</v>
      </c>
      <c r="I56" s="178">
        <v>0.98102514048148248</v>
      </c>
      <c r="J56" s="178">
        <v>0.6481321217338869</v>
      </c>
      <c r="K56" s="178">
        <v>-0.36471191685379717</v>
      </c>
      <c r="L56" s="178">
        <v>0.94010988793072725</v>
      </c>
      <c r="M56" s="178">
        <v>1.3006385603372703</v>
      </c>
      <c r="N56" s="178">
        <v>-0.71969374839511269</v>
      </c>
      <c r="O56" s="178">
        <v>-0.99468254981953852</v>
      </c>
      <c r="P56" s="178">
        <v>-0.60797351380650311</v>
      </c>
      <c r="Q56" s="209">
        <f>SUMXMY2(Таблица17[[#This Row],[X1]:[X9]],Таблица17[[#Totals],[X1]:[X9]])</f>
        <v>6.5946273189049505</v>
      </c>
      <c r="R56" s="214">
        <v>4</v>
      </c>
      <c r="S56" s="226">
        <v>4</v>
      </c>
      <c r="T56" s="226">
        <v>4</v>
      </c>
      <c r="U56" s="227">
        <v>4</v>
      </c>
      <c r="V56" s="226">
        <v>4</v>
      </c>
      <c r="W56" s="226">
        <v>4</v>
      </c>
      <c r="X56" s="227">
        <v>4</v>
      </c>
      <c r="Y56" s="227">
        <v>4</v>
      </c>
      <c r="Z56" s="227">
        <v>4</v>
      </c>
    </row>
    <row r="57" spans="1:26" ht="13.8">
      <c r="A57">
        <v>55</v>
      </c>
      <c r="B57" s="205" t="s">
        <v>327</v>
      </c>
      <c r="C57" s="206">
        <v>1</v>
      </c>
      <c r="D57" s="207">
        <v>1</v>
      </c>
      <c r="E57" s="206">
        <v>6</v>
      </c>
      <c r="F57" s="208">
        <v>5</v>
      </c>
      <c r="G57" s="208"/>
      <c r="H57" s="178">
        <v>-0.61557395812273719</v>
      </c>
      <c r="I57" s="178">
        <v>3.1001770511884121</v>
      </c>
      <c r="J57" s="178">
        <v>1.4427218794307919</v>
      </c>
      <c r="K57" s="178">
        <v>-0.85038983161962334</v>
      </c>
      <c r="L57" s="178">
        <v>1.9959569435160465</v>
      </c>
      <c r="M57" s="178">
        <v>-1.0406558604664531</v>
      </c>
      <c r="N57" s="178">
        <v>0.98927711245337113</v>
      </c>
      <c r="O57" s="178">
        <v>4.7115831498236158</v>
      </c>
      <c r="P57" s="178">
        <v>0.8894144954754396</v>
      </c>
      <c r="Q57" s="209">
        <f>SUMXMY2(Таблица17[[#This Row],[X1]:[X9]],Таблица17[[#Totals],[X1]:[X9]])</f>
        <v>41.830190201725372</v>
      </c>
      <c r="R57" s="214">
        <v>7</v>
      </c>
      <c r="S57" s="226">
        <v>7</v>
      </c>
      <c r="T57" s="226">
        <v>7</v>
      </c>
      <c r="U57" s="227">
        <v>7</v>
      </c>
      <c r="V57" s="226">
        <v>7</v>
      </c>
      <c r="W57" s="226">
        <v>7</v>
      </c>
      <c r="X57" s="227">
        <v>7</v>
      </c>
      <c r="Y57" s="227">
        <v>7</v>
      </c>
      <c r="Z57" s="227">
        <v>7</v>
      </c>
    </row>
    <row r="58" spans="1:26" ht="13.8">
      <c r="A58">
        <v>56</v>
      </c>
      <c r="B58" s="205" t="s">
        <v>328</v>
      </c>
      <c r="C58" s="206">
        <v>5</v>
      </c>
      <c r="D58" s="207">
        <v>3</v>
      </c>
      <c r="E58" s="206">
        <v>7</v>
      </c>
      <c r="F58" s="208">
        <v>1</v>
      </c>
      <c r="G58" s="208"/>
      <c r="H58" s="178">
        <v>0.1034728595627871</v>
      </c>
      <c r="I58" s="178">
        <v>-0.7528264228241871</v>
      </c>
      <c r="J58" s="178">
        <v>0.37413565356254047</v>
      </c>
      <c r="K58" s="178">
        <v>1.8398848923283353</v>
      </c>
      <c r="L58" s="178">
        <v>-0.47871413215303749</v>
      </c>
      <c r="M58" s="178">
        <v>-7.3787039388826331E-2</v>
      </c>
      <c r="N58" s="178">
        <v>0.4115495525368546</v>
      </c>
      <c r="O58" s="178">
        <v>-1.7504793312292279</v>
      </c>
      <c r="P58" s="178">
        <v>-0.5195330814863881</v>
      </c>
      <c r="Q58" s="209">
        <f>SUMXMY2(Таблица17[[#This Row],[X1]:[X9]],Таблица17[[#Totals],[X1]:[X9]])</f>
        <v>7.8406854533706394</v>
      </c>
      <c r="R58" s="214">
        <v>3</v>
      </c>
      <c r="S58" s="226">
        <v>3</v>
      </c>
      <c r="T58" s="226">
        <v>3</v>
      </c>
      <c r="U58" s="227">
        <v>3</v>
      </c>
      <c r="V58" s="226">
        <v>3</v>
      </c>
      <c r="W58" s="226">
        <v>3</v>
      </c>
      <c r="X58" s="227">
        <v>3</v>
      </c>
      <c r="Y58" s="227">
        <v>3</v>
      </c>
      <c r="Z58" s="227">
        <v>3</v>
      </c>
    </row>
    <row r="59" spans="1:26" ht="13.8">
      <c r="A59">
        <v>57</v>
      </c>
      <c r="B59" s="205" t="s">
        <v>329</v>
      </c>
      <c r="C59" s="206">
        <v>4</v>
      </c>
      <c r="D59" s="207">
        <v>5</v>
      </c>
      <c r="E59" s="206">
        <v>4</v>
      </c>
      <c r="F59" s="208">
        <v>2</v>
      </c>
      <c r="G59" s="208"/>
      <c r="H59" s="178">
        <v>-0.87996373767756064</v>
      </c>
      <c r="I59" s="178">
        <v>1.4626505747330574</v>
      </c>
      <c r="J59" s="178">
        <v>-0.44785375095149893</v>
      </c>
      <c r="K59" s="178">
        <v>-1.2979753609136195</v>
      </c>
      <c r="L59" s="178">
        <v>8.7492122364067851E-2</v>
      </c>
      <c r="M59" s="178">
        <v>-0.93762469475581911</v>
      </c>
      <c r="N59" s="178">
        <v>-0.6767836931150063</v>
      </c>
      <c r="O59" s="178">
        <v>-1.0324723888900229</v>
      </c>
      <c r="P59" s="178">
        <v>1.5084975217162433</v>
      </c>
      <c r="Q59" s="209">
        <f>SUMXMY2(Таблица17[[#This Row],[X1]:[X9]],Таблица17[[#Totals],[X1]:[X9]])</f>
        <v>9.4853910169769833</v>
      </c>
      <c r="R59" s="214">
        <v>2</v>
      </c>
      <c r="S59" s="226">
        <v>2</v>
      </c>
      <c r="T59" s="226">
        <v>2</v>
      </c>
      <c r="U59" s="227">
        <v>2</v>
      </c>
      <c r="V59" s="226">
        <v>2</v>
      </c>
      <c r="W59" s="226">
        <v>2</v>
      </c>
      <c r="X59" s="227">
        <v>2</v>
      </c>
      <c r="Y59" s="227">
        <v>2</v>
      </c>
      <c r="Z59" s="227">
        <v>2</v>
      </c>
    </row>
    <row r="60" spans="1:26" ht="13.8">
      <c r="A60">
        <v>58</v>
      </c>
      <c r="B60" s="205" t="s">
        <v>330</v>
      </c>
      <c r="C60" s="206">
        <v>5</v>
      </c>
      <c r="D60" s="207">
        <v>3</v>
      </c>
      <c r="E60" s="206">
        <v>7</v>
      </c>
      <c r="F60" s="208">
        <v>3</v>
      </c>
      <c r="G60" s="208"/>
      <c r="H60" s="178">
        <v>-0.62712172995129067</v>
      </c>
      <c r="I60" s="178">
        <v>-0.7528264228241871</v>
      </c>
      <c r="J60" s="178">
        <v>-0.68075074889714338</v>
      </c>
      <c r="K60" s="178">
        <v>1.5494304531056342</v>
      </c>
      <c r="L60" s="178">
        <v>-0.9702454382446809</v>
      </c>
      <c r="M60" s="178">
        <v>0.20942178064336017</v>
      </c>
      <c r="N60" s="178">
        <v>-0.501787378285522</v>
      </c>
      <c r="O60" s="178">
        <v>-1.2970012623834142</v>
      </c>
      <c r="P60" s="178">
        <v>-5.2933559245782809E-2</v>
      </c>
      <c r="Q60" s="209">
        <f>SUMXMY2(Таблица17[[#This Row],[X1]:[X9]],Таблица17[[#Totals],[X1]:[X9]])</f>
        <v>6.7462241001822161</v>
      </c>
      <c r="R60" s="214">
        <v>3</v>
      </c>
      <c r="S60" s="226">
        <v>3</v>
      </c>
      <c r="T60" s="226">
        <v>3</v>
      </c>
      <c r="U60" s="227">
        <v>3</v>
      </c>
      <c r="V60" s="226">
        <v>3</v>
      </c>
      <c r="W60" s="226">
        <v>3</v>
      </c>
      <c r="X60" s="227">
        <v>3</v>
      </c>
      <c r="Y60" s="227">
        <v>3</v>
      </c>
      <c r="Z60" s="227">
        <v>3</v>
      </c>
    </row>
    <row r="61" spans="1:26" ht="13.8">
      <c r="A61">
        <v>59</v>
      </c>
      <c r="B61" s="205" t="s">
        <v>338</v>
      </c>
      <c r="C61" s="206">
        <v>5</v>
      </c>
      <c r="D61" s="207">
        <v>3</v>
      </c>
      <c r="E61" s="206">
        <v>7</v>
      </c>
      <c r="F61" s="208">
        <v>1</v>
      </c>
      <c r="G61" s="208"/>
      <c r="H61" s="178">
        <v>-0.41997054505568709</v>
      </c>
      <c r="I61" s="178">
        <v>-0.17487590172229742</v>
      </c>
      <c r="J61" s="178">
        <v>0.44263477060537709</v>
      </c>
      <c r="K61" s="178">
        <v>1.5637150976575709</v>
      </c>
      <c r="L61" s="178">
        <v>-0.30195191246238817</v>
      </c>
      <c r="M61" s="178">
        <v>-1.5187610727788545</v>
      </c>
      <c r="N61" s="178">
        <v>2.1782931693769902</v>
      </c>
      <c r="O61" s="178">
        <v>0.66807036928177799</v>
      </c>
      <c r="P61" s="178">
        <v>-0.2481124443660358</v>
      </c>
      <c r="Q61" s="209">
        <f>SUMXMY2(Таблица17[[#This Row],[X1]:[X9]],Таблица17[[#Totals],[X1]:[X9]])</f>
        <v>10.498736375252765</v>
      </c>
      <c r="R61" s="214">
        <v>1</v>
      </c>
      <c r="S61" s="226">
        <v>1</v>
      </c>
      <c r="T61" s="226">
        <v>1</v>
      </c>
      <c r="U61" s="227">
        <v>1</v>
      </c>
      <c r="V61" s="226">
        <v>1</v>
      </c>
      <c r="W61" s="226">
        <v>1</v>
      </c>
      <c r="X61" s="227">
        <v>1</v>
      </c>
      <c r="Y61" s="227">
        <v>1</v>
      </c>
      <c r="Z61" s="227">
        <v>1</v>
      </c>
    </row>
    <row r="62" spans="1:26" ht="13.8">
      <c r="A62">
        <v>60</v>
      </c>
      <c r="B62" s="205" t="s">
        <v>281</v>
      </c>
      <c r="C62" s="206">
        <v>4</v>
      </c>
      <c r="D62" s="207">
        <v>5</v>
      </c>
      <c r="E62" s="206">
        <v>4</v>
      </c>
      <c r="F62" s="208">
        <v>2</v>
      </c>
      <c r="G62" s="208"/>
      <c r="H62" s="178">
        <v>-0.27360149491109781</v>
      </c>
      <c r="I62" s="178">
        <v>1.7774271978332722E-2</v>
      </c>
      <c r="J62" s="178">
        <v>-1.6671380343139905</v>
      </c>
      <c r="K62" s="178">
        <v>-1.8026994684153606</v>
      </c>
      <c r="L62" s="178">
        <v>-1.443816946613746</v>
      </c>
      <c r="M62" s="178">
        <v>-0.68436089332918626</v>
      </c>
      <c r="N62" s="178">
        <v>-0.55932041329795523</v>
      </c>
      <c r="O62" s="178">
        <v>-0.46562480283275604</v>
      </c>
      <c r="P62" s="178">
        <v>1.4688518106761914</v>
      </c>
      <c r="Q62" s="209">
        <f>SUMXMY2(Таблица17[[#This Row],[X1]:[X9]],Таблица17[[#Totals],[X1]:[X9]])</f>
        <v>11.344376932762204</v>
      </c>
      <c r="R62" s="214">
        <v>2</v>
      </c>
      <c r="S62" s="226">
        <v>2</v>
      </c>
      <c r="T62" s="226">
        <v>2</v>
      </c>
      <c r="U62" s="227">
        <v>2</v>
      </c>
      <c r="V62" s="226">
        <v>2</v>
      </c>
      <c r="W62" s="226">
        <v>2</v>
      </c>
      <c r="X62" s="227">
        <v>2</v>
      </c>
      <c r="Y62" s="227">
        <v>2</v>
      </c>
      <c r="Z62" s="227">
        <v>2</v>
      </c>
    </row>
    <row r="63" spans="1:26" ht="13.8">
      <c r="A63">
        <v>61</v>
      </c>
      <c r="B63" s="205" t="s">
        <v>333</v>
      </c>
      <c r="C63" s="206">
        <v>5</v>
      </c>
      <c r="D63" s="207">
        <v>5</v>
      </c>
      <c r="E63" s="206">
        <v>5</v>
      </c>
      <c r="F63" s="208">
        <v>3</v>
      </c>
      <c r="G63" s="208">
        <v>3</v>
      </c>
      <c r="H63" s="178">
        <v>-0.30603530892775704</v>
      </c>
      <c r="I63" s="178">
        <v>-0.80098896624934468</v>
      </c>
      <c r="J63" s="178">
        <v>3.1640068348357392E-2</v>
      </c>
      <c r="K63" s="178">
        <v>0.78282119548506601</v>
      </c>
      <c r="L63" s="178">
        <v>3.4557981708044444E-2</v>
      </c>
      <c r="M63" s="178">
        <v>0.46826855164052011</v>
      </c>
      <c r="N63" s="178">
        <v>0.11429553830594988</v>
      </c>
      <c r="O63" s="178">
        <v>-0.65457399818517836</v>
      </c>
      <c r="P63" s="178">
        <v>-0.11697663092586573</v>
      </c>
      <c r="Q63" s="209">
        <f>SUMXMY2(Таблица17[[#This Row],[X1]:[X9]],Таблица17[[#Totals],[X1]:[X9]])</f>
        <v>2.0247348643042464</v>
      </c>
      <c r="R63" s="214">
        <v>3</v>
      </c>
      <c r="S63" s="226">
        <v>3</v>
      </c>
      <c r="T63" s="226">
        <v>3</v>
      </c>
      <c r="U63" s="227">
        <v>3</v>
      </c>
      <c r="V63" s="226">
        <v>3</v>
      </c>
      <c r="W63" s="226">
        <v>3</v>
      </c>
      <c r="X63" s="227">
        <v>3</v>
      </c>
      <c r="Y63" s="227">
        <v>3</v>
      </c>
      <c r="Z63" s="227">
        <v>3</v>
      </c>
    </row>
    <row r="64" spans="1:26" ht="13.8">
      <c r="A64">
        <v>62</v>
      </c>
      <c r="B64" s="205" t="s">
        <v>334</v>
      </c>
      <c r="C64" s="206">
        <v>3</v>
      </c>
      <c r="D64" s="207">
        <v>4</v>
      </c>
      <c r="E64" s="206">
        <v>2</v>
      </c>
      <c r="F64" s="208">
        <v>6</v>
      </c>
      <c r="G64" s="208">
        <v>6</v>
      </c>
      <c r="H64" s="178">
        <v>0.91694459851789123</v>
      </c>
      <c r="I64" s="178">
        <v>-0.99363913994997455</v>
      </c>
      <c r="J64" s="178">
        <v>0.29193671311113684</v>
      </c>
      <c r="K64" s="178">
        <v>-0.24091166407035158</v>
      </c>
      <c r="L64" s="178">
        <v>3.8826809568985876</v>
      </c>
      <c r="M64" s="178">
        <v>1.4254940616417822</v>
      </c>
      <c r="N64" s="178">
        <v>5.3641849831904773</v>
      </c>
      <c r="O64" s="178">
        <v>-4.9936573057426895E-2</v>
      </c>
      <c r="P64" s="178">
        <v>-0.87329481076684701</v>
      </c>
      <c r="Q64" s="209">
        <f>SUMXMY2(Таблица17[[#This Row],[X1]:[X9]],Таблица17[[#Totals],[X1]:[X9]])</f>
        <v>48.618234366105121</v>
      </c>
      <c r="R64" s="214">
        <v>6</v>
      </c>
      <c r="S64" s="226">
        <v>6</v>
      </c>
      <c r="T64" s="226">
        <v>6</v>
      </c>
      <c r="U64" s="227">
        <v>6</v>
      </c>
      <c r="V64" s="226">
        <v>6</v>
      </c>
      <c r="W64" s="226">
        <v>6</v>
      </c>
      <c r="X64" s="227">
        <v>6</v>
      </c>
      <c r="Y64" s="227">
        <v>6</v>
      </c>
      <c r="Z64" s="227">
        <v>6</v>
      </c>
    </row>
    <row r="65" spans="1:26" ht="13.8">
      <c r="A65">
        <v>63</v>
      </c>
      <c r="B65" s="205" t="s">
        <v>335</v>
      </c>
      <c r="C65" s="206">
        <v>5</v>
      </c>
      <c r="D65" s="207">
        <v>5</v>
      </c>
      <c r="E65" s="206">
        <v>7</v>
      </c>
      <c r="F65" s="208">
        <v>3</v>
      </c>
      <c r="G65" s="208"/>
      <c r="H65" s="178">
        <v>-0.69594978514602635</v>
      </c>
      <c r="I65" s="178">
        <v>-0.46385116227324219</v>
      </c>
      <c r="J65" s="178">
        <v>1.1687254112594454</v>
      </c>
      <c r="K65" s="178">
        <v>-0.76468196430800706</v>
      </c>
      <c r="L65" s="178">
        <v>3.9284244266618348E-2</v>
      </c>
      <c r="M65" s="178">
        <v>-0.54986208094830902</v>
      </c>
      <c r="N65" s="178">
        <v>-0.29323012636545176</v>
      </c>
      <c r="O65" s="178">
        <v>-0.69236383725566286</v>
      </c>
      <c r="P65" s="178">
        <v>0.31607652043469625</v>
      </c>
      <c r="Q65" s="209">
        <f>SUMXMY2(Таблица17[[#This Row],[X1]:[X9]],Таблица17[[#Totals],[X1]:[X9]])</f>
        <v>3.619309114478741</v>
      </c>
      <c r="R65" s="214">
        <v>1</v>
      </c>
      <c r="S65" s="226">
        <v>1</v>
      </c>
      <c r="T65" s="226">
        <v>1</v>
      </c>
      <c r="U65" s="227">
        <v>1</v>
      </c>
      <c r="V65" s="226">
        <v>1</v>
      </c>
      <c r="W65" s="226">
        <v>1</v>
      </c>
      <c r="X65" s="227">
        <v>1</v>
      </c>
      <c r="Y65" s="227">
        <v>1</v>
      </c>
      <c r="Z65" s="227">
        <v>1</v>
      </c>
    </row>
    <row r="66" spans="1:26" ht="13.8">
      <c r="A66">
        <v>64</v>
      </c>
      <c r="B66" s="205" t="s">
        <v>336</v>
      </c>
      <c r="C66" s="206">
        <v>6</v>
      </c>
      <c r="D66" s="207">
        <v>5</v>
      </c>
      <c r="E66" s="206">
        <v>6</v>
      </c>
      <c r="F66" s="208">
        <v>5</v>
      </c>
      <c r="G66" s="208"/>
      <c r="H66" s="178">
        <v>1.5783359344745727</v>
      </c>
      <c r="I66" s="178">
        <v>-0.41568861884808483</v>
      </c>
      <c r="J66" s="178">
        <v>-0.55745233822003737</v>
      </c>
      <c r="K66" s="178">
        <v>-1.8550764984391259</v>
      </c>
      <c r="L66" s="178">
        <v>2.1367995677615377</v>
      </c>
      <c r="M66" s="178">
        <v>-0.76506018075771254</v>
      </c>
      <c r="N66" s="178">
        <v>-0.6504143854009744</v>
      </c>
      <c r="O66" s="178">
        <v>2.2552436102421254</v>
      </c>
      <c r="P66" s="178">
        <v>-0.22371508372600421</v>
      </c>
      <c r="Q66" s="209">
        <f>SUMXMY2(Таблица17[[#This Row],[X1]:[X9]],Таблица17[[#Totals],[X1]:[X9]])</f>
        <v>17.126443800269627</v>
      </c>
      <c r="R66" s="214">
        <v>5</v>
      </c>
      <c r="S66" s="226">
        <v>5</v>
      </c>
      <c r="T66" s="226">
        <v>5</v>
      </c>
      <c r="U66" s="227">
        <v>5</v>
      </c>
      <c r="V66" s="226">
        <v>5</v>
      </c>
      <c r="W66" s="226">
        <v>5</v>
      </c>
      <c r="X66" s="227">
        <v>5</v>
      </c>
      <c r="Y66" s="227">
        <v>5</v>
      </c>
      <c r="Z66" s="227">
        <v>5</v>
      </c>
    </row>
    <row r="67" spans="1:26" ht="13.8">
      <c r="A67">
        <v>65</v>
      </c>
      <c r="B67" s="205" t="s">
        <v>337</v>
      </c>
      <c r="C67" s="206">
        <v>5</v>
      </c>
      <c r="D67" s="207">
        <v>5</v>
      </c>
      <c r="E67" s="206">
        <v>5</v>
      </c>
      <c r="F67" s="208">
        <v>3</v>
      </c>
      <c r="G67" s="208">
        <v>3</v>
      </c>
      <c r="H67" s="178">
        <v>0.14053412005226015</v>
      </c>
      <c r="I67" s="178">
        <v>-0.60833879254871481</v>
      </c>
      <c r="J67" s="178">
        <v>-0.61225163185430675</v>
      </c>
      <c r="K67" s="178">
        <v>-0.38851965777369063</v>
      </c>
      <c r="L67" s="178">
        <v>-0.46831635452417586</v>
      </c>
      <c r="M67" s="178">
        <v>0.39924274604127735</v>
      </c>
      <c r="N67" s="178">
        <v>-0.41788503555905698</v>
      </c>
      <c r="O67" s="178">
        <v>-0.73015367632614725</v>
      </c>
      <c r="P67" s="178">
        <v>-1.0410266651670645</v>
      </c>
      <c r="Q67" s="209">
        <f>SUMXMY2(Таблица17[[#This Row],[X1]:[X9]],Таблица17[[#Totals],[X1]:[X9]])</f>
        <v>3.0858293003703716</v>
      </c>
      <c r="R67" s="214">
        <v>3</v>
      </c>
      <c r="S67" s="226">
        <v>3</v>
      </c>
      <c r="T67" s="226">
        <v>3</v>
      </c>
      <c r="U67" s="227">
        <v>3</v>
      </c>
      <c r="V67" s="226">
        <v>3</v>
      </c>
      <c r="W67" s="226">
        <v>3</v>
      </c>
      <c r="X67" s="227">
        <v>3</v>
      </c>
      <c r="Y67" s="227">
        <v>3</v>
      </c>
      <c r="Z67" s="227">
        <v>3</v>
      </c>
    </row>
    <row r="68" spans="1:26" ht="13.8">
      <c r="A68">
        <v>66</v>
      </c>
      <c r="B68" s="205" t="s">
        <v>297</v>
      </c>
      <c r="C68" s="206">
        <v>5</v>
      </c>
      <c r="D68" s="207">
        <v>3</v>
      </c>
      <c r="E68" s="206">
        <v>7</v>
      </c>
      <c r="F68" s="208">
        <v>1</v>
      </c>
      <c r="G68" s="208"/>
      <c r="H68" s="178">
        <v>-0.16896284043575774</v>
      </c>
      <c r="I68" s="178">
        <v>-0.41568861884808483</v>
      </c>
      <c r="J68" s="178">
        <v>0.33303618333683888</v>
      </c>
      <c r="K68" s="178">
        <v>2.7636252400201995</v>
      </c>
      <c r="L68" s="178">
        <v>-1.3180983625556904</v>
      </c>
      <c r="M68" s="178">
        <v>-0.7599847538754152</v>
      </c>
      <c r="N68" s="178">
        <v>-0.19734173467806315</v>
      </c>
      <c r="O68" s="178">
        <v>-0.80573335446711625</v>
      </c>
      <c r="P68" s="178">
        <v>-0.29690716564609937</v>
      </c>
      <c r="Q68" s="209">
        <f>SUMXMY2(Таблица17[[#This Row],[X1]:[X9]],Таблица17[[#Totals],[X1]:[X9]])</f>
        <v>11.04114701922987</v>
      </c>
      <c r="R68" s="214">
        <v>3</v>
      </c>
      <c r="S68" s="226">
        <v>3</v>
      </c>
      <c r="T68" s="226">
        <v>3</v>
      </c>
      <c r="U68" s="227">
        <v>3</v>
      </c>
      <c r="V68" s="226">
        <v>3</v>
      </c>
      <c r="W68" s="226">
        <v>3</v>
      </c>
      <c r="X68" s="227">
        <v>3</v>
      </c>
      <c r="Y68" s="227">
        <v>3</v>
      </c>
      <c r="Z68" s="227">
        <v>3</v>
      </c>
    </row>
    <row r="69" spans="1:26" ht="13.8">
      <c r="A69">
        <v>67</v>
      </c>
      <c r="B69" s="205" t="s">
        <v>282</v>
      </c>
      <c r="C69" s="206">
        <v>4</v>
      </c>
      <c r="D69" s="207">
        <v>5</v>
      </c>
      <c r="E69" s="206">
        <v>4</v>
      </c>
      <c r="F69" s="208">
        <v>2</v>
      </c>
      <c r="G69" s="208"/>
      <c r="H69" s="178">
        <v>-0.3036590526309067</v>
      </c>
      <c r="I69" s="178">
        <v>1.5589756615833725</v>
      </c>
      <c r="J69" s="178">
        <v>-1.8452357386253659</v>
      </c>
      <c r="K69" s="178">
        <v>-0.9027668616433886</v>
      </c>
      <c r="L69" s="178">
        <v>0.17918161600039362</v>
      </c>
      <c r="M69" s="178">
        <v>-0.17580311972300125</v>
      </c>
      <c r="N69" s="178">
        <v>-0.64561996581660497</v>
      </c>
      <c r="O69" s="178">
        <v>-0.65457399818517836</v>
      </c>
      <c r="P69" s="178">
        <v>-6.8181909645802591E-2</v>
      </c>
      <c r="Q69" s="209">
        <f>SUMXMY2(Таблица17[[#This Row],[X1]:[X9]],Таблица17[[#Totals],[X1]:[X9]])</f>
        <v>7.6554506918167258</v>
      </c>
      <c r="R69" s="214">
        <v>4</v>
      </c>
      <c r="S69" s="226">
        <v>4</v>
      </c>
      <c r="T69" s="226">
        <v>4</v>
      </c>
      <c r="U69" s="227">
        <v>2</v>
      </c>
      <c r="V69" s="226">
        <v>4</v>
      </c>
      <c r="W69" s="226">
        <v>4</v>
      </c>
      <c r="X69" s="227">
        <v>2</v>
      </c>
      <c r="Y69" s="227">
        <v>4</v>
      </c>
      <c r="Z69" s="227">
        <v>2</v>
      </c>
    </row>
    <row r="70" spans="1:26" ht="13.8">
      <c r="A70">
        <v>68</v>
      </c>
      <c r="B70" s="205" t="s">
        <v>340</v>
      </c>
      <c r="C70" s="206">
        <v>5</v>
      </c>
      <c r="D70" s="207">
        <v>5</v>
      </c>
      <c r="E70" s="206">
        <v>5</v>
      </c>
      <c r="F70" s="208">
        <v>3</v>
      </c>
      <c r="G70" s="208">
        <v>3</v>
      </c>
      <c r="H70" s="178">
        <v>-0.71337566465626223</v>
      </c>
      <c r="I70" s="178">
        <v>6.5936815403490043E-2</v>
      </c>
      <c r="J70" s="178">
        <v>0.19603794925116566</v>
      </c>
      <c r="K70" s="178">
        <v>-2.8342548714172704E-3</v>
      </c>
      <c r="L70" s="178">
        <v>-0.52219574769191379</v>
      </c>
      <c r="M70" s="178">
        <v>1.6048016427834707E-2</v>
      </c>
      <c r="N70" s="178">
        <v>-5.5906356939164938E-2</v>
      </c>
      <c r="O70" s="178">
        <v>-1.0702622279605074</v>
      </c>
      <c r="P70" s="178">
        <v>-0.42499330900626564</v>
      </c>
      <c r="Q70" s="209">
        <f>SUMXMY2(Таблица17[[#This Row],[X1]:[X9]],Таблица17[[#Totals],[X1]:[X9]])</f>
        <v>2.1538434208806718</v>
      </c>
      <c r="R70" s="214">
        <v>3</v>
      </c>
      <c r="S70" s="226">
        <v>3</v>
      </c>
      <c r="T70" s="226">
        <v>3</v>
      </c>
      <c r="U70" s="227">
        <v>3</v>
      </c>
      <c r="V70" s="226">
        <v>3</v>
      </c>
      <c r="W70" s="226">
        <v>3</v>
      </c>
      <c r="X70" s="227">
        <v>3</v>
      </c>
      <c r="Y70" s="227">
        <v>3</v>
      </c>
      <c r="Z70" s="227">
        <v>3</v>
      </c>
    </row>
    <row r="71" spans="1:26" ht="13.8">
      <c r="A71">
        <v>69</v>
      </c>
      <c r="B71" s="205" t="s">
        <v>289</v>
      </c>
      <c r="C71" s="206">
        <v>5</v>
      </c>
      <c r="D71" s="207">
        <v>3</v>
      </c>
      <c r="E71" s="206">
        <v>7</v>
      </c>
      <c r="F71" s="208">
        <v>1</v>
      </c>
      <c r="G71" s="208"/>
      <c r="H71" s="178">
        <v>-1.0181618012575417</v>
      </c>
      <c r="I71" s="178">
        <v>1.79978837870916</v>
      </c>
      <c r="J71" s="178">
        <v>2.3332104009876682</v>
      </c>
      <c r="K71" s="178">
        <v>1.5922843867614427</v>
      </c>
      <c r="L71" s="178">
        <v>-0.54299130294963704</v>
      </c>
      <c r="M71" s="178">
        <v>0.29671912301887315</v>
      </c>
      <c r="N71" s="178">
        <v>0.14545926560435118</v>
      </c>
      <c r="O71" s="178">
        <v>-1.5993199749472899</v>
      </c>
      <c r="P71" s="178">
        <v>-0.37619858772620207</v>
      </c>
      <c r="Q71" s="209">
        <f>SUMXMY2(Таблица17[[#This Row],[X1]:[X9]],Таблица17[[#Totals],[X1]:[X9]])</f>
        <v>15.35852195594463</v>
      </c>
      <c r="R71" s="214">
        <v>1</v>
      </c>
      <c r="S71" s="226">
        <v>1</v>
      </c>
      <c r="T71" s="226">
        <v>1</v>
      </c>
      <c r="U71" s="227">
        <v>1</v>
      </c>
      <c r="V71" s="226">
        <v>1</v>
      </c>
      <c r="W71" s="226">
        <v>1</v>
      </c>
      <c r="X71" s="227">
        <v>4</v>
      </c>
      <c r="Y71" s="227">
        <v>4</v>
      </c>
      <c r="Z71" s="227">
        <v>4</v>
      </c>
    </row>
    <row r="72" spans="1:26" ht="13.8">
      <c r="A72">
        <v>70</v>
      </c>
      <c r="B72" s="205" t="s">
        <v>313</v>
      </c>
      <c r="C72" s="206">
        <v>5</v>
      </c>
      <c r="D72" s="207">
        <v>5</v>
      </c>
      <c r="E72" s="206">
        <v>4</v>
      </c>
      <c r="F72" s="208">
        <v>2</v>
      </c>
      <c r="G72" s="208"/>
      <c r="H72" s="178">
        <v>-0.4228887545430472</v>
      </c>
      <c r="I72" s="178">
        <v>-0.36752607542292731</v>
      </c>
      <c r="J72" s="178">
        <v>0.18233812584259815</v>
      </c>
      <c r="K72" s="178">
        <v>-0.77896660885994307</v>
      </c>
      <c r="L72" s="178">
        <v>-1.4958058347580543</v>
      </c>
      <c r="M72" s="178">
        <v>-0.44683091523767449</v>
      </c>
      <c r="N72" s="178">
        <v>2.0804356410745965E-2</v>
      </c>
      <c r="O72" s="178">
        <v>1.7261858632553431</v>
      </c>
      <c r="P72" s="178">
        <v>0.51735474571495721</v>
      </c>
      <c r="Q72" s="209">
        <f>SUMXMY2(Таблица17[[#This Row],[X1]:[X9]],Таблица17[[#Totals],[X1]:[X9]])</f>
        <v>6.6388458354597217</v>
      </c>
      <c r="R72" s="214">
        <v>1</v>
      </c>
      <c r="S72" s="226">
        <v>1</v>
      </c>
      <c r="T72" s="226">
        <v>1</v>
      </c>
      <c r="U72" s="227">
        <v>3</v>
      </c>
      <c r="V72" s="226">
        <v>1</v>
      </c>
      <c r="W72" s="226">
        <v>1</v>
      </c>
      <c r="X72" s="227">
        <v>1</v>
      </c>
      <c r="Y72" s="227">
        <v>1</v>
      </c>
      <c r="Z72" s="227">
        <v>1</v>
      </c>
    </row>
    <row r="73" spans="1:26" ht="13.8">
      <c r="A73">
        <v>71</v>
      </c>
      <c r="B73" s="205" t="s">
        <v>343</v>
      </c>
      <c r="C73" s="206">
        <v>5</v>
      </c>
      <c r="D73" s="207">
        <v>5</v>
      </c>
      <c r="E73" s="206">
        <v>5</v>
      </c>
      <c r="F73" s="208">
        <v>3</v>
      </c>
      <c r="G73" s="208"/>
      <c r="H73" s="178">
        <v>-0.35193457529323491</v>
      </c>
      <c r="I73" s="178">
        <v>0.1622619022538051</v>
      </c>
      <c r="J73" s="178">
        <v>-0.3656548105000948</v>
      </c>
      <c r="K73" s="178">
        <v>-1.3884447764092147</v>
      </c>
      <c r="L73" s="178">
        <v>1.2841818021948774</v>
      </c>
      <c r="M73" s="178">
        <v>-0.34735254834464818</v>
      </c>
      <c r="N73" s="178">
        <v>-0.66719485394626743</v>
      </c>
      <c r="O73" s="178">
        <v>-0.27667560748033371</v>
      </c>
      <c r="P73" s="178">
        <v>-1.8735865970081449</v>
      </c>
      <c r="Q73" s="209">
        <f>SUMXMY2(Таблица17[[#This Row],[X1]:[X9]],Таблица17[[#Totals],[X1]:[X9]])</f>
        <v>8.0134710031153062</v>
      </c>
      <c r="R73" s="214">
        <v>4</v>
      </c>
      <c r="S73" s="226">
        <v>4</v>
      </c>
      <c r="T73" s="226">
        <v>4</v>
      </c>
      <c r="U73" s="227">
        <v>2</v>
      </c>
      <c r="V73" s="226">
        <v>4</v>
      </c>
      <c r="W73" s="226">
        <v>4</v>
      </c>
      <c r="X73" s="227">
        <v>2</v>
      </c>
      <c r="Y73" s="227">
        <v>2</v>
      </c>
      <c r="Z73" s="227">
        <v>2</v>
      </c>
    </row>
    <row r="74" spans="1:26" ht="13.8">
      <c r="A74">
        <v>72</v>
      </c>
      <c r="B74" s="205" t="s">
        <v>315</v>
      </c>
      <c r="C74" s="206">
        <v>4</v>
      </c>
      <c r="D74" s="207">
        <v>5</v>
      </c>
      <c r="E74" s="206">
        <v>4</v>
      </c>
      <c r="F74" s="208">
        <v>2</v>
      </c>
      <c r="G74" s="208"/>
      <c r="H74" s="178">
        <v>-0.63470907461842685</v>
      </c>
      <c r="I74" s="178">
        <v>2.5222265300865225</v>
      </c>
      <c r="J74" s="178">
        <v>-0.83144880639138385</v>
      </c>
      <c r="K74" s="178">
        <v>0.4780821117104298</v>
      </c>
      <c r="L74" s="178">
        <v>-0.43334201159073149</v>
      </c>
      <c r="M74" s="178">
        <v>0.39568994722366962</v>
      </c>
      <c r="N74" s="178">
        <v>-0.6096618189338342</v>
      </c>
      <c r="O74" s="178">
        <v>-0.91910287167856963</v>
      </c>
      <c r="P74" s="178">
        <v>1.7951665092366154</v>
      </c>
      <c r="Q74" s="209">
        <f>SUMXMY2(Таблица17[[#This Row],[X1]:[X9]],Таблица17[[#Totals],[X1]:[X9]])</f>
        <v>12.467768153084085</v>
      </c>
      <c r="R74" s="214">
        <v>7</v>
      </c>
      <c r="S74" s="226">
        <v>7</v>
      </c>
      <c r="T74" s="226">
        <v>7</v>
      </c>
      <c r="U74" s="227">
        <v>7</v>
      </c>
      <c r="V74" s="226">
        <v>7</v>
      </c>
      <c r="W74" s="226">
        <v>7</v>
      </c>
      <c r="X74" s="227">
        <v>7</v>
      </c>
      <c r="Y74" s="227">
        <v>7</v>
      </c>
      <c r="Z74" s="227">
        <v>7</v>
      </c>
    </row>
    <row r="75" spans="1:26" ht="13.8">
      <c r="A75">
        <v>73</v>
      </c>
      <c r="B75" s="205" t="s">
        <v>345</v>
      </c>
      <c r="C75" s="206">
        <v>5</v>
      </c>
      <c r="D75" s="207">
        <v>5</v>
      </c>
      <c r="E75" s="206">
        <v>6</v>
      </c>
      <c r="F75" s="208">
        <v>5</v>
      </c>
      <c r="G75" s="208"/>
      <c r="H75" s="178">
        <v>-0.27897933810923287</v>
      </c>
      <c r="I75" s="178">
        <v>-0.27120098857261227</v>
      </c>
      <c r="J75" s="178">
        <v>0.27823688970256932</v>
      </c>
      <c r="K75" s="178">
        <v>0.61616700904581201</v>
      </c>
      <c r="L75" s="178">
        <v>0.89284726234499234</v>
      </c>
      <c r="M75" s="178">
        <v>-0.60822949009472749</v>
      </c>
      <c r="N75" s="178">
        <v>-0.50658179786989144</v>
      </c>
      <c r="O75" s="178">
        <v>2.1040842539601878</v>
      </c>
      <c r="P75" s="178">
        <v>2.3380077834773192</v>
      </c>
      <c r="Q75" s="209">
        <f>SUMXMY2(Таблица17[[#This Row],[X1]:[X9]],Таблица17[[#Totals],[X1]:[X9]])</f>
        <v>11.925652404917113</v>
      </c>
      <c r="R75" s="214">
        <v>2</v>
      </c>
      <c r="S75" s="226">
        <v>2</v>
      </c>
      <c r="T75" s="226">
        <v>2</v>
      </c>
      <c r="U75" s="227">
        <v>2</v>
      </c>
      <c r="V75" s="226">
        <v>2</v>
      </c>
      <c r="W75" s="226">
        <v>2</v>
      </c>
      <c r="X75" s="227">
        <v>3</v>
      </c>
      <c r="Y75" s="227">
        <v>3</v>
      </c>
      <c r="Z75" s="227">
        <v>3</v>
      </c>
    </row>
    <row r="76" spans="1:26" ht="13.8">
      <c r="A76">
        <v>74</v>
      </c>
      <c r="B76" s="205" t="s">
        <v>346</v>
      </c>
      <c r="C76" s="206">
        <v>5</v>
      </c>
      <c r="D76" s="207">
        <v>5</v>
      </c>
      <c r="E76" s="206">
        <v>5</v>
      </c>
      <c r="F76" s="208">
        <v>3</v>
      </c>
      <c r="G76" s="208">
        <v>3</v>
      </c>
      <c r="H76" s="178">
        <v>-0.4628682245198803</v>
      </c>
      <c r="I76" s="178">
        <v>-0.56017624912355723</v>
      </c>
      <c r="J76" s="178">
        <v>-0.10535816573731585</v>
      </c>
      <c r="K76" s="178">
        <v>2.5735034232455253E-2</v>
      </c>
      <c r="L76" s="178">
        <v>0.34460080555046607</v>
      </c>
      <c r="M76" s="178">
        <v>0.2789551289308328</v>
      </c>
      <c r="N76" s="178">
        <v>-8.2275664653196814E-2</v>
      </c>
      <c r="O76" s="178">
        <v>-1.4481606186653522</v>
      </c>
      <c r="P76" s="178">
        <v>-0.30605617588611117</v>
      </c>
      <c r="Q76" s="209">
        <f>SUMXMY2(Таблица17[[#This Row],[X1]:[X9]],Таблица17[[#Totals],[X1]:[X9]])</f>
        <v>2.9339815828150191</v>
      </c>
      <c r="R76" s="214">
        <v>3</v>
      </c>
      <c r="S76" s="226">
        <v>3</v>
      </c>
      <c r="T76" s="226">
        <v>3</v>
      </c>
      <c r="U76" s="227">
        <v>3</v>
      </c>
      <c r="V76" s="226">
        <v>3</v>
      </c>
      <c r="W76" s="226">
        <v>3</v>
      </c>
      <c r="X76" s="227">
        <v>3</v>
      </c>
      <c r="Y76" s="227">
        <v>3</v>
      </c>
      <c r="Z76" s="227">
        <v>3</v>
      </c>
    </row>
    <row r="77" spans="1:26" ht="13.8">
      <c r="A77">
        <v>75</v>
      </c>
      <c r="B77" s="205" t="s">
        <v>347</v>
      </c>
      <c r="C77" s="206">
        <v>5</v>
      </c>
      <c r="D77" s="207">
        <v>5</v>
      </c>
      <c r="E77" s="206">
        <v>4</v>
      </c>
      <c r="F77" s="208">
        <v>3</v>
      </c>
      <c r="G77" s="208"/>
      <c r="H77" s="178">
        <v>-0.59443778369285771</v>
      </c>
      <c r="I77" s="178">
        <v>-0.41568861884808483</v>
      </c>
      <c r="J77" s="178">
        <v>-0.99584668729419168</v>
      </c>
      <c r="K77" s="178">
        <v>-0.12187295947088443</v>
      </c>
      <c r="L77" s="178">
        <v>-0.58363716095336915</v>
      </c>
      <c r="M77" s="178">
        <v>-0.61127474622410538</v>
      </c>
      <c r="N77" s="178">
        <v>-9.9056133198489812E-2</v>
      </c>
      <c r="O77" s="178">
        <v>0.4791211739293556</v>
      </c>
      <c r="P77" s="178">
        <v>-0.38839726804621805</v>
      </c>
      <c r="Q77" s="209">
        <f>SUMXMY2(Таблица17[[#This Row],[X1]:[X9]],Таблица17[[#Totals],[X1]:[X9]])</f>
        <v>2.6372277550410117</v>
      </c>
      <c r="R77" s="214">
        <v>2</v>
      </c>
      <c r="S77" s="226">
        <v>2</v>
      </c>
      <c r="T77" s="226">
        <v>2</v>
      </c>
      <c r="U77" s="227">
        <v>2</v>
      </c>
      <c r="V77" s="226">
        <v>2</v>
      </c>
      <c r="W77" s="226">
        <v>2</v>
      </c>
      <c r="X77" s="227">
        <v>2</v>
      </c>
      <c r="Y77" s="227">
        <v>2</v>
      </c>
      <c r="Z77" s="227">
        <v>2</v>
      </c>
    </row>
    <row r="78" spans="1:26" ht="13.8">
      <c r="A78">
        <v>76</v>
      </c>
      <c r="B78" s="205" t="s">
        <v>348</v>
      </c>
      <c r="C78" s="206">
        <v>5</v>
      </c>
      <c r="D78" s="207">
        <v>5</v>
      </c>
      <c r="E78" s="206">
        <v>5</v>
      </c>
      <c r="F78" s="208">
        <v>3</v>
      </c>
      <c r="G78" s="208"/>
      <c r="H78" s="178">
        <v>0.33559557992880051</v>
      </c>
      <c r="I78" s="178">
        <v>-0.7528264228241871</v>
      </c>
      <c r="J78" s="178">
        <v>-0.25605622323155613</v>
      </c>
      <c r="K78" s="178">
        <v>-0.3028117904620744</v>
      </c>
      <c r="L78" s="178">
        <v>0.44101656174536574</v>
      </c>
      <c r="M78" s="178">
        <v>-0.59300320944783569</v>
      </c>
      <c r="N78" s="178">
        <v>-0.69835858124466876</v>
      </c>
      <c r="O78" s="178">
        <v>-0.91910287167856963</v>
      </c>
      <c r="P78" s="178">
        <v>8.7351264434399473E-2</v>
      </c>
      <c r="Q78" s="209">
        <f>SUMXMY2(Таблица17[[#This Row],[X1]:[X9]],Таблица17[[#Totals],[X1]:[X9]])</f>
        <v>2.722865240341751</v>
      </c>
      <c r="R78" s="214">
        <v>3</v>
      </c>
      <c r="S78" s="226">
        <v>2</v>
      </c>
      <c r="T78" s="226">
        <v>3</v>
      </c>
      <c r="U78" s="227">
        <v>2</v>
      </c>
      <c r="V78" s="226">
        <v>2</v>
      </c>
      <c r="W78" s="226">
        <v>3</v>
      </c>
      <c r="X78" s="227">
        <v>3</v>
      </c>
      <c r="Y78" s="227">
        <v>3</v>
      </c>
      <c r="Z78" s="227">
        <v>3</v>
      </c>
    </row>
    <row r="79" spans="1:26" ht="13.8">
      <c r="A79">
        <v>77</v>
      </c>
      <c r="B79" s="205" t="s">
        <v>349</v>
      </c>
      <c r="C79" s="206">
        <v>5</v>
      </c>
      <c r="D79" s="207">
        <v>3</v>
      </c>
      <c r="E79" s="206">
        <v>5</v>
      </c>
      <c r="F79" s="208">
        <v>3</v>
      </c>
      <c r="G79" s="208"/>
      <c r="H79" s="178">
        <v>0.94183275657437648</v>
      </c>
      <c r="I79" s="178">
        <v>-0.89731405309965961</v>
      </c>
      <c r="J79" s="178">
        <v>-0.61225163185430675</v>
      </c>
      <c r="K79" s="178">
        <v>0.79234429185302424</v>
      </c>
      <c r="L79" s="178">
        <v>0.7463331230292134</v>
      </c>
      <c r="M79" s="178">
        <v>0.1815069327907253</v>
      </c>
      <c r="N79" s="178">
        <v>-0.70075579103685348</v>
      </c>
      <c r="O79" s="178">
        <v>-1.5237402968063209</v>
      </c>
      <c r="P79" s="178">
        <v>-0.81230140916676785</v>
      </c>
      <c r="Q79" s="209">
        <f>SUMXMY2(Таблица17[[#This Row],[X1]:[X9]],Таблица17[[#Totals],[X1]:[X9]])</f>
        <v>6.7575176360860167</v>
      </c>
      <c r="R79" s="214">
        <v>3</v>
      </c>
      <c r="S79" s="226">
        <v>3</v>
      </c>
      <c r="T79" s="226">
        <v>3</v>
      </c>
      <c r="U79" s="227">
        <v>5</v>
      </c>
      <c r="V79" s="226">
        <v>3</v>
      </c>
      <c r="W79" s="226">
        <v>3</v>
      </c>
      <c r="X79" s="227">
        <v>3</v>
      </c>
      <c r="Y79" s="227">
        <v>3</v>
      </c>
      <c r="Z79" s="227">
        <v>3</v>
      </c>
    </row>
    <row r="80" spans="1:26" ht="13.8">
      <c r="A80">
        <v>78</v>
      </c>
      <c r="B80" s="205" t="s">
        <v>350</v>
      </c>
      <c r="C80" s="206">
        <v>5</v>
      </c>
      <c r="D80" s="207">
        <v>5</v>
      </c>
      <c r="E80" s="206">
        <v>5</v>
      </c>
      <c r="F80" s="208">
        <v>3</v>
      </c>
      <c r="G80" s="208">
        <v>3</v>
      </c>
      <c r="H80" s="178">
        <v>-0.43101805240069313</v>
      </c>
      <c r="I80" s="178">
        <v>-0.60833879254871481</v>
      </c>
      <c r="J80" s="178">
        <v>0.16863830243403063</v>
      </c>
      <c r="K80" s="178">
        <v>0.597120816309897</v>
      </c>
      <c r="L80" s="178">
        <v>-0.67816241212483908</v>
      </c>
      <c r="M80" s="178">
        <v>0.48806271648147931</v>
      </c>
      <c r="N80" s="178">
        <v>-0.13261707028907585</v>
      </c>
      <c r="O80" s="178">
        <v>-0.35225528562130259</v>
      </c>
      <c r="P80" s="178">
        <v>0.24288443851460109</v>
      </c>
      <c r="Q80" s="209">
        <f>SUMXMY2(Таблица17[[#This Row],[X1]:[X9]],Таблица17[[#Totals],[X1]:[X9]])</f>
        <v>1.8396181908243612</v>
      </c>
      <c r="R80" s="214">
        <v>3</v>
      </c>
      <c r="S80" s="226">
        <v>3</v>
      </c>
      <c r="T80" s="226">
        <v>3</v>
      </c>
      <c r="U80" s="227">
        <v>3</v>
      </c>
      <c r="V80" s="226">
        <v>3</v>
      </c>
      <c r="W80" s="226">
        <v>3</v>
      </c>
      <c r="X80" s="227">
        <v>3</v>
      </c>
      <c r="Y80" s="227">
        <v>3</v>
      </c>
      <c r="Z80" s="227">
        <v>3</v>
      </c>
    </row>
    <row r="81" spans="1:26" ht="13.8">
      <c r="A81">
        <v>79</v>
      </c>
      <c r="B81" s="205" t="s">
        <v>351</v>
      </c>
      <c r="C81" s="206">
        <v>2</v>
      </c>
      <c r="D81" s="207">
        <v>2</v>
      </c>
      <c r="E81" s="206">
        <v>1</v>
      </c>
      <c r="F81" s="208">
        <v>7</v>
      </c>
      <c r="G81" s="208">
        <v>7</v>
      </c>
      <c r="H81" s="178">
        <v>-0.58872643083902443</v>
      </c>
      <c r="I81" s="178">
        <v>3.3891523117393567</v>
      </c>
      <c r="J81" s="178">
        <v>0.12753883220832904</v>
      </c>
      <c r="K81" s="178">
        <v>2.6350634390527752</v>
      </c>
      <c r="L81" s="178">
        <v>-1.6073456311403886</v>
      </c>
      <c r="M81" s="178">
        <v>-2.1054804203724169</v>
      </c>
      <c r="N81" s="178">
        <v>0.83345847596136458</v>
      </c>
      <c r="O81" s="178">
        <v>-0.65457399818517836</v>
      </c>
      <c r="P81" s="178">
        <v>-2.7335935595692606</v>
      </c>
      <c r="Q81" s="209">
        <f>SUMXMY2(Таблица17[[#This Row],[X1]:[X9]],Таблица17[[#Totals],[X1]:[X9]])</f>
        <v>34.405039361778599</v>
      </c>
      <c r="R81" s="214">
        <v>7</v>
      </c>
      <c r="S81" s="226">
        <v>7</v>
      </c>
      <c r="T81" s="226">
        <v>7</v>
      </c>
      <c r="U81" s="227">
        <v>7</v>
      </c>
      <c r="V81" s="226">
        <v>7</v>
      </c>
      <c r="W81" s="226">
        <v>7</v>
      </c>
      <c r="X81" s="227">
        <v>7</v>
      </c>
      <c r="Y81" s="227">
        <v>7</v>
      </c>
      <c r="Z81" s="227">
        <v>7</v>
      </c>
    </row>
    <row r="82" spans="1:26" ht="13.8">
      <c r="A82">
        <v>80</v>
      </c>
      <c r="B82" s="205" t="s">
        <v>352</v>
      </c>
      <c r="C82" s="206">
        <v>5</v>
      </c>
      <c r="D82" s="207">
        <v>5</v>
      </c>
      <c r="E82" s="206">
        <v>7</v>
      </c>
      <c r="F82" s="208">
        <v>3</v>
      </c>
      <c r="G82" s="208"/>
      <c r="H82" s="178">
        <v>-0.6633909050084803</v>
      </c>
      <c r="I82" s="178">
        <v>-0.60833879254871481</v>
      </c>
      <c r="J82" s="178">
        <v>0.27823688970256932</v>
      </c>
      <c r="K82" s="178">
        <v>2.5735034232455253E-2</v>
      </c>
      <c r="L82" s="178">
        <v>0.40793272383535112</v>
      </c>
      <c r="M82" s="178">
        <v>9.4717133103442139E-2</v>
      </c>
      <c r="N82" s="178">
        <v>0.40196071336811573</v>
      </c>
      <c r="O82" s="178">
        <v>0.40354149578838666</v>
      </c>
      <c r="P82" s="178">
        <v>-0.76655635796670851</v>
      </c>
      <c r="Q82" s="209">
        <f>SUMXMY2(Таблица17[[#This Row],[X1]:[X9]],Таблица17[[#Totals],[X1]:[X9]])</f>
        <v>1.9756488844786881</v>
      </c>
      <c r="R82" s="214">
        <v>1</v>
      </c>
      <c r="S82" s="226">
        <v>1</v>
      </c>
      <c r="T82" s="226">
        <v>1</v>
      </c>
      <c r="U82" s="227">
        <v>1</v>
      </c>
      <c r="V82" s="226">
        <v>1</v>
      </c>
      <c r="W82" s="226">
        <v>1</v>
      </c>
      <c r="X82" s="227">
        <v>1</v>
      </c>
      <c r="Y82" s="227">
        <v>1</v>
      </c>
      <c r="Z82" s="227">
        <v>1</v>
      </c>
    </row>
    <row r="83" spans="1:26" ht="13.8">
      <c r="A83">
        <v>81</v>
      </c>
      <c r="B83" s="205" t="s">
        <v>353</v>
      </c>
      <c r="C83" s="206">
        <v>6</v>
      </c>
      <c r="D83" s="207">
        <v>6</v>
      </c>
      <c r="E83" s="206">
        <v>3</v>
      </c>
      <c r="F83" s="208">
        <v>4</v>
      </c>
      <c r="G83" s="208"/>
      <c r="H83" s="178">
        <v>4.4584419436711249</v>
      </c>
      <c r="I83" s="178">
        <v>-0.94547659652481719</v>
      </c>
      <c r="J83" s="178">
        <v>-2.2425306174738182</v>
      </c>
      <c r="K83" s="178">
        <v>-2.3550390577568878</v>
      </c>
      <c r="L83" s="178">
        <v>2.4657474418382521</v>
      </c>
      <c r="M83" s="178">
        <v>2.1111842334401407</v>
      </c>
      <c r="N83" s="178">
        <v>-0.72640593581322987</v>
      </c>
      <c r="O83" s="178">
        <v>-0.16330609026888029</v>
      </c>
      <c r="P83" s="178">
        <v>-2.2395470066086198</v>
      </c>
      <c r="Q83" s="209">
        <f>SUMXMY2(Таблица17[[#This Row],[X1]:[X9]],Таблица17[[#Totals],[X1]:[X9]])</f>
        <v>47.45369766550143</v>
      </c>
      <c r="R83" s="214">
        <v>5</v>
      </c>
      <c r="S83" s="226">
        <v>5</v>
      </c>
      <c r="T83" s="226">
        <v>5</v>
      </c>
      <c r="U83" s="227">
        <v>5</v>
      </c>
      <c r="V83" s="226">
        <v>5</v>
      </c>
      <c r="W83" s="226">
        <v>5</v>
      </c>
      <c r="X83" s="227">
        <v>5</v>
      </c>
      <c r="Y83" s="227">
        <v>5</v>
      </c>
      <c r="Z83" s="227">
        <v>5</v>
      </c>
    </row>
    <row r="84" spans="1:26" ht="13.8">
      <c r="A84">
        <v>82</v>
      </c>
      <c r="B84" s="205" t="s">
        <v>354</v>
      </c>
      <c r="C84" s="206">
        <v>6</v>
      </c>
      <c r="D84" s="207">
        <v>6</v>
      </c>
      <c r="E84" s="206">
        <v>3</v>
      </c>
      <c r="F84" s="208">
        <v>4</v>
      </c>
      <c r="G84" s="208"/>
      <c r="H84" s="178">
        <v>3.7356848310659574</v>
      </c>
      <c r="I84" s="178">
        <v>-1.0418016833751322</v>
      </c>
      <c r="J84" s="178">
        <v>1.1276259410337433</v>
      </c>
      <c r="K84" s="178">
        <v>6.8588967888263033E-2</v>
      </c>
      <c r="L84" s="178">
        <v>1.8456617941534088</v>
      </c>
      <c r="M84" s="178">
        <v>2.9729917180542151</v>
      </c>
      <c r="N84" s="178">
        <v>-0.72065263231198662</v>
      </c>
      <c r="O84" s="178">
        <v>-0.84352319353760064</v>
      </c>
      <c r="P84" s="178">
        <v>-1.4832288267676386</v>
      </c>
      <c r="Q84" s="209">
        <f>SUMXMY2(Таблица17[[#This Row],[X1]:[X9]],Таблица17[[#Totals],[X1]:[X9]])</f>
        <v>31.992923175012884</v>
      </c>
      <c r="R84" s="214">
        <v>5</v>
      </c>
      <c r="S84" s="226">
        <v>5</v>
      </c>
      <c r="T84" s="226">
        <v>5</v>
      </c>
      <c r="U84" s="227">
        <v>5</v>
      </c>
      <c r="V84" s="226">
        <v>5</v>
      </c>
      <c r="W84" s="226">
        <v>5</v>
      </c>
      <c r="X84" s="227">
        <v>5</v>
      </c>
      <c r="Y84" s="227">
        <v>5</v>
      </c>
      <c r="Z84" s="227">
        <v>5</v>
      </c>
    </row>
    <row r="85" spans="1:26" ht="13.8">
      <c r="A85">
        <v>83</v>
      </c>
      <c r="B85" s="205" t="s">
        <v>320</v>
      </c>
      <c r="C85" s="206">
        <v>5</v>
      </c>
      <c r="D85" s="207">
        <v>5</v>
      </c>
      <c r="E85" s="206">
        <v>6</v>
      </c>
      <c r="F85" s="208">
        <v>2</v>
      </c>
      <c r="G85" s="208"/>
      <c r="H85" s="178">
        <v>-0.89242866105928442</v>
      </c>
      <c r="I85" s="178">
        <v>1.3663254878827424</v>
      </c>
      <c r="J85" s="178">
        <v>1.908515875322081</v>
      </c>
      <c r="K85" s="178">
        <v>0.4780821117104298</v>
      </c>
      <c r="L85" s="178">
        <v>-0.17528807589261877</v>
      </c>
      <c r="M85" s="178">
        <v>-0.88788551130930571</v>
      </c>
      <c r="N85" s="178">
        <v>-0.60726460914164948</v>
      </c>
      <c r="O85" s="178">
        <v>-0.27667560748033371</v>
      </c>
      <c r="P85" s="178">
        <v>3.0546802522782492</v>
      </c>
      <c r="Q85" s="209">
        <f>SUMXMY2(Таблица17[[#This Row],[X1]:[X9]],Таблица17[[#Totals],[X1]:[X9]])</f>
        <v>17.129727337504395</v>
      </c>
      <c r="R85" s="214">
        <v>2</v>
      </c>
      <c r="S85" s="226">
        <v>2</v>
      </c>
      <c r="T85" s="226">
        <v>2</v>
      </c>
      <c r="U85" s="227">
        <v>1</v>
      </c>
      <c r="V85" s="226">
        <v>2</v>
      </c>
      <c r="W85" s="226">
        <v>2</v>
      </c>
      <c r="X85" s="227">
        <v>1</v>
      </c>
      <c r="Y85" s="227">
        <v>1</v>
      </c>
      <c r="Z85" s="227">
        <v>1</v>
      </c>
    </row>
    <row r="86" spans="1:26" ht="13.8">
      <c r="B86" s="205">
        <f>SUBTOTAL(103,Таблица17[Наименование])</f>
        <v>84</v>
      </c>
      <c r="C86" s="222"/>
      <c r="D86" s="211"/>
      <c r="E86" s="222"/>
      <c r="F86" s="211"/>
      <c r="G86" s="211">
        <f>SUBTOTAL(102,Таблица17[Train])</f>
        <v>32</v>
      </c>
      <c r="H86" s="212">
        <f>SUBTOTAL(101,Таблица17[X1])</f>
        <v>-4.8638342031197339E-16</v>
      </c>
      <c r="I86" s="212">
        <f>SUBTOTAL(101,Таблица17[X2])</f>
        <v>7.084280252370047E-16</v>
      </c>
      <c r="J86" s="212">
        <f>SUBTOTAL(101,Таблица17[X3])</f>
        <v>-2.9870286138724452E-16</v>
      </c>
      <c r="K86" s="212">
        <f>SUBTOTAL(101,Таблица17[X4])</f>
        <v>-1.1848987399719676E-15</v>
      </c>
      <c r="L86" s="212">
        <f>SUBTOTAL(101,Таблица17[X5])</f>
        <v>-1.0523989087592629E-15</v>
      </c>
      <c r="M86" s="212">
        <f>SUBTOTAL(101,Таблица17[X6])</f>
        <v>-1.3084771361653631E-16</v>
      </c>
      <c r="N86" s="212">
        <f>SUBTOTAL(101,Таблица17[X7])</f>
        <v>5.6832845308192532E-17</v>
      </c>
      <c r="O86" s="212">
        <f>SUBTOTAL(101,Таблица17[X8])</f>
        <v>-9.9259225177796726E-16</v>
      </c>
      <c r="P86" s="212">
        <f>SUBTOTAL(101,Таблица17[X9])</f>
        <v>2.7491236800241972E-16</v>
      </c>
      <c r="Q86" s="223">
        <f>SUBTOTAL(109,Таблица17[[Квадрат расстояния ]])</f>
        <v>747.00000000000023</v>
      </c>
      <c r="R86" s="215"/>
      <c r="S86" s="196"/>
      <c r="T86" s="196"/>
      <c r="U86" s="215"/>
      <c r="V86" s="196"/>
      <c r="W86" s="196"/>
      <c r="X86" s="196"/>
      <c r="Y86" s="196"/>
      <c r="Z86" s="196"/>
    </row>
    <row r="87" spans="1:26" ht="13.8">
      <c r="B87" s="197"/>
      <c r="H87" s="198"/>
      <c r="I87" s="198"/>
      <c r="J87" s="198"/>
      <c r="K87" s="198"/>
      <c r="L87" s="198"/>
      <c r="M87" s="198"/>
      <c r="N87" s="198"/>
      <c r="O87" s="198"/>
      <c r="P87" s="19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6196-66D3-4FD6-BA22-5D17AE155E6F}">
  <dimension ref="A1:K86"/>
  <sheetViews>
    <sheetView workbookViewId="0">
      <selection activeCell="Q22" sqref="Q22"/>
    </sheetView>
  </sheetViews>
  <sheetFormatPr defaultRowHeight="13.2"/>
  <cols>
    <col min="1" max="1" width="43.77734375" bestFit="1" customWidth="1"/>
    <col min="4" max="7" width="13.109375" bestFit="1" customWidth="1"/>
    <col min="11" max="11" width="12.109375" style="192" customWidth="1"/>
  </cols>
  <sheetData>
    <row r="1" spans="1:11" ht="13.8">
      <c r="A1" s="200" t="s">
        <v>239</v>
      </c>
      <c r="B1" s="200" t="s">
        <v>2532</v>
      </c>
      <c r="C1" s="200" t="s">
        <v>2533</v>
      </c>
      <c r="D1" s="200" t="s">
        <v>2534</v>
      </c>
      <c r="E1" s="200" t="s">
        <v>2535</v>
      </c>
      <c r="F1" s="200" t="s">
        <v>2536</v>
      </c>
      <c r="G1" s="200" t="s">
        <v>2537</v>
      </c>
      <c r="H1" s="200" t="s">
        <v>2538</v>
      </c>
      <c r="I1" s="200" t="s">
        <v>2539</v>
      </c>
      <c r="J1" s="200" t="s">
        <v>2540</v>
      </c>
      <c r="K1" s="200" t="s">
        <v>2578</v>
      </c>
    </row>
    <row r="2" spans="1:11" ht="13.8">
      <c r="A2" s="201" t="s">
        <v>270</v>
      </c>
      <c r="B2" s="202">
        <v>-0.56742350158129584</v>
      </c>
      <c r="C2" s="202">
        <v>-0.12671335829713987</v>
      </c>
      <c r="D2" s="202">
        <v>-1.0232463341113265</v>
      </c>
      <c r="E2" s="202">
        <v>-0.9170515061953245</v>
      </c>
      <c r="F2" s="202">
        <v>-0.43239675907901698</v>
      </c>
      <c r="G2" s="202">
        <v>1.0067713438522587</v>
      </c>
      <c r="H2" s="202">
        <v>-0.25008035010612689</v>
      </c>
      <c r="I2" s="202">
        <v>-0.73015367632614725</v>
      </c>
      <c r="J2" s="202">
        <v>0.16359301643449839</v>
      </c>
      <c r="K2" s="195"/>
    </row>
    <row r="3" spans="1:11" ht="13.8">
      <c r="A3" s="201" t="s">
        <v>342</v>
      </c>
      <c r="B3" s="202">
        <v>-0.36552509376294046</v>
      </c>
      <c r="C3" s="202">
        <v>-0.22303844514745472</v>
      </c>
      <c r="D3" s="202">
        <v>-0.35195498709152728</v>
      </c>
      <c r="E3" s="202">
        <v>-0.74563577157209204</v>
      </c>
      <c r="F3" s="202">
        <v>-0.10722989504916051</v>
      </c>
      <c r="G3" s="202">
        <v>5.5636346109753633E-2</v>
      </c>
      <c r="H3" s="202">
        <v>-0.1110421821594134</v>
      </c>
      <c r="I3" s="202">
        <v>-0.42783496376227154</v>
      </c>
      <c r="J3" s="202">
        <v>0.5996958378750642</v>
      </c>
      <c r="K3" s="195">
        <v>2</v>
      </c>
    </row>
    <row r="4" spans="1:11" ht="13.8">
      <c r="A4" s="201" t="s">
        <v>272</v>
      </c>
      <c r="B4" s="202">
        <v>0.24638174702950655</v>
      </c>
      <c r="C4" s="202">
        <v>0.88470005363116744</v>
      </c>
      <c r="D4" s="202">
        <v>-0.98214686388562433</v>
      </c>
      <c r="E4" s="202">
        <v>-0.70754338610026268</v>
      </c>
      <c r="F4" s="202">
        <v>1.1357771578556701</v>
      </c>
      <c r="G4" s="202">
        <v>1.4412278849769034</v>
      </c>
      <c r="H4" s="202">
        <v>-0.65760601477752856</v>
      </c>
      <c r="I4" s="202">
        <v>-0.42783496376227154</v>
      </c>
      <c r="J4" s="202">
        <v>-0.62932120436653038</v>
      </c>
      <c r="K4" s="195">
        <v>4</v>
      </c>
    </row>
    <row r="5" spans="1:11" ht="13.8">
      <c r="A5" s="201" t="s">
        <v>355</v>
      </c>
      <c r="B5" s="202">
        <v>-0.13998918909696834</v>
      </c>
      <c r="C5" s="202">
        <v>6.5936815403490043E-2</v>
      </c>
      <c r="D5" s="202">
        <v>-0.76294968934854723</v>
      </c>
      <c r="E5" s="202">
        <v>-0.66945100062843343</v>
      </c>
      <c r="F5" s="202">
        <v>0.48638868230767102</v>
      </c>
      <c r="G5" s="202">
        <v>0.4022880021706558</v>
      </c>
      <c r="H5" s="202">
        <v>-4.1523098186056644E-2</v>
      </c>
      <c r="I5" s="202">
        <v>0.36575165671790222</v>
      </c>
      <c r="J5" s="202">
        <v>0.5905468276350524</v>
      </c>
      <c r="K5" s="195">
        <v>2</v>
      </c>
    </row>
    <row r="6" spans="1:11" ht="13.8">
      <c r="A6" s="201" t="s">
        <v>274</v>
      </c>
      <c r="B6" s="202">
        <v>-0.11610156000757796</v>
      </c>
      <c r="C6" s="202">
        <v>-3.0388271446824808E-2</v>
      </c>
      <c r="D6" s="202">
        <v>0.92212858990523339</v>
      </c>
      <c r="E6" s="202">
        <v>0.77805964730108756</v>
      </c>
      <c r="F6" s="202">
        <v>-0.53353877783248993</v>
      </c>
      <c r="G6" s="202">
        <v>-0.39049367684417485</v>
      </c>
      <c r="H6" s="202">
        <v>1.0252352593361418</v>
      </c>
      <c r="I6" s="202">
        <v>-0.16330609026888029</v>
      </c>
      <c r="J6" s="202">
        <v>-0.82754975956678767</v>
      </c>
      <c r="K6" s="195">
        <v>1</v>
      </c>
    </row>
    <row r="7" spans="1:11" ht="13.8">
      <c r="A7" s="201" t="s">
        <v>293</v>
      </c>
      <c r="B7" s="202">
        <v>0.19114421030447643</v>
      </c>
      <c r="C7" s="202">
        <v>-0.80098896624934468</v>
      </c>
      <c r="D7" s="202">
        <v>0.47003441742251212</v>
      </c>
      <c r="E7" s="202">
        <v>0.66378249088559882</v>
      </c>
      <c r="F7" s="202">
        <v>-0.44657554675473737</v>
      </c>
      <c r="G7" s="202">
        <v>-0.80921639463369821</v>
      </c>
      <c r="H7" s="202">
        <v>0.42353560149777819</v>
      </c>
      <c r="I7" s="202">
        <v>-0.20109592933936477</v>
      </c>
      <c r="J7" s="202">
        <v>0.15444400619448617</v>
      </c>
      <c r="K7" s="195">
        <v>1</v>
      </c>
    </row>
    <row r="8" spans="1:11" ht="13.8">
      <c r="A8" s="201" t="s">
        <v>276</v>
      </c>
      <c r="B8" s="202">
        <v>-0.47495794953894349</v>
      </c>
      <c r="C8" s="202">
        <v>-0.80098896624934468</v>
      </c>
      <c r="D8" s="202">
        <v>0.15493847902546359</v>
      </c>
      <c r="E8" s="202">
        <v>-0.19329618223056472</v>
      </c>
      <c r="F8" s="202">
        <v>-1.1659127081696239</v>
      </c>
      <c r="G8" s="202">
        <v>0.87379515953607056</v>
      </c>
      <c r="H8" s="202">
        <v>0.21497834957770792</v>
      </c>
      <c r="I8" s="202">
        <v>-0.69236383725566286</v>
      </c>
      <c r="J8" s="202">
        <v>1.1791331530758156</v>
      </c>
      <c r="K8" s="195"/>
    </row>
    <row r="9" spans="1:11" ht="13.8">
      <c r="A9" s="201" t="s">
        <v>277</v>
      </c>
      <c r="B9" s="202">
        <v>-0.60310903474101341</v>
      </c>
      <c r="C9" s="202">
        <v>-0.36752607542292731</v>
      </c>
      <c r="D9" s="202">
        <v>-9.459401877344193E-3</v>
      </c>
      <c r="E9" s="202">
        <v>-0.38375810958971218</v>
      </c>
      <c r="F9" s="202">
        <v>-0.42388948647358438</v>
      </c>
      <c r="G9" s="202">
        <v>-0.97772056712596733</v>
      </c>
      <c r="H9" s="202">
        <v>-0.36274921033880853</v>
      </c>
      <c r="I9" s="202">
        <v>-0.46562480283275604</v>
      </c>
      <c r="J9" s="202">
        <v>-4.3784549005771022E-2</v>
      </c>
      <c r="K9" s="195"/>
    </row>
    <row r="10" spans="1:11" ht="13.8">
      <c r="A10" s="201" t="s">
        <v>278</v>
      </c>
      <c r="B10" s="202">
        <v>-0.30574348797902101</v>
      </c>
      <c r="C10" s="202">
        <v>-0.27120098857261227</v>
      </c>
      <c r="D10" s="202">
        <v>-0.9684470404770571</v>
      </c>
      <c r="E10" s="202">
        <v>0.39237424439881424</v>
      </c>
      <c r="F10" s="202">
        <v>-1.3133720999971172</v>
      </c>
      <c r="G10" s="202">
        <v>1.1336570159096901</v>
      </c>
      <c r="H10" s="202">
        <v>-0.46343202161056657</v>
      </c>
      <c r="I10" s="202">
        <v>-0.99468254981953852</v>
      </c>
      <c r="J10" s="202">
        <v>0.43196398347484655</v>
      </c>
      <c r="K10" s="195"/>
    </row>
    <row r="11" spans="1:11" ht="13.8">
      <c r="A11" s="201" t="s">
        <v>341</v>
      </c>
      <c r="B11" s="202">
        <v>-0.45077849950081711</v>
      </c>
      <c r="C11" s="202">
        <v>-0.27120098857261227</v>
      </c>
      <c r="D11" s="202">
        <v>1.1002262942166088</v>
      </c>
      <c r="E11" s="202">
        <v>0.24000470251149547</v>
      </c>
      <c r="F11" s="202">
        <v>-0.40025817368071687</v>
      </c>
      <c r="G11" s="202">
        <v>-0.89346848087983277</v>
      </c>
      <c r="H11" s="202">
        <v>-1.2756580679840056E-2</v>
      </c>
      <c r="I11" s="202">
        <v>-0.50341464190324048</v>
      </c>
      <c r="J11" s="202">
        <v>0.40146728267480697</v>
      </c>
      <c r="K11" s="195">
        <v>1</v>
      </c>
    </row>
    <row r="12" spans="1:11" ht="13.8">
      <c r="A12" s="201" t="s">
        <v>280</v>
      </c>
      <c r="B12" s="202">
        <v>2.7956878664803124</v>
      </c>
      <c r="C12" s="202">
        <v>-0.89731405309965961</v>
      </c>
      <c r="D12" s="202">
        <v>2.1277130498591585</v>
      </c>
      <c r="E12" s="202">
        <v>2.358893644382011</v>
      </c>
      <c r="F12" s="202">
        <v>2.356098150479347</v>
      </c>
      <c r="G12" s="202">
        <v>-0.75896966849895553</v>
      </c>
      <c r="H12" s="202">
        <v>5.316240787346783</v>
      </c>
      <c r="I12" s="202">
        <v>-0.76794351539663175</v>
      </c>
      <c r="J12" s="202">
        <v>-1.1813114888472469</v>
      </c>
      <c r="K12" s="195">
        <v>6</v>
      </c>
    </row>
    <row r="13" spans="1:11" ht="13.8">
      <c r="A13" s="201" t="s">
        <v>310</v>
      </c>
      <c r="B13" s="202">
        <v>-0.56750687899522045</v>
      </c>
      <c r="C13" s="202">
        <v>-0.36752607542292731</v>
      </c>
      <c r="D13" s="202">
        <v>-0.26975604664012365</v>
      </c>
      <c r="E13" s="202">
        <v>-8.8542122183033492E-2</v>
      </c>
      <c r="F13" s="202">
        <v>-0.28304686222809461</v>
      </c>
      <c r="G13" s="202">
        <v>-0.40419732942637765</v>
      </c>
      <c r="H13" s="202">
        <v>-6.0700776523534367E-2</v>
      </c>
      <c r="I13" s="202">
        <v>0.59249069114080899</v>
      </c>
      <c r="J13" s="202">
        <v>0.75522901195526582</v>
      </c>
      <c r="K13" s="195">
        <v>2</v>
      </c>
    </row>
    <row r="14" spans="1:11" ht="13.8">
      <c r="A14" s="201" t="s">
        <v>291</v>
      </c>
      <c r="B14" s="202">
        <v>-0.49046614852891424</v>
      </c>
      <c r="C14" s="202">
        <v>-0.22303844514745472</v>
      </c>
      <c r="D14" s="202">
        <v>-0.87254827661708567</v>
      </c>
      <c r="E14" s="202">
        <v>-1.0122824698748982</v>
      </c>
      <c r="F14" s="202">
        <v>0.36917737085504809</v>
      </c>
      <c r="G14" s="202">
        <v>0.13227529203244229</v>
      </c>
      <c r="H14" s="202">
        <v>-0.45144597264964303</v>
      </c>
      <c r="I14" s="202">
        <v>-0.31446544655081815</v>
      </c>
      <c r="J14" s="202">
        <v>1.185232493235824</v>
      </c>
      <c r="K14" s="195">
        <v>2</v>
      </c>
    </row>
    <row r="15" spans="1:11" ht="13.8">
      <c r="A15" s="201" t="s">
        <v>283</v>
      </c>
      <c r="B15" s="202">
        <v>-0.37244541911868007</v>
      </c>
      <c r="C15" s="202">
        <v>-0.27120098857261227</v>
      </c>
      <c r="D15" s="202">
        <v>-1.3383422725083747</v>
      </c>
      <c r="E15" s="202">
        <v>-0.73135112702015614</v>
      </c>
      <c r="F15" s="202">
        <v>-0.2509082768297945</v>
      </c>
      <c r="G15" s="202">
        <v>-0.32958855425660777</v>
      </c>
      <c r="H15" s="202">
        <v>8.0734601215363855E-2</v>
      </c>
      <c r="I15" s="202">
        <v>0.78143988649323137</v>
      </c>
      <c r="J15" s="202">
        <v>0.47160969451489787</v>
      </c>
      <c r="K15" s="195">
        <v>2</v>
      </c>
    </row>
    <row r="16" spans="1:11" ht="13.8">
      <c r="A16" s="201" t="s">
        <v>284</v>
      </c>
      <c r="B16" s="202">
        <v>-0.31512344704553558</v>
      </c>
      <c r="C16" s="202">
        <v>1.7774271978332722E-2</v>
      </c>
      <c r="D16" s="202">
        <v>-0.24235639982298909</v>
      </c>
      <c r="E16" s="202">
        <v>-0.43137359142949905</v>
      </c>
      <c r="F16" s="202">
        <v>-8.0762824721148818E-2</v>
      </c>
      <c r="G16" s="202">
        <v>0.61900873004474877</v>
      </c>
      <c r="H16" s="202">
        <v>-0.6504143854009744</v>
      </c>
      <c r="I16" s="202">
        <v>0.40354149578838666</v>
      </c>
      <c r="J16" s="202">
        <v>-5.9032899405790804E-2</v>
      </c>
      <c r="K16" s="195">
        <v>3</v>
      </c>
    </row>
    <row r="17" spans="1:11" ht="13.8">
      <c r="A17" s="201" t="s">
        <v>285</v>
      </c>
      <c r="B17" s="202">
        <v>-0.46249302615721971</v>
      </c>
      <c r="C17" s="202">
        <v>2.6185516169368372</v>
      </c>
      <c r="D17" s="202">
        <v>1.5660202901078981</v>
      </c>
      <c r="E17" s="202">
        <v>0.73044416546130075</v>
      </c>
      <c r="F17" s="202">
        <v>-0.42767049652044375</v>
      </c>
      <c r="G17" s="202">
        <v>-1.9983889131559451</v>
      </c>
      <c r="H17" s="202">
        <v>0.86701941305195063</v>
      </c>
      <c r="I17" s="202">
        <v>2.0662944148897031</v>
      </c>
      <c r="J17" s="202">
        <v>-0.90989085172689455</v>
      </c>
      <c r="K17" s="195"/>
    </row>
    <row r="18" spans="1:11" ht="13.8">
      <c r="A18" s="201" t="s">
        <v>286</v>
      </c>
      <c r="B18" s="202">
        <v>-0.27093341766551149</v>
      </c>
      <c r="C18" s="202">
        <v>-0.31936353199776979</v>
      </c>
      <c r="D18" s="202">
        <v>0.18233812584259815</v>
      </c>
      <c r="E18" s="202">
        <v>9.2396708808156466E-2</v>
      </c>
      <c r="F18" s="202">
        <v>-1.6485653924549259E-2</v>
      </c>
      <c r="G18" s="202">
        <v>-0.31486981629794586</v>
      </c>
      <c r="H18" s="202">
        <v>0.51462957360079742</v>
      </c>
      <c r="I18" s="202">
        <v>0.29017197857693328</v>
      </c>
      <c r="J18" s="202">
        <v>-0.11087729076585773</v>
      </c>
      <c r="K18" s="195"/>
    </row>
    <row r="19" spans="1:11" ht="13.8">
      <c r="A19" s="201" t="s">
        <v>287</v>
      </c>
      <c r="B19" s="202">
        <v>0.73810004564968046</v>
      </c>
      <c r="C19" s="202">
        <v>-0.60833879254871481</v>
      </c>
      <c r="D19" s="202">
        <v>-1.3246424490998074</v>
      </c>
      <c r="E19" s="202">
        <v>1.3446838811945516</v>
      </c>
      <c r="F19" s="202">
        <v>-0.9286543277292344</v>
      </c>
      <c r="G19" s="202">
        <v>1.0128618561110159</v>
      </c>
      <c r="H19" s="202">
        <v>0.14545926560435118</v>
      </c>
      <c r="I19" s="202">
        <v>0.59249069114080899</v>
      </c>
      <c r="J19" s="202">
        <v>0.23373542827458932</v>
      </c>
      <c r="K19" s="195"/>
    </row>
    <row r="20" spans="1:11" ht="13.8">
      <c r="A20" s="201" t="s">
        <v>288</v>
      </c>
      <c r="B20" s="202">
        <v>1.5429839109705534</v>
      </c>
      <c r="C20" s="202">
        <v>-0.7528264228241871</v>
      </c>
      <c r="D20" s="202">
        <v>0.37413565356254047</v>
      </c>
      <c r="E20" s="202">
        <v>-1.7550839865755739</v>
      </c>
      <c r="F20" s="202">
        <v>1.2000543286522698</v>
      </c>
      <c r="G20" s="202">
        <v>0.1535920849380904</v>
      </c>
      <c r="H20" s="202">
        <v>-0.71897458545745729</v>
      </c>
      <c r="I20" s="202">
        <v>2.0662944148897031</v>
      </c>
      <c r="J20" s="202">
        <v>0.90466284587545942</v>
      </c>
      <c r="K20" s="195">
        <v>5</v>
      </c>
    </row>
    <row r="21" spans="1:11" ht="13.8">
      <c r="A21" s="201" t="s">
        <v>331</v>
      </c>
      <c r="B21" s="202">
        <v>-0.13348575081085159</v>
      </c>
      <c r="C21" s="202">
        <v>-0.27120098857261227</v>
      </c>
      <c r="D21" s="202">
        <v>0.77143053241099313</v>
      </c>
      <c r="E21" s="202">
        <v>4.9542775152348686E-2</v>
      </c>
      <c r="F21" s="202">
        <v>-1.1139238200253156</v>
      </c>
      <c r="G21" s="202">
        <v>-0.47170050696093091</v>
      </c>
      <c r="H21" s="202">
        <v>-7.5084035276642661E-2</v>
      </c>
      <c r="I21" s="202">
        <v>-0.31446544655081815</v>
      </c>
      <c r="J21" s="202">
        <v>-0.99833128404700944</v>
      </c>
      <c r="K21" s="195">
        <v>1</v>
      </c>
    </row>
    <row r="22" spans="1:11" ht="13.8">
      <c r="A22" s="201" t="s">
        <v>290</v>
      </c>
      <c r="B22" s="202">
        <v>-0.44331622095456774</v>
      </c>
      <c r="C22" s="202">
        <v>-0.12671335829713987</v>
      </c>
      <c r="D22" s="202">
        <v>-0.31085551686582569</v>
      </c>
      <c r="E22" s="202">
        <v>-0.55041229602896624</v>
      </c>
      <c r="F22" s="202">
        <v>-0.62239251393367145</v>
      </c>
      <c r="G22" s="202">
        <v>-0.31791507242732436</v>
      </c>
      <c r="H22" s="202">
        <v>-0.29083291657326704</v>
      </c>
      <c r="I22" s="202">
        <v>-0.35225528562130259</v>
      </c>
      <c r="J22" s="202">
        <v>-8.0380589965818164E-2</v>
      </c>
      <c r="K22" s="195">
        <v>3</v>
      </c>
    </row>
    <row r="23" spans="1:11" ht="13.8">
      <c r="A23" s="201" t="s">
        <v>339</v>
      </c>
      <c r="B23" s="202">
        <v>-0.30465958159800155</v>
      </c>
      <c r="C23" s="202">
        <v>-0.31936353199776979</v>
      </c>
      <c r="D23" s="202">
        <v>-0.58485198503717195</v>
      </c>
      <c r="E23" s="202">
        <v>-0.80753589796381486</v>
      </c>
      <c r="F23" s="202">
        <v>0.35405333066761319</v>
      </c>
      <c r="G23" s="202">
        <v>-0.89093076743868416</v>
      </c>
      <c r="H23" s="202">
        <v>7.8337391423179137E-2</v>
      </c>
      <c r="I23" s="202">
        <v>0.32796181764741777</v>
      </c>
      <c r="J23" s="202">
        <v>0.23068575819458512</v>
      </c>
      <c r="K23" s="195">
        <v>2</v>
      </c>
    </row>
    <row r="24" spans="1:11" ht="13.8">
      <c r="A24" s="201" t="s">
        <v>305</v>
      </c>
      <c r="B24" s="202">
        <v>-0.46436901797052266</v>
      </c>
      <c r="C24" s="202">
        <v>-0.65650133597387228</v>
      </c>
      <c r="D24" s="202">
        <v>-1.3794417427340768</v>
      </c>
      <c r="E24" s="202">
        <v>-0.33138107956594626</v>
      </c>
      <c r="F24" s="202">
        <v>-0.42010847642672566</v>
      </c>
      <c r="G24" s="202">
        <v>-0.24279875456932523</v>
      </c>
      <c r="H24" s="202">
        <v>-0.24768314031394217</v>
      </c>
      <c r="I24" s="202">
        <v>-0.23888576840984924</v>
      </c>
      <c r="J24" s="202">
        <v>0.49600705515492943</v>
      </c>
      <c r="K24" s="195">
        <v>2</v>
      </c>
    </row>
    <row r="25" spans="1:11" ht="13.8">
      <c r="A25" s="201" t="s">
        <v>325</v>
      </c>
      <c r="B25" s="202">
        <v>-0.80855098265116321</v>
      </c>
      <c r="C25" s="202">
        <v>-0.56017624912355723</v>
      </c>
      <c r="D25" s="202">
        <v>1.524920819882196</v>
      </c>
      <c r="E25" s="202">
        <v>0.46855901534247296</v>
      </c>
      <c r="F25" s="202">
        <v>0.39848019871820395</v>
      </c>
      <c r="G25" s="202">
        <v>-0.92493612755007593</v>
      </c>
      <c r="H25" s="202">
        <v>1.6266780732682388E-3</v>
      </c>
      <c r="I25" s="202">
        <v>-0.46562480283275604</v>
      </c>
      <c r="J25" s="202">
        <v>-0.80010272884675226</v>
      </c>
      <c r="K25" s="195">
        <v>1</v>
      </c>
    </row>
    <row r="26" spans="1:11" ht="13.8">
      <c r="A26" s="201" t="s">
        <v>294</v>
      </c>
      <c r="B26" s="202">
        <v>1.4092271835644004E-2</v>
      </c>
      <c r="C26" s="202">
        <v>-0.80098896624934468</v>
      </c>
      <c r="D26" s="202">
        <v>-9.1658342328748324E-2</v>
      </c>
      <c r="E26" s="202">
        <v>0.26857399161536866</v>
      </c>
      <c r="F26" s="202">
        <v>-3.8226461693987059E-2</v>
      </c>
      <c r="G26" s="202">
        <v>4.8820772867810966E-3</v>
      </c>
      <c r="H26" s="202">
        <v>-0.70075579103685348</v>
      </c>
      <c r="I26" s="202">
        <v>2.5643105083542034E-2</v>
      </c>
      <c r="J26" s="202">
        <v>0.10564928491442305</v>
      </c>
      <c r="K26" s="195">
        <v>3</v>
      </c>
    </row>
    <row r="27" spans="1:11" ht="13.8">
      <c r="A27" s="201" t="s">
        <v>295</v>
      </c>
      <c r="B27" s="202">
        <v>-0.63491751815323827</v>
      </c>
      <c r="C27" s="202">
        <v>0.49939970622990759</v>
      </c>
      <c r="D27" s="202">
        <v>-1.1328449213798648</v>
      </c>
      <c r="E27" s="202">
        <v>-0.53612765147702957</v>
      </c>
      <c r="F27" s="202">
        <v>-1.763312295573314</v>
      </c>
      <c r="G27" s="202">
        <v>1.5315704834817954</v>
      </c>
      <c r="H27" s="202">
        <v>-0.40110456701376401</v>
      </c>
      <c r="I27" s="202">
        <v>-0.65457399818517836</v>
      </c>
      <c r="J27" s="202">
        <v>0.21543740779456533</v>
      </c>
      <c r="K27" s="195"/>
    </row>
    <row r="28" spans="1:11" ht="13.8">
      <c r="A28" s="201" t="s">
        <v>298</v>
      </c>
      <c r="B28" s="202">
        <v>-0.19109954383273209</v>
      </c>
      <c r="C28" s="202">
        <v>-0.36752607542292731</v>
      </c>
      <c r="D28" s="202">
        <v>1.0180273537652051</v>
      </c>
      <c r="E28" s="202">
        <v>-6.4734381263140059E-2</v>
      </c>
      <c r="F28" s="202">
        <v>-0.95512139805724605</v>
      </c>
      <c r="G28" s="202">
        <v>-0.99700718927869658</v>
      </c>
      <c r="H28" s="202">
        <v>0.62969564362566377</v>
      </c>
      <c r="I28" s="202">
        <v>0.5547008520703246</v>
      </c>
      <c r="J28" s="202">
        <v>0.19408971723453797</v>
      </c>
      <c r="K28" s="195">
        <v>1</v>
      </c>
    </row>
    <row r="29" spans="1:11" ht="13.8">
      <c r="A29" s="201" t="s">
        <v>314</v>
      </c>
      <c r="B29" s="202">
        <v>-0.30674401694611592</v>
      </c>
      <c r="C29" s="202">
        <v>0.1622619022538051</v>
      </c>
      <c r="D29" s="202">
        <v>1.908515875322081</v>
      </c>
      <c r="E29" s="202">
        <v>1.5922843867614427</v>
      </c>
      <c r="F29" s="202">
        <v>-1.2746167470168142</v>
      </c>
      <c r="G29" s="202">
        <v>-1.128460745530196</v>
      </c>
      <c r="H29" s="202">
        <v>0.65846216113188027</v>
      </c>
      <c r="I29" s="202">
        <v>-0.73015367632614725</v>
      </c>
      <c r="J29" s="202">
        <v>-0.38534759796621387</v>
      </c>
      <c r="K29" s="195"/>
    </row>
    <row r="30" spans="1:11" ht="13.8">
      <c r="A30" s="201" t="s">
        <v>323</v>
      </c>
      <c r="B30" s="202">
        <v>-0.71566854353918807</v>
      </c>
      <c r="C30" s="202">
        <v>-3.0388271446824808E-2</v>
      </c>
      <c r="D30" s="202">
        <v>0.82622982604526229</v>
      </c>
      <c r="E30" s="202">
        <v>-0.3075733386460528</v>
      </c>
      <c r="F30" s="202">
        <v>-0.33503575037240285</v>
      </c>
      <c r="G30" s="202">
        <v>-1.3126987413575861</v>
      </c>
      <c r="H30" s="202">
        <v>0.49784910505550439</v>
      </c>
      <c r="I30" s="202">
        <v>0.74365004742274687</v>
      </c>
      <c r="J30" s="202">
        <v>-0.77265569812671653</v>
      </c>
      <c r="K30" s="195"/>
    </row>
    <row r="31" spans="1:11" ht="13.8">
      <c r="A31" s="201" t="s">
        <v>299</v>
      </c>
      <c r="B31" s="202">
        <v>2.5478068148825543</v>
      </c>
      <c r="C31" s="202">
        <v>-0.12671335829713987</v>
      </c>
      <c r="D31" s="202">
        <v>1.3057236453451186</v>
      </c>
      <c r="E31" s="202">
        <v>-0.99323627713898388</v>
      </c>
      <c r="F31" s="202">
        <v>1.1745325108359725</v>
      </c>
      <c r="G31" s="202">
        <v>-0.64121976482965959</v>
      </c>
      <c r="H31" s="202">
        <v>-0.71609793370683561</v>
      </c>
      <c r="I31" s="202">
        <v>0.4791211739293556</v>
      </c>
      <c r="J31" s="202">
        <v>0.96565624747553858</v>
      </c>
      <c r="K31" s="195"/>
    </row>
    <row r="32" spans="1:11" ht="13.8">
      <c r="A32" s="201" t="s">
        <v>279</v>
      </c>
      <c r="B32" s="202">
        <v>-0.2065660541157405</v>
      </c>
      <c r="C32" s="202">
        <v>-0.22303844514745472</v>
      </c>
      <c r="D32" s="202">
        <v>0.37413565356254047</v>
      </c>
      <c r="E32" s="202">
        <v>0.24952779887945364</v>
      </c>
      <c r="F32" s="202">
        <v>0.5459395905456973</v>
      </c>
      <c r="G32" s="202">
        <v>-1.2817386373755726</v>
      </c>
      <c r="H32" s="202">
        <v>0.29888069230417297</v>
      </c>
      <c r="I32" s="202">
        <v>0.21459230043596436</v>
      </c>
      <c r="J32" s="202">
        <v>0.35572223147474757</v>
      </c>
      <c r="K32" s="195"/>
    </row>
    <row r="33" spans="1:11" ht="13.8">
      <c r="A33" s="201" t="s">
        <v>301</v>
      </c>
      <c r="B33" s="202">
        <v>1.0732355609195048</v>
      </c>
      <c r="C33" s="202">
        <v>-0.12671335829713987</v>
      </c>
      <c r="D33" s="202">
        <v>0.5385335344653488</v>
      </c>
      <c r="E33" s="202">
        <v>-1.2551214272578117</v>
      </c>
      <c r="F33" s="202">
        <v>0.59131171110800262</v>
      </c>
      <c r="G33" s="202">
        <v>0.40381063023534536</v>
      </c>
      <c r="H33" s="202">
        <v>-0.67198927353063687</v>
      </c>
      <c r="I33" s="202">
        <v>0.78143988649323137</v>
      </c>
      <c r="J33" s="202">
        <v>-0.13832432148589352</v>
      </c>
      <c r="K33" s="195">
        <v>5</v>
      </c>
    </row>
    <row r="34" spans="1:11" ht="13.8">
      <c r="A34" s="201" t="s">
        <v>302</v>
      </c>
      <c r="B34" s="202">
        <v>3.2584742024686593</v>
      </c>
      <c r="C34" s="202">
        <v>1.2700004010324273</v>
      </c>
      <c r="D34" s="202">
        <v>-1.3109426256912402</v>
      </c>
      <c r="E34" s="202">
        <v>1.3970609112183168</v>
      </c>
      <c r="F34" s="202">
        <v>0.23495151419156121</v>
      </c>
      <c r="G34" s="202">
        <v>2.3070957110968155</v>
      </c>
      <c r="H34" s="202">
        <v>-0.72496760993791909</v>
      </c>
      <c r="I34" s="202">
        <v>-0.12551625119839582</v>
      </c>
      <c r="J34" s="202">
        <v>-2.0443681214883664</v>
      </c>
      <c r="K34" s="195"/>
    </row>
    <row r="35" spans="1:11" ht="13.8">
      <c r="A35" s="201" t="s">
        <v>307</v>
      </c>
      <c r="B35" s="202">
        <v>-0.38511878603521527</v>
      </c>
      <c r="C35" s="202">
        <v>-3.0388271446824808E-2</v>
      </c>
      <c r="D35" s="202">
        <v>-1.4342410363683462</v>
      </c>
      <c r="E35" s="202">
        <v>-9.8065218550990998E-2</v>
      </c>
      <c r="F35" s="202">
        <v>0.19052464614097045</v>
      </c>
      <c r="G35" s="202">
        <v>-0.20422551026386598</v>
      </c>
      <c r="H35" s="202">
        <v>-0.48980132932459847</v>
      </c>
      <c r="I35" s="202">
        <v>0.93259924277516926</v>
      </c>
      <c r="J35" s="202">
        <v>1.5328948823562751</v>
      </c>
      <c r="K35" s="195">
        <v>2</v>
      </c>
    </row>
    <row r="36" spans="1:11" ht="13.8">
      <c r="A36" s="201" t="s">
        <v>332</v>
      </c>
      <c r="B36" s="202">
        <v>-0.42259693359431116</v>
      </c>
      <c r="C36" s="202">
        <v>-0.36752607542292731</v>
      </c>
      <c r="D36" s="202">
        <v>-0.98214686388562433</v>
      </c>
      <c r="E36" s="202">
        <v>0.40189734076677108</v>
      </c>
      <c r="F36" s="202">
        <v>0.64708160929917025</v>
      </c>
      <c r="G36" s="202">
        <v>-0.26919097435727057</v>
      </c>
      <c r="H36" s="202">
        <v>-4.6317517770426073E-2</v>
      </c>
      <c r="I36" s="202">
        <v>2.5643105083542034E-2</v>
      </c>
      <c r="J36" s="202">
        <v>1.1394874420357646</v>
      </c>
      <c r="K36" s="195"/>
    </row>
    <row r="37" spans="1:11" ht="13.8">
      <c r="A37" s="201" t="s">
        <v>306</v>
      </c>
      <c r="B37" s="202">
        <v>-4.4175140556113766E-3</v>
      </c>
      <c r="C37" s="202">
        <v>-0.12671335829713987</v>
      </c>
      <c r="D37" s="202">
        <v>0.18233812584259815</v>
      </c>
      <c r="E37" s="202">
        <v>-0.57898158513283804</v>
      </c>
      <c r="F37" s="202">
        <v>0.80966504131409844</v>
      </c>
      <c r="G37" s="202">
        <v>-0.16615980864663657</v>
      </c>
      <c r="H37" s="202">
        <v>-0.45863760202619719</v>
      </c>
      <c r="I37" s="202">
        <v>-0.46562480283275604</v>
      </c>
      <c r="J37" s="202">
        <v>-0.1596720120459213</v>
      </c>
      <c r="K37" s="195"/>
    </row>
    <row r="38" spans="1:11" ht="13.8">
      <c r="A38" s="201" t="s">
        <v>271</v>
      </c>
      <c r="B38" s="202">
        <v>0.16729826992204833</v>
      </c>
      <c r="C38" s="202">
        <v>-0.60833879254871481</v>
      </c>
      <c r="D38" s="202">
        <v>-0.66705092548857581</v>
      </c>
      <c r="E38" s="202">
        <v>-0.7694435124919855</v>
      </c>
      <c r="F38" s="202">
        <v>0.62250504399458761</v>
      </c>
      <c r="G38" s="202">
        <v>0.21652737827857621</v>
      </c>
      <c r="H38" s="202">
        <v>-0.64082554623223553</v>
      </c>
      <c r="I38" s="202">
        <v>-8.7726412127911366E-2</v>
      </c>
      <c r="J38" s="202">
        <v>1.5938882839563544</v>
      </c>
      <c r="K38" s="195"/>
    </row>
    <row r="39" spans="1:11" ht="13.8">
      <c r="A39" s="201" t="s">
        <v>308</v>
      </c>
      <c r="B39" s="202">
        <v>-0.55387467181855266</v>
      </c>
      <c r="C39" s="202">
        <v>-0.51201370569839966</v>
      </c>
      <c r="D39" s="202">
        <v>0.71663123877672352</v>
      </c>
      <c r="E39" s="202">
        <v>0.35904340711096261</v>
      </c>
      <c r="F39" s="202">
        <v>-0.27359433711094749</v>
      </c>
      <c r="G39" s="202">
        <v>0.46420821013468255</v>
      </c>
      <c r="H39" s="202">
        <v>-0.33398269283259197</v>
      </c>
      <c r="I39" s="202">
        <v>0.29017197857693328</v>
      </c>
      <c r="J39" s="202">
        <v>-0.83059942964679179</v>
      </c>
      <c r="K39" s="195"/>
    </row>
    <row r="40" spans="1:11" ht="13.8">
      <c r="A40" s="201" t="s">
        <v>309</v>
      </c>
      <c r="B40" s="202">
        <v>-0.26313762946356384</v>
      </c>
      <c r="C40" s="202">
        <v>-0.17487590172229742</v>
      </c>
      <c r="D40" s="202">
        <v>8.6439361982626972E-2</v>
      </c>
      <c r="E40" s="202">
        <v>-0.35042727230186127</v>
      </c>
      <c r="F40" s="202">
        <v>-0.37946261842299361</v>
      </c>
      <c r="G40" s="202">
        <v>1.5381685384287815</v>
      </c>
      <c r="H40" s="202">
        <v>0.25093649646047866</v>
      </c>
      <c r="I40" s="202">
        <v>-4.9936573057426895E-2</v>
      </c>
      <c r="J40" s="202">
        <v>-0.17187069236593686</v>
      </c>
      <c r="K40" s="195"/>
    </row>
    <row r="41" spans="1:11" ht="13.8">
      <c r="A41" s="201" t="s">
        <v>344</v>
      </c>
      <c r="B41" s="202">
        <v>-0.31962582739746254</v>
      </c>
      <c r="C41" s="202">
        <v>-0.46385116227324219</v>
      </c>
      <c r="D41" s="202">
        <v>-0.31085551686582569</v>
      </c>
      <c r="E41" s="202">
        <v>0.12572754609600739</v>
      </c>
      <c r="F41" s="202">
        <v>-0.79442847106574688</v>
      </c>
      <c r="G41" s="202">
        <v>-0.38643333533833729</v>
      </c>
      <c r="H41" s="202">
        <v>0.29408627271980353</v>
      </c>
      <c r="I41" s="202">
        <v>0.74365004742274687</v>
      </c>
      <c r="J41" s="202">
        <v>0.52345408587496522</v>
      </c>
      <c r="K41" s="195"/>
    </row>
    <row r="42" spans="1:11" ht="13.8">
      <c r="A42" s="201" t="s">
        <v>311</v>
      </c>
      <c r="B42" s="202">
        <v>-0.18355388787255814</v>
      </c>
      <c r="C42" s="202">
        <v>-0.41568861884808483</v>
      </c>
      <c r="D42" s="202">
        <v>-0.58485198503717195</v>
      </c>
      <c r="E42" s="202">
        <v>0.39713579258279269</v>
      </c>
      <c r="F42" s="202">
        <v>-6.4693532021998762E-2</v>
      </c>
      <c r="G42" s="202">
        <v>0.39772011797658841</v>
      </c>
      <c r="H42" s="202">
        <v>-0.37713246909191683</v>
      </c>
      <c r="I42" s="202">
        <v>-0.46562480283275604</v>
      </c>
      <c r="J42" s="202">
        <v>-0.55917879252643954</v>
      </c>
      <c r="K42" s="195">
        <v>3</v>
      </c>
    </row>
    <row r="43" spans="1:11" ht="13.8">
      <c r="A43" s="203" t="s">
        <v>312</v>
      </c>
      <c r="B43" s="202">
        <v>0.18559961227849228</v>
      </c>
      <c r="C43" s="202">
        <v>-0.51201370569839966</v>
      </c>
      <c r="D43" s="202">
        <v>-1.7219373279482599</v>
      </c>
      <c r="E43" s="202">
        <v>-0.70754338610026268</v>
      </c>
      <c r="F43" s="202">
        <v>0.30395494754673402</v>
      </c>
      <c r="G43" s="202">
        <v>0.22820086010786025</v>
      </c>
      <c r="H43" s="202">
        <v>-0.50418458807770672</v>
      </c>
      <c r="I43" s="202">
        <v>-0.50341464190324048</v>
      </c>
      <c r="J43" s="202">
        <v>0.81012307339533696</v>
      </c>
      <c r="K43" s="195"/>
    </row>
    <row r="44" spans="1:11" ht="13.8">
      <c r="A44" s="201" t="s">
        <v>317</v>
      </c>
      <c r="B44" s="202">
        <v>-0.48483817308900551</v>
      </c>
      <c r="C44" s="202">
        <v>0.98102514048148248</v>
      </c>
      <c r="D44" s="202">
        <v>-0.95474721706848986</v>
      </c>
      <c r="E44" s="202">
        <v>-7.5958030553956862E-3</v>
      </c>
      <c r="F44" s="202">
        <v>-0.61483049383995403</v>
      </c>
      <c r="G44" s="202">
        <v>-0.61228983160056505</v>
      </c>
      <c r="H44" s="202">
        <v>-0.66479764415408271</v>
      </c>
      <c r="I44" s="202">
        <v>1.083758599057107</v>
      </c>
      <c r="J44" s="202">
        <v>0.29472882987466847</v>
      </c>
      <c r="K44" s="195"/>
    </row>
    <row r="45" spans="1:11" ht="13.8">
      <c r="A45" s="201" t="s">
        <v>275</v>
      </c>
      <c r="B45" s="202">
        <v>-0.37999107507885399</v>
      </c>
      <c r="C45" s="202">
        <v>-0.51201370569839966</v>
      </c>
      <c r="D45" s="202">
        <v>0.71663123877672352</v>
      </c>
      <c r="E45" s="202">
        <v>0.45903591897451612</v>
      </c>
      <c r="F45" s="202">
        <v>-0.93810685284638151</v>
      </c>
      <c r="G45" s="202">
        <v>-1.9479971748246068E-2</v>
      </c>
      <c r="H45" s="202">
        <v>6.3954132670070843E-2</v>
      </c>
      <c r="I45" s="202">
        <v>0.78143988649323137</v>
      </c>
      <c r="J45" s="202">
        <v>-1.3978380645275277</v>
      </c>
      <c r="K45" s="195"/>
    </row>
    <row r="46" spans="1:11" ht="13.8">
      <c r="A46" s="201" t="s">
        <v>304</v>
      </c>
      <c r="B46" s="202">
        <v>2.3305476074309404E-2</v>
      </c>
      <c r="C46" s="202">
        <v>-0.84915150967450226</v>
      </c>
      <c r="D46" s="202">
        <v>3.1640068348357392E-2</v>
      </c>
      <c r="E46" s="202">
        <v>-0.69325874154832678</v>
      </c>
      <c r="F46" s="202">
        <v>2.4193963097450047E-3</v>
      </c>
      <c r="G46" s="202">
        <v>0.86009150695386827</v>
      </c>
      <c r="H46" s="202">
        <v>2.5598775995115394E-2</v>
      </c>
      <c r="I46" s="202">
        <v>0.17680246136547989</v>
      </c>
      <c r="J46" s="202">
        <v>1.5694909233163223</v>
      </c>
      <c r="K46" s="195"/>
    </row>
    <row r="47" spans="1:11" ht="13.8">
      <c r="A47" s="201" t="s">
        <v>316</v>
      </c>
      <c r="B47" s="202">
        <v>-0.41771935487972361</v>
      </c>
      <c r="C47" s="202">
        <v>-0.65650133597387228</v>
      </c>
      <c r="D47" s="202">
        <v>-0.11905798914588288</v>
      </c>
      <c r="E47" s="202">
        <v>0.56378997902204664</v>
      </c>
      <c r="F47" s="202">
        <v>-0.56284160569564579</v>
      </c>
      <c r="G47" s="202">
        <v>0.91033823308861106</v>
      </c>
      <c r="H47" s="202">
        <v>4.9570873916962549E-2</v>
      </c>
      <c r="I47" s="202">
        <v>-1.2146733986942432E-2</v>
      </c>
      <c r="J47" s="202">
        <v>-0.35790056724617852</v>
      </c>
      <c r="K47" s="195">
        <v>3</v>
      </c>
    </row>
    <row r="48" spans="1:11" ht="13.8">
      <c r="A48" s="201" t="s">
        <v>273</v>
      </c>
      <c r="B48" s="202">
        <v>-0.56066993105340535</v>
      </c>
      <c r="C48" s="202">
        <v>0.35491207595443525</v>
      </c>
      <c r="D48" s="202">
        <v>-0.10535816573731585</v>
      </c>
      <c r="E48" s="202">
        <v>-0.22186547133443657</v>
      </c>
      <c r="F48" s="202">
        <v>1.0412519066842001</v>
      </c>
      <c r="G48" s="202">
        <v>-0.71582853999942886</v>
      </c>
      <c r="H48" s="202">
        <v>-0.52575947620736918</v>
      </c>
      <c r="I48" s="202">
        <v>0.89480940370468476</v>
      </c>
      <c r="J48" s="202">
        <v>-0.16272168212592508</v>
      </c>
      <c r="K48" s="195"/>
    </row>
    <row r="49" spans="1:11" ht="13.8">
      <c r="A49" s="201" t="s">
        <v>318</v>
      </c>
      <c r="B49" s="202">
        <v>-0.431726760419052</v>
      </c>
      <c r="C49" s="202">
        <v>3.9671028328412472</v>
      </c>
      <c r="D49" s="202">
        <v>-0.20125692959728703</v>
      </c>
      <c r="E49" s="202">
        <v>1.5494304531056342</v>
      </c>
      <c r="F49" s="202">
        <v>-0.96457392317439317</v>
      </c>
      <c r="G49" s="202">
        <v>-0.24635155338693296</v>
      </c>
      <c r="H49" s="202">
        <v>0.41394676232903932</v>
      </c>
      <c r="I49" s="202">
        <v>-4.9936573057426895E-2</v>
      </c>
      <c r="J49" s="202">
        <v>-1.4771294866076305</v>
      </c>
      <c r="K49" s="195">
        <v>7</v>
      </c>
    </row>
    <row r="50" spans="1:11" ht="13.8">
      <c r="A50" s="201" t="s">
        <v>322</v>
      </c>
      <c r="B50" s="202">
        <v>0.25471948842196396</v>
      </c>
      <c r="C50" s="202">
        <v>0.49939970622990759</v>
      </c>
      <c r="D50" s="202">
        <v>-0.32455534027439276</v>
      </c>
      <c r="E50" s="202">
        <v>-1.2503598790738326</v>
      </c>
      <c r="F50" s="202">
        <v>0.32191474526931307</v>
      </c>
      <c r="G50" s="202">
        <v>1.5539023617639025</v>
      </c>
      <c r="H50" s="202">
        <v>-0.68876974207592989</v>
      </c>
      <c r="I50" s="202">
        <v>-8.7726412127911366E-2</v>
      </c>
      <c r="J50" s="202">
        <v>0.56005012683501276</v>
      </c>
      <c r="K50" s="195"/>
    </row>
    <row r="51" spans="1:11" ht="13.8">
      <c r="A51" s="201" t="s">
        <v>321</v>
      </c>
      <c r="B51" s="202">
        <v>0.12615151615027118</v>
      </c>
      <c r="C51" s="202">
        <v>0.78837496678085239</v>
      </c>
      <c r="D51" s="202">
        <v>-1.3657419193255096</v>
      </c>
      <c r="E51" s="202">
        <v>-0.24567321225433</v>
      </c>
      <c r="F51" s="202">
        <v>0.90513554499728299</v>
      </c>
      <c r="G51" s="202">
        <v>3.363799587991104</v>
      </c>
      <c r="H51" s="202">
        <v>-0.61445623851820363</v>
      </c>
      <c r="I51" s="202">
        <v>-0.27667560748033371</v>
      </c>
      <c r="J51" s="202">
        <v>0.2733811393146407</v>
      </c>
      <c r="K51" s="195"/>
    </row>
    <row r="52" spans="1:11" ht="13.8">
      <c r="A52" s="201" t="s">
        <v>292</v>
      </c>
      <c r="B52" s="202">
        <v>-0.2657223292952256</v>
      </c>
      <c r="C52" s="202">
        <v>-0.27120098857261227</v>
      </c>
      <c r="D52" s="202">
        <v>-0.11905798914588288</v>
      </c>
      <c r="E52" s="202">
        <v>-1.1360827226583445</v>
      </c>
      <c r="F52" s="202">
        <v>-0.9759169533149693</v>
      </c>
      <c r="G52" s="202">
        <v>-0.11236028369428558</v>
      </c>
      <c r="H52" s="202">
        <v>-0.39631014742939458</v>
      </c>
      <c r="I52" s="202">
        <v>1.9529248976782498</v>
      </c>
      <c r="J52" s="202">
        <v>1.2157291940358637</v>
      </c>
      <c r="K52" s="195"/>
    </row>
    <row r="53" spans="1:11" ht="13.8">
      <c r="A53" s="201" t="s">
        <v>296</v>
      </c>
      <c r="B53" s="202">
        <v>-0.26359620524014898</v>
      </c>
      <c r="C53" s="202">
        <v>-0.60833879254871481</v>
      </c>
      <c r="D53" s="202">
        <v>2.3195105775791007</v>
      </c>
      <c r="E53" s="202">
        <v>6.3827419704284613E-2</v>
      </c>
      <c r="F53" s="202">
        <v>0.302064442523305</v>
      </c>
      <c r="G53" s="202">
        <v>-1.2568690456523162</v>
      </c>
      <c r="H53" s="202">
        <v>0.19100625165586077</v>
      </c>
      <c r="I53" s="202">
        <v>0.59249069114080899</v>
      </c>
      <c r="J53" s="202">
        <v>-9.5628940365837939E-2</v>
      </c>
      <c r="K53" s="195"/>
    </row>
    <row r="54" spans="1:11" ht="13.8">
      <c r="A54" s="201" t="s">
        <v>324</v>
      </c>
      <c r="B54" s="202">
        <v>-0.79329291590296624</v>
      </c>
      <c r="C54" s="202">
        <v>-0.12671335829713987</v>
      </c>
      <c r="D54" s="202">
        <v>0.82622982604526229</v>
      </c>
      <c r="E54" s="202">
        <v>5.9065871520306193E-2</v>
      </c>
      <c r="F54" s="202">
        <v>-1.2642189693879524</v>
      </c>
      <c r="G54" s="202">
        <v>0.65250654746791081</v>
      </c>
      <c r="H54" s="202">
        <v>-0.18775289550932431</v>
      </c>
      <c r="I54" s="202">
        <v>-0.61678415911469386</v>
      </c>
      <c r="J54" s="202">
        <v>-5.2933559245782809E-2</v>
      </c>
      <c r="K54" s="195"/>
    </row>
    <row r="55" spans="1:11" ht="13.8">
      <c r="A55" s="201" t="s">
        <v>300</v>
      </c>
      <c r="B55" s="202">
        <v>0.61816163571918104</v>
      </c>
      <c r="C55" s="202">
        <v>-0.51201370569839966</v>
      </c>
      <c r="D55" s="202">
        <v>1.6893187007850037</v>
      </c>
      <c r="E55" s="202">
        <v>1.5446689049216558</v>
      </c>
      <c r="F55" s="202">
        <v>-0.53164827280906024</v>
      </c>
      <c r="G55" s="202">
        <v>-0.72141150956995603</v>
      </c>
      <c r="H55" s="202">
        <v>1.3057088050217536</v>
      </c>
      <c r="I55" s="202">
        <v>0.25238213950644883</v>
      </c>
      <c r="J55" s="202">
        <v>-1.6662090315678759</v>
      </c>
      <c r="K55" s="195"/>
    </row>
    <row r="56" spans="1:11" ht="13.8">
      <c r="A56" s="201" t="s">
        <v>326</v>
      </c>
      <c r="B56" s="202">
        <v>0.79162834538925686</v>
      </c>
      <c r="C56" s="202">
        <v>0.98102514048148248</v>
      </c>
      <c r="D56" s="202">
        <v>0.6481321217338869</v>
      </c>
      <c r="E56" s="202">
        <v>-0.36471191685379717</v>
      </c>
      <c r="F56" s="202">
        <v>0.94010988793072725</v>
      </c>
      <c r="G56" s="202">
        <v>1.3006385603372703</v>
      </c>
      <c r="H56" s="202">
        <v>-0.71969374839511269</v>
      </c>
      <c r="I56" s="202">
        <v>-0.99468254981953852</v>
      </c>
      <c r="J56" s="202">
        <v>-0.60797351380650311</v>
      </c>
      <c r="K56" s="195">
        <v>4</v>
      </c>
    </row>
    <row r="57" spans="1:11" ht="13.8">
      <c r="A57" s="201" t="s">
        <v>327</v>
      </c>
      <c r="B57" s="202">
        <v>-0.61557395812273719</v>
      </c>
      <c r="C57" s="202">
        <v>3.1001770511884121</v>
      </c>
      <c r="D57" s="202">
        <v>1.4427218794307919</v>
      </c>
      <c r="E57" s="202">
        <v>-0.85038983161962334</v>
      </c>
      <c r="F57" s="202">
        <v>1.9959569435160465</v>
      </c>
      <c r="G57" s="202">
        <v>-1.0406558604664531</v>
      </c>
      <c r="H57" s="202">
        <v>0.98927711245337113</v>
      </c>
      <c r="I57" s="202">
        <v>4.7115831498236158</v>
      </c>
      <c r="J57" s="202">
        <v>0.8894144954754396</v>
      </c>
      <c r="K57" s="195"/>
    </row>
    <row r="58" spans="1:11" ht="13.8">
      <c r="A58" s="201" t="s">
        <v>328</v>
      </c>
      <c r="B58" s="202">
        <v>0.1034728595627871</v>
      </c>
      <c r="C58" s="202">
        <v>-0.7528264228241871</v>
      </c>
      <c r="D58" s="202">
        <v>0.37413565356254047</v>
      </c>
      <c r="E58" s="202">
        <v>1.8398848923283353</v>
      </c>
      <c r="F58" s="202">
        <v>-0.47871413215303749</v>
      </c>
      <c r="G58" s="202">
        <v>-7.3787039388826331E-2</v>
      </c>
      <c r="H58" s="202">
        <v>0.4115495525368546</v>
      </c>
      <c r="I58" s="202">
        <v>-1.7504793312292279</v>
      </c>
      <c r="J58" s="202">
        <v>-0.5195330814863881</v>
      </c>
      <c r="K58" s="195"/>
    </row>
    <row r="59" spans="1:11" ht="13.8">
      <c r="A59" s="201" t="s">
        <v>329</v>
      </c>
      <c r="B59" s="202">
        <v>-0.87996373767756064</v>
      </c>
      <c r="C59" s="202">
        <v>1.4626505747330574</v>
      </c>
      <c r="D59" s="202">
        <v>-0.44785375095149893</v>
      </c>
      <c r="E59" s="202">
        <v>-1.2979753609136195</v>
      </c>
      <c r="F59" s="202">
        <v>8.7492122364067851E-2</v>
      </c>
      <c r="G59" s="202">
        <v>-0.93762469475581911</v>
      </c>
      <c r="H59" s="202">
        <v>-0.6767836931150063</v>
      </c>
      <c r="I59" s="202">
        <v>-1.0324723888900229</v>
      </c>
      <c r="J59" s="202">
        <v>1.5084975217162433</v>
      </c>
      <c r="K59" s="195"/>
    </row>
    <row r="60" spans="1:11" ht="13.8">
      <c r="A60" s="201" t="s">
        <v>330</v>
      </c>
      <c r="B60" s="202">
        <v>-0.62712172995129067</v>
      </c>
      <c r="C60" s="202">
        <v>-0.7528264228241871</v>
      </c>
      <c r="D60" s="202">
        <v>-0.68075074889714338</v>
      </c>
      <c r="E60" s="202">
        <v>1.5494304531056342</v>
      </c>
      <c r="F60" s="202">
        <v>-0.9702454382446809</v>
      </c>
      <c r="G60" s="202">
        <v>0.20942178064336017</v>
      </c>
      <c r="H60" s="202">
        <v>-0.501787378285522</v>
      </c>
      <c r="I60" s="202">
        <v>-1.2970012623834142</v>
      </c>
      <c r="J60" s="202">
        <v>-5.2933559245782809E-2</v>
      </c>
      <c r="K60" s="195"/>
    </row>
    <row r="61" spans="1:11" ht="13.8">
      <c r="A61" s="201" t="s">
        <v>338</v>
      </c>
      <c r="B61" s="202">
        <v>-0.41997054505568709</v>
      </c>
      <c r="C61" s="202">
        <v>-0.17487590172229742</v>
      </c>
      <c r="D61" s="202">
        <v>0.44263477060537709</v>
      </c>
      <c r="E61" s="202">
        <v>1.5637150976575709</v>
      </c>
      <c r="F61" s="202">
        <v>-0.30195191246238817</v>
      </c>
      <c r="G61" s="202">
        <v>-1.5187610727788545</v>
      </c>
      <c r="H61" s="202">
        <v>2.1782931693769902</v>
      </c>
      <c r="I61" s="202">
        <v>0.66807036928177799</v>
      </c>
      <c r="J61" s="202">
        <v>-0.2481124443660358</v>
      </c>
      <c r="K61" s="195"/>
    </row>
    <row r="62" spans="1:11" ht="13.8">
      <c r="A62" s="201" t="s">
        <v>281</v>
      </c>
      <c r="B62" s="202">
        <v>-0.27360149491109781</v>
      </c>
      <c r="C62" s="202">
        <v>1.7774271978332722E-2</v>
      </c>
      <c r="D62" s="202">
        <v>-1.6671380343139905</v>
      </c>
      <c r="E62" s="202">
        <v>-1.8026994684153606</v>
      </c>
      <c r="F62" s="202">
        <v>-1.443816946613746</v>
      </c>
      <c r="G62" s="202">
        <v>-0.68436089332918626</v>
      </c>
      <c r="H62" s="202">
        <v>-0.55932041329795523</v>
      </c>
      <c r="I62" s="202">
        <v>-0.46562480283275604</v>
      </c>
      <c r="J62" s="202">
        <v>1.4688518106761914</v>
      </c>
      <c r="K62" s="195"/>
    </row>
    <row r="63" spans="1:11" ht="13.8">
      <c r="A63" s="201" t="s">
        <v>333</v>
      </c>
      <c r="B63" s="202">
        <v>-0.30603530892775704</v>
      </c>
      <c r="C63" s="202">
        <v>-0.80098896624934468</v>
      </c>
      <c r="D63" s="202">
        <v>3.1640068348357392E-2</v>
      </c>
      <c r="E63" s="202">
        <v>0.78282119548506601</v>
      </c>
      <c r="F63" s="202">
        <v>3.4557981708044444E-2</v>
      </c>
      <c r="G63" s="202">
        <v>0.46826855164052011</v>
      </c>
      <c r="H63" s="202">
        <v>0.11429553830594988</v>
      </c>
      <c r="I63" s="202">
        <v>-0.65457399818517836</v>
      </c>
      <c r="J63" s="202">
        <v>-0.11697663092586573</v>
      </c>
      <c r="K63" s="195">
        <v>3</v>
      </c>
    </row>
    <row r="64" spans="1:11" ht="13.8">
      <c r="A64" s="201" t="s">
        <v>334</v>
      </c>
      <c r="B64" s="202">
        <v>0.91694459851789123</v>
      </c>
      <c r="C64" s="202">
        <v>-0.99363913994997455</v>
      </c>
      <c r="D64" s="202">
        <v>0.29193671311113684</v>
      </c>
      <c r="E64" s="202">
        <v>-0.24091166407035158</v>
      </c>
      <c r="F64" s="202">
        <v>3.8826809568985876</v>
      </c>
      <c r="G64" s="202">
        <v>1.4254940616417822</v>
      </c>
      <c r="H64" s="202">
        <v>5.3641849831904773</v>
      </c>
      <c r="I64" s="202">
        <v>-4.9936573057426895E-2</v>
      </c>
      <c r="J64" s="202">
        <v>-0.87329481076684701</v>
      </c>
      <c r="K64" s="195">
        <v>6</v>
      </c>
    </row>
    <row r="65" spans="1:11" ht="13.8">
      <c r="A65" s="201" t="s">
        <v>335</v>
      </c>
      <c r="B65" s="202">
        <v>-0.69594978514602635</v>
      </c>
      <c r="C65" s="202">
        <v>-0.46385116227324219</v>
      </c>
      <c r="D65" s="202">
        <v>1.1687254112594454</v>
      </c>
      <c r="E65" s="202">
        <v>-0.76468196430800706</v>
      </c>
      <c r="F65" s="202">
        <v>3.9284244266618348E-2</v>
      </c>
      <c r="G65" s="202">
        <v>-0.54986208094830902</v>
      </c>
      <c r="H65" s="202">
        <v>-0.29323012636545176</v>
      </c>
      <c r="I65" s="202">
        <v>-0.69236383725566286</v>
      </c>
      <c r="J65" s="202">
        <v>0.31607652043469625</v>
      </c>
      <c r="K65" s="195"/>
    </row>
    <row r="66" spans="1:11" ht="13.8">
      <c r="A66" s="201" t="s">
        <v>336</v>
      </c>
      <c r="B66" s="202">
        <v>1.5783359344745727</v>
      </c>
      <c r="C66" s="202">
        <v>-0.41568861884808483</v>
      </c>
      <c r="D66" s="202">
        <v>-0.55745233822003737</v>
      </c>
      <c r="E66" s="202">
        <v>-1.8550764984391259</v>
      </c>
      <c r="F66" s="202">
        <v>2.1367995677615377</v>
      </c>
      <c r="G66" s="202">
        <v>-0.76506018075771254</v>
      </c>
      <c r="H66" s="202">
        <v>-0.6504143854009744</v>
      </c>
      <c r="I66" s="202">
        <v>2.2552436102421254</v>
      </c>
      <c r="J66" s="202">
        <v>-0.22371508372600421</v>
      </c>
      <c r="K66" s="195"/>
    </row>
    <row r="67" spans="1:11" ht="13.8">
      <c r="A67" s="201" t="s">
        <v>337</v>
      </c>
      <c r="B67" s="202">
        <v>0.14053412005226015</v>
      </c>
      <c r="C67" s="202">
        <v>-0.60833879254871481</v>
      </c>
      <c r="D67" s="202">
        <v>-0.61225163185430675</v>
      </c>
      <c r="E67" s="202">
        <v>-0.38851965777369063</v>
      </c>
      <c r="F67" s="202">
        <v>-0.46831635452417586</v>
      </c>
      <c r="G67" s="202">
        <v>0.39924274604127735</v>
      </c>
      <c r="H67" s="202">
        <v>-0.41788503555905698</v>
      </c>
      <c r="I67" s="202">
        <v>-0.73015367632614725</v>
      </c>
      <c r="J67" s="202">
        <v>-1.0410266651670645</v>
      </c>
      <c r="K67" s="195">
        <v>3</v>
      </c>
    </row>
    <row r="68" spans="1:11" ht="13.8">
      <c r="A68" s="201" t="s">
        <v>297</v>
      </c>
      <c r="B68" s="202">
        <v>-0.16896284043575774</v>
      </c>
      <c r="C68" s="202">
        <v>-0.41568861884808483</v>
      </c>
      <c r="D68" s="202">
        <v>0.33303618333683888</v>
      </c>
      <c r="E68" s="202">
        <v>2.7636252400201995</v>
      </c>
      <c r="F68" s="202">
        <v>-1.3180983625556904</v>
      </c>
      <c r="G68" s="202">
        <v>-0.7599847538754152</v>
      </c>
      <c r="H68" s="202">
        <v>-0.19734173467806315</v>
      </c>
      <c r="I68" s="202">
        <v>-0.80573335446711625</v>
      </c>
      <c r="J68" s="202">
        <v>-0.29690716564609937</v>
      </c>
      <c r="K68" s="195"/>
    </row>
    <row r="69" spans="1:11" ht="13.8">
      <c r="A69" s="201" t="s">
        <v>282</v>
      </c>
      <c r="B69" s="202">
        <v>-0.3036590526309067</v>
      </c>
      <c r="C69" s="202">
        <v>1.5589756615833725</v>
      </c>
      <c r="D69" s="202">
        <v>-1.8452357386253659</v>
      </c>
      <c r="E69" s="202">
        <v>-0.9027668616433886</v>
      </c>
      <c r="F69" s="202">
        <v>0.17918161600039362</v>
      </c>
      <c r="G69" s="202">
        <v>-0.17580311972300125</v>
      </c>
      <c r="H69" s="202">
        <v>-0.64561996581660497</v>
      </c>
      <c r="I69" s="202">
        <v>-0.65457399818517836</v>
      </c>
      <c r="J69" s="202">
        <v>-6.8181909645802591E-2</v>
      </c>
      <c r="K69" s="195"/>
    </row>
    <row r="70" spans="1:11" ht="13.8">
      <c r="A70" s="201" t="s">
        <v>340</v>
      </c>
      <c r="B70" s="202">
        <v>-0.71337566465626223</v>
      </c>
      <c r="C70" s="202">
        <v>6.5936815403490043E-2</v>
      </c>
      <c r="D70" s="202">
        <v>0.19603794925116566</v>
      </c>
      <c r="E70" s="202">
        <v>-2.8342548714172704E-3</v>
      </c>
      <c r="F70" s="202">
        <v>-0.52219574769191379</v>
      </c>
      <c r="G70" s="202">
        <v>1.6048016427834707E-2</v>
      </c>
      <c r="H70" s="202">
        <v>-5.5906356939164938E-2</v>
      </c>
      <c r="I70" s="202">
        <v>-1.0702622279605074</v>
      </c>
      <c r="J70" s="202">
        <v>-0.42499330900626564</v>
      </c>
      <c r="K70" s="195">
        <v>3</v>
      </c>
    </row>
    <row r="71" spans="1:11" ht="13.8">
      <c r="A71" s="201" t="s">
        <v>289</v>
      </c>
      <c r="B71" s="202">
        <v>-1.0181618012575417</v>
      </c>
      <c r="C71" s="202">
        <v>1.79978837870916</v>
      </c>
      <c r="D71" s="202">
        <v>2.3332104009876682</v>
      </c>
      <c r="E71" s="202">
        <v>1.5922843867614427</v>
      </c>
      <c r="F71" s="202">
        <v>-0.54299130294963704</v>
      </c>
      <c r="G71" s="202">
        <v>0.29671912301887315</v>
      </c>
      <c r="H71" s="202">
        <v>0.14545926560435118</v>
      </c>
      <c r="I71" s="202">
        <v>-1.5993199749472899</v>
      </c>
      <c r="J71" s="202">
        <v>-0.37619858772620207</v>
      </c>
      <c r="K71" s="195"/>
    </row>
    <row r="72" spans="1:11" ht="13.8">
      <c r="A72" s="201" t="s">
        <v>313</v>
      </c>
      <c r="B72" s="202">
        <v>-0.4228887545430472</v>
      </c>
      <c r="C72" s="202">
        <v>-0.36752607542292731</v>
      </c>
      <c r="D72" s="202">
        <v>0.18233812584259815</v>
      </c>
      <c r="E72" s="202">
        <v>-0.77896660885994307</v>
      </c>
      <c r="F72" s="202">
        <v>-1.4958058347580543</v>
      </c>
      <c r="G72" s="202">
        <v>-0.44683091523767449</v>
      </c>
      <c r="H72" s="202">
        <v>2.0804356410745965E-2</v>
      </c>
      <c r="I72" s="202">
        <v>1.7261858632553431</v>
      </c>
      <c r="J72" s="202">
        <v>0.51735474571495721</v>
      </c>
      <c r="K72" s="195"/>
    </row>
    <row r="73" spans="1:11" ht="13.8">
      <c r="A73" s="201" t="s">
        <v>343</v>
      </c>
      <c r="B73" s="202">
        <v>-0.35193457529323491</v>
      </c>
      <c r="C73" s="202">
        <v>0.1622619022538051</v>
      </c>
      <c r="D73" s="202">
        <v>-0.3656548105000948</v>
      </c>
      <c r="E73" s="202">
        <v>-1.3884447764092147</v>
      </c>
      <c r="F73" s="202">
        <v>1.2841818021948774</v>
      </c>
      <c r="G73" s="202">
        <v>-0.34735254834464818</v>
      </c>
      <c r="H73" s="202">
        <v>-0.66719485394626743</v>
      </c>
      <c r="I73" s="202">
        <v>-0.27667560748033371</v>
      </c>
      <c r="J73" s="202">
        <v>-1.8735865970081449</v>
      </c>
      <c r="K73" s="195"/>
    </row>
    <row r="74" spans="1:11" ht="13.8">
      <c r="A74" s="201" t="s">
        <v>315</v>
      </c>
      <c r="B74" s="202">
        <v>-0.63470907461842685</v>
      </c>
      <c r="C74" s="202">
        <v>2.5222265300865225</v>
      </c>
      <c r="D74" s="202">
        <v>-0.83144880639138385</v>
      </c>
      <c r="E74" s="202">
        <v>0.4780821117104298</v>
      </c>
      <c r="F74" s="202">
        <v>-0.43334201159073149</v>
      </c>
      <c r="G74" s="202">
        <v>0.39568994722366962</v>
      </c>
      <c r="H74" s="202">
        <v>-0.6096618189338342</v>
      </c>
      <c r="I74" s="202">
        <v>-0.91910287167856963</v>
      </c>
      <c r="J74" s="202">
        <v>1.7951665092366154</v>
      </c>
      <c r="K74" s="195"/>
    </row>
    <row r="75" spans="1:11" ht="13.8">
      <c r="A75" s="201" t="s">
        <v>345</v>
      </c>
      <c r="B75" s="202">
        <v>-0.27897933810923287</v>
      </c>
      <c r="C75" s="202">
        <v>-0.27120098857261227</v>
      </c>
      <c r="D75" s="202">
        <v>0.27823688970256932</v>
      </c>
      <c r="E75" s="202">
        <v>0.61616700904581201</v>
      </c>
      <c r="F75" s="202">
        <v>0.89284726234499234</v>
      </c>
      <c r="G75" s="202">
        <v>-0.60822949009472749</v>
      </c>
      <c r="H75" s="202">
        <v>-0.50658179786989144</v>
      </c>
      <c r="I75" s="202">
        <v>2.1040842539601878</v>
      </c>
      <c r="J75" s="202">
        <v>2.3380077834773192</v>
      </c>
      <c r="K75" s="195"/>
    </row>
    <row r="76" spans="1:11" ht="13.8">
      <c r="A76" s="201" t="s">
        <v>346</v>
      </c>
      <c r="B76" s="202">
        <v>-0.4628682245198803</v>
      </c>
      <c r="C76" s="202">
        <v>-0.56017624912355723</v>
      </c>
      <c r="D76" s="202">
        <v>-0.10535816573731585</v>
      </c>
      <c r="E76" s="202">
        <v>2.5735034232455253E-2</v>
      </c>
      <c r="F76" s="202">
        <v>0.34460080555046607</v>
      </c>
      <c r="G76" s="202">
        <v>0.2789551289308328</v>
      </c>
      <c r="H76" s="202">
        <v>-8.2275664653196814E-2</v>
      </c>
      <c r="I76" s="202">
        <v>-1.4481606186653522</v>
      </c>
      <c r="J76" s="202">
        <v>-0.30605617588611117</v>
      </c>
      <c r="K76" s="195">
        <v>3</v>
      </c>
    </row>
    <row r="77" spans="1:11" ht="13.8">
      <c r="A77" s="201" t="s">
        <v>347</v>
      </c>
      <c r="B77" s="202">
        <v>-0.59443778369285771</v>
      </c>
      <c r="C77" s="202">
        <v>-0.41568861884808483</v>
      </c>
      <c r="D77" s="202">
        <v>-0.99584668729419168</v>
      </c>
      <c r="E77" s="202">
        <v>-0.12187295947088443</v>
      </c>
      <c r="F77" s="202">
        <v>-0.58363716095336915</v>
      </c>
      <c r="G77" s="202">
        <v>-0.61127474622410538</v>
      </c>
      <c r="H77" s="202">
        <v>-9.9056133198489812E-2</v>
      </c>
      <c r="I77" s="202">
        <v>0.4791211739293556</v>
      </c>
      <c r="J77" s="202">
        <v>-0.38839726804621805</v>
      </c>
      <c r="K77" s="195"/>
    </row>
    <row r="78" spans="1:11" ht="13.8">
      <c r="A78" s="201" t="s">
        <v>348</v>
      </c>
      <c r="B78" s="202">
        <v>0.33559557992880051</v>
      </c>
      <c r="C78" s="202">
        <v>-0.7528264228241871</v>
      </c>
      <c r="D78" s="202">
        <v>-0.25605622323155613</v>
      </c>
      <c r="E78" s="202">
        <v>-0.3028117904620744</v>
      </c>
      <c r="F78" s="202">
        <v>0.44101656174536574</v>
      </c>
      <c r="G78" s="202">
        <v>-0.59300320944783569</v>
      </c>
      <c r="H78" s="202">
        <v>-0.69835858124466876</v>
      </c>
      <c r="I78" s="202">
        <v>-0.91910287167856963</v>
      </c>
      <c r="J78" s="202">
        <v>8.7351264434399473E-2</v>
      </c>
      <c r="K78" s="195"/>
    </row>
    <row r="79" spans="1:11" ht="13.8">
      <c r="A79" s="201" t="s">
        <v>349</v>
      </c>
      <c r="B79" s="202">
        <v>0.94183275657437648</v>
      </c>
      <c r="C79" s="202">
        <v>-0.89731405309965961</v>
      </c>
      <c r="D79" s="202">
        <v>-0.61225163185430675</v>
      </c>
      <c r="E79" s="202">
        <v>0.79234429185302424</v>
      </c>
      <c r="F79" s="202">
        <v>0.7463331230292134</v>
      </c>
      <c r="G79" s="202">
        <v>0.1815069327907253</v>
      </c>
      <c r="H79" s="202">
        <v>-0.70075579103685348</v>
      </c>
      <c r="I79" s="202">
        <v>-1.5237402968063209</v>
      </c>
      <c r="J79" s="202">
        <v>-0.81230140916676785</v>
      </c>
      <c r="K79" s="195"/>
    </row>
    <row r="80" spans="1:11" ht="13.8">
      <c r="A80" s="201" t="s">
        <v>350</v>
      </c>
      <c r="B80" s="202">
        <v>-0.43101805240069313</v>
      </c>
      <c r="C80" s="202">
        <v>-0.60833879254871481</v>
      </c>
      <c r="D80" s="202">
        <v>0.16863830243403063</v>
      </c>
      <c r="E80" s="202">
        <v>0.597120816309897</v>
      </c>
      <c r="F80" s="202">
        <v>-0.67816241212483908</v>
      </c>
      <c r="G80" s="202">
        <v>0.48806271648147931</v>
      </c>
      <c r="H80" s="202">
        <v>-0.13261707028907585</v>
      </c>
      <c r="I80" s="202">
        <v>-0.35225528562130259</v>
      </c>
      <c r="J80" s="202">
        <v>0.24288443851460109</v>
      </c>
      <c r="K80" s="195">
        <v>3</v>
      </c>
    </row>
    <row r="81" spans="1:11" ht="13.8">
      <c r="A81" s="201" t="s">
        <v>351</v>
      </c>
      <c r="B81" s="202">
        <v>-0.58872643083902443</v>
      </c>
      <c r="C81" s="202">
        <v>3.3891523117393567</v>
      </c>
      <c r="D81" s="202">
        <v>0.12753883220832904</v>
      </c>
      <c r="E81" s="202">
        <v>2.6350634390527752</v>
      </c>
      <c r="F81" s="202">
        <v>-1.6073456311403886</v>
      </c>
      <c r="G81" s="202">
        <v>-2.1054804203724169</v>
      </c>
      <c r="H81" s="202">
        <v>0.83345847596136458</v>
      </c>
      <c r="I81" s="202">
        <v>-0.65457399818517836</v>
      </c>
      <c r="J81" s="202">
        <v>-2.7335935595692606</v>
      </c>
      <c r="K81" s="195">
        <v>7</v>
      </c>
    </row>
    <row r="82" spans="1:11" ht="13.8">
      <c r="A82" s="201" t="s">
        <v>352</v>
      </c>
      <c r="B82" s="202">
        <v>-0.6633909050084803</v>
      </c>
      <c r="C82" s="202">
        <v>-0.60833879254871481</v>
      </c>
      <c r="D82" s="202">
        <v>0.27823688970256932</v>
      </c>
      <c r="E82" s="202">
        <v>2.5735034232455253E-2</v>
      </c>
      <c r="F82" s="202">
        <v>0.40793272383535112</v>
      </c>
      <c r="G82" s="202">
        <v>9.4717133103442139E-2</v>
      </c>
      <c r="H82" s="202">
        <v>0.40196071336811573</v>
      </c>
      <c r="I82" s="202">
        <v>0.40354149578838666</v>
      </c>
      <c r="J82" s="202">
        <v>-0.76655635796670851</v>
      </c>
      <c r="K82" s="195"/>
    </row>
    <row r="83" spans="1:11" ht="13.8">
      <c r="A83" s="201" t="s">
        <v>353</v>
      </c>
      <c r="B83" s="202">
        <v>4.4584419436711249</v>
      </c>
      <c r="C83" s="202">
        <v>-0.94547659652481719</v>
      </c>
      <c r="D83" s="202">
        <v>-2.2425306174738182</v>
      </c>
      <c r="E83" s="202">
        <v>-2.3550390577568878</v>
      </c>
      <c r="F83" s="202">
        <v>2.4657474418382521</v>
      </c>
      <c r="G83" s="202">
        <v>2.1111842334401407</v>
      </c>
      <c r="H83" s="202">
        <v>-0.72640593581322987</v>
      </c>
      <c r="I83" s="202">
        <v>-0.16330609026888029</v>
      </c>
      <c r="J83" s="202">
        <v>-2.2395470066086198</v>
      </c>
      <c r="K83" s="195"/>
    </row>
    <row r="84" spans="1:11" ht="13.8">
      <c r="A84" s="201" t="s">
        <v>354</v>
      </c>
      <c r="B84" s="202">
        <v>3.7356848310659574</v>
      </c>
      <c r="C84" s="202">
        <v>-1.0418016833751322</v>
      </c>
      <c r="D84" s="202">
        <v>1.1276259410337433</v>
      </c>
      <c r="E84" s="202">
        <v>6.8588967888263033E-2</v>
      </c>
      <c r="F84" s="202">
        <v>1.8456617941534088</v>
      </c>
      <c r="G84" s="202">
        <v>2.9729917180542151</v>
      </c>
      <c r="H84" s="202">
        <v>-0.72065263231198662</v>
      </c>
      <c r="I84" s="202">
        <v>-0.84352319353760064</v>
      </c>
      <c r="J84" s="202">
        <v>-1.4832288267676386</v>
      </c>
      <c r="K84" s="195"/>
    </row>
    <row r="85" spans="1:11" ht="13.8">
      <c r="A85" s="201" t="s">
        <v>320</v>
      </c>
      <c r="B85" s="202">
        <v>-0.89242866105928442</v>
      </c>
      <c r="C85" s="202">
        <v>1.3663254878827424</v>
      </c>
      <c r="D85" s="202">
        <v>1.908515875322081</v>
      </c>
      <c r="E85" s="202">
        <v>0.4780821117104298</v>
      </c>
      <c r="F85" s="202">
        <v>-0.17528807589261877</v>
      </c>
      <c r="G85" s="202">
        <v>-0.88788551130930571</v>
      </c>
      <c r="H85" s="202">
        <v>-0.60726460914164948</v>
      </c>
      <c r="I85" s="202">
        <v>-0.27667560748033371</v>
      </c>
      <c r="J85" s="202">
        <v>3.0546802522782492</v>
      </c>
      <c r="K85" s="195"/>
    </row>
    <row r="86" spans="1:11" ht="13.8">
      <c r="A86" s="197"/>
      <c r="B86" s="198"/>
      <c r="C86" s="198"/>
      <c r="D86" s="198"/>
      <c r="E86" s="198"/>
      <c r="F86" s="198"/>
      <c r="G86" s="198"/>
      <c r="H86" s="198"/>
      <c r="I86" s="198"/>
      <c r="J86" s="19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1F4B-BB2B-4580-B431-4C412F0F710B}">
  <dimension ref="A1:DU87"/>
  <sheetViews>
    <sheetView tabSelected="1" zoomScaleNormal="100" workbookViewId="0">
      <pane xSplit="1" topLeftCell="V1" activePane="topRight" state="frozen"/>
      <selection pane="topRight" activeCell="AE2" sqref="AE2"/>
    </sheetView>
  </sheetViews>
  <sheetFormatPr defaultRowHeight="13.2"/>
  <cols>
    <col min="1" max="1" width="43.77734375" bestFit="1" customWidth="1"/>
    <col min="2" max="3" width="9.109375" customWidth="1"/>
    <col min="4" max="7" width="13.109375" customWidth="1"/>
    <col min="8" max="15" width="9.109375" customWidth="1"/>
    <col min="16" max="16" width="15.21875" style="192" customWidth="1"/>
    <col min="17" max="17" width="16.109375" style="192" customWidth="1"/>
    <col min="18" max="18" width="9.109375" style="192" customWidth="1"/>
    <col min="19" max="21" width="12.109375" style="192" customWidth="1"/>
    <col min="22" max="27" width="16" style="192" customWidth="1"/>
    <col min="28" max="28" width="8.44140625" style="192" bestFit="1" customWidth="1"/>
    <col min="29" max="29" width="10.109375" style="192" customWidth="1"/>
    <col min="30" max="31" width="12.109375" style="192" customWidth="1"/>
    <col min="32" max="32" width="11.44140625" customWidth="1"/>
    <col min="41" max="41" width="22.21875" customWidth="1"/>
    <col min="42" max="46" width="9.109375" customWidth="1"/>
    <col min="47" max="47" width="8.44140625" customWidth="1"/>
    <col min="48" max="49" width="9.109375" customWidth="1"/>
    <col min="50" max="50" width="15.21875" style="192" customWidth="1"/>
    <col min="51" max="51" width="14.77734375" customWidth="1"/>
    <col min="52" max="52" width="19.21875" customWidth="1"/>
    <col min="53" max="59" width="12.77734375" customWidth="1"/>
    <col min="60" max="60" width="18.109375" customWidth="1"/>
    <col min="61" max="61" width="21.5546875" customWidth="1"/>
    <col min="62" max="62" width="24.77734375" customWidth="1"/>
    <col min="63" max="69" width="12.77734375" customWidth="1"/>
    <col min="70" max="70" width="18.109375" customWidth="1"/>
    <col min="71" max="71" width="21.5546875" customWidth="1"/>
    <col min="72" max="72" width="24.77734375" customWidth="1"/>
    <col min="73" max="80" width="9.109375" customWidth="1"/>
    <col min="81" max="81" width="9.109375" style="192" customWidth="1"/>
    <col min="82" max="82" width="10.77734375" customWidth="1"/>
    <col min="83" max="83" width="13.109375" customWidth="1"/>
    <col min="84" max="91" width="9.109375" customWidth="1"/>
    <col min="92" max="92" width="12.77734375" customWidth="1"/>
    <col min="93" max="93" width="13.5546875" customWidth="1"/>
    <col min="94" max="101" width="9.109375" customWidth="1"/>
    <col min="102" max="102" width="11.77734375" customWidth="1"/>
    <col min="103" max="103" width="12.77734375" customWidth="1"/>
    <col min="104" max="112" width="9.109375" customWidth="1"/>
    <col min="113" max="113" width="11.5546875" customWidth="1"/>
    <col min="114" max="114" width="14.109375" customWidth="1"/>
    <col min="115" max="122" width="9.109375" customWidth="1"/>
    <col min="123" max="123" width="11.21875" customWidth="1"/>
    <col min="124" max="124" width="14.44140625" customWidth="1"/>
    <col min="125" max="132" width="9.109375" customWidth="1"/>
    <col min="133" max="133" width="10.77734375" customWidth="1"/>
    <col min="134" max="134" width="13.77734375" customWidth="1"/>
  </cols>
  <sheetData>
    <row r="1" spans="1:125" ht="55.2">
      <c r="A1" s="204" t="s">
        <v>239</v>
      </c>
      <c r="B1" s="316" t="s">
        <v>2532</v>
      </c>
      <c r="C1" s="317" t="s">
        <v>2533</v>
      </c>
      <c r="D1" s="317" t="s">
        <v>2534</v>
      </c>
      <c r="E1" s="317" t="s">
        <v>2535</v>
      </c>
      <c r="F1" s="317" t="s">
        <v>2536</v>
      </c>
      <c r="G1" s="317" t="s">
        <v>2537</v>
      </c>
      <c r="H1" s="317" t="s">
        <v>2538</v>
      </c>
      <c r="I1" s="317" t="s">
        <v>2539</v>
      </c>
      <c r="J1" s="318" t="s">
        <v>2540</v>
      </c>
      <c r="K1" s="316" t="s">
        <v>2727</v>
      </c>
      <c r="L1" s="318" t="s">
        <v>2728</v>
      </c>
      <c r="M1" s="316" t="s">
        <v>2729</v>
      </c>
      <c r="N1" s="317" t="s">
        <v>2730</v>
      </c>
      <c r="O1" s="318" t="s">
        <v>2731</v>
      </c>
      <c r="P1" s="204" t="s">
        <v>2574</v>
      </c>
      <c r="Q1" s="204" t="s">
        <v>2575</v>
      </c>
      <c r="R1" s="204" t="s">
        <v>2576</v>
      </c>
      <c r="S1" s="204" t="s">
        <v>2563</v>
      </c>
      <c r="T1" s="204" t="s">
        <v>2711</v>
      </c>
      <c r="U1" s="204" t="s">
        <v>2725</v>
      </c>
      <c r="V1" s="204" t="s">
        <v>2716</v>
      </c>
      <c r="W1" s="204" t="s">
        <v>2726</v>
      </c>
      <c r="X1" s="204" t="s">
        <v>2723</v>
      </c>
      <c r="Y1" s="204" t="s">
        <v>2724</v>
      </c>
      <c r="Z1" s="204" t="s">
        <v>2721</v>
      </c>
      <c r="AA1" s="204" t="s">
        <v>2722</v>
      </c>
      <c r="AB1" s="204" t="s">
        <v>2740</v>
      </c>
      <c r="AC1" s="204" t="s">
        <v>2741</v>
      </c>
      <c r="AD1" s="204" t="s">
        <v>2742</v>
      </c>
      <c r="AE1" s="204" t="s">
        <v>2578</v>
      </c>
      <c r="AF1" s="204" t="s">
        <v>2577</v>
      </c>
      <c r="AG1" s="193" t="s">
        <v>2579</v>
      </c>
      <c r="AH1" s="194" t="s">
        <v>2580</v>
      </c>
      <c r="AI1" s="194" t="s">
        <v>2581</v>
      </c>
      <c r="AJ1" s="194" t="s">
        <v>2582</v>
      </c>
      <c r="AK1" s="194" t="s">
        <v>2583</v>
      </c>
      <c r="AL1" s="194" t="s">
        <v>2584</v>
      </c>
      <c r="AM1" s="194" t="s">
        <v>2585</v>
      </c>
      <c r="AN1" s="194" t="s">
        <v>2681</v>
      </c>
      <c r="AO1" s="194" t="s">
        <v>2686</v>
      </c>
      <c r="AP1" s="194" t="s">
        <v>2713</v>
      </c>
      <c r="AQ1" s="194" t="s">
        <v>2714</v>
      </c>
      <c r="AR1" s="194" t="s">
        <v>2715</v>
      </c>
      <c r="AS1" s="194" t="s">
        <v>2593</v>
      </c>
      <c r="AT1" s="194" t="s">
        <v>2594</v>
      </c>
      <c r="AU1" s="194" t="s">
        <v>2595</v>
      </c>
      <c r="AV1" s="194" t="s">
        <v>2596</v>
      </c>
      <c r="AW1" s="194" t="s">
        <v>2597</v>
      </c>
      <c r="AX1" s="194" t="s">
        <v>2598</v>
      </c>
      <c r="AY1" s="194" t="s">
        <v>2599</v>
      </c>
      <c r="AZ1" s="194" t="s">
        <v>2600</v>
      </c>
      <c r="BA1" s="194" t="s">
        <v>2601</v>
      </c>
      <c r="BB1" s="194" t="s">
        <v>2602</v>
      </c>
      <c r="BC1" s="194" t="s">
        <v>2603</v>
      </c>
      <c r="BD1" s="194" t="s">
        <v>2604</v>
      </c>
      <c r="BE1" s="194" t="s">
        <v>2605</v>
      </c>
      <c r="BF1" s="194" t="s">
        <v>2606</v>
      </c>
      <c r="BG1" s="194" t="s">
        <v>2607</v>
      </c>
      <c r="BH1" s="194" t="s">
        <v>2608</v>
      </c>
      <c r="BI1" s="194" t="s">
        <v>2609</v>
      </c>
      <c r="BJ1" s="194" t="s">
        <v>2610</v>
      </c>
      <c r="BK1" s="194" t="s">
        <v>2611</v>
      </c>
      <c r="BL1" s="194" t="s">
        <v>2612</v>
      </c>
      <c r="BM1" s="194" t="s">
        <v>2613</v>
      </c>
      <c r="BN1" s="194" t="s">
        <v>2614</v>
      </c>
      <c r="BO1" s="194" t="s">
        <v>2615</v>
      </c>
      <c r="BP1" s="194" t="s">
        <v>2616</v>
      </c>
      <c r="BQ1" s="194" t="s">
        <v>2617</v>
      </c>
      <c r="BR1" s="194" t="s">
        <v>2618</v>
      </c>
      <c r="BS1" s="194" t="s">
        <v>2619</v>
      </c>
      <c r="BT1" s="194" t="s">
        <v>2687</v>
      </c>
      <c r="BU1" s="194" t="s">
        <v>2620</v>
      </c>
      <c r="BV1" s="194" t="s">
        <v>2621</v>
      </c>
      <c r="BW1" s="194" t="s">
        <v>2622</v>
      </c>
      <c r="BX1" s="194" t="s">
        <v>2623</v>
      </c>
      <c r="BY1" s="194" t="s">
        <v>2624</v>
      </c>
      <c r="BZ1" s="194" t="s">
        <v>2625</v>
      </c>
      <c r="CA1" s="194" t="s">
        <v>2626</v>
      </c>
      <c r="CB1" s="194" t="s">
        <v>2627</v>
      </c>
      <c r="CC1" s="194" t="s">
        <v>2628</v>
      </c>
      <c r="CD1" s="194" t="s">
        <v>2629</v>
      </c>
      <c r="CE1" s="194" t="s">
        <v>2630</v>
      </c>
      <c r="CF1" s="194" t="s">
        <v>2631</v>
      </c>
      <c r="CG1" s="194" t="s">
        <v>2632</v>
      </c>
      <c r="CH1" s="194" t="s">
        <v>2633</v>
      </c>
      <c r="CI1" s="194" t="s">
        <v>2634</v>
      </c>
      <c r="CJ1" s="194" t="s">
        <v>2635</v>
      </c>
      <c r="CK1" s="194" t="s">
        <v>2636</v>
      </c>
      <c r="CL1" s="194" t="s">
        <v>2637</v>
      </c>
      <c r="CM1" s="194" t="s">
        <v>2638</v>
      </c>
      <c r="CN1" s="194" t="s">
        <v>2639</v>
      </c>
      <c r="CO1" s="194" t="s">
        <v>2640</v>
      </c>
      <c r="CP1" s="194" t="s">
        <v>2641</v>
      </c>
      <c r="CQ1" s="194" t="s">
        <v>2642</v>
      </c>
      <c r="CR1" s="194" t="s">
        <v>2643</v>
      </c>
      <c r="CS1" s="194" t="s">
        <v>2644</v>
      </c>
      <c r="CT1" s="194" t="s">
        <v>2645</v>
      </c>
      <c r="CU1" s="194" t="s">
        <v>2646</v>
      </c>
      <c r="CV1" s="194" t="s">
        <v>2647</v>
      </c>
      <c r="CW1" s="194" t="s">
        <v>2648</v>
      </c>
      <c r="CX1" s="194" t="s">
        <v>2649</v>
      </c>
      <c r="CY1" s="194" t="s">
        <v>2688</v>
      </c>
      <c r="CZ1" s="194" t="s">
        <v>2650</v>
      </c>
      <c r="DA1" s="194" t="s">
        <v>2651</v>
      </c>
      <c r="DB1" s="194" t="s">
        <v>2652</v>
      </c>
      <c r="DC1" s="194" t="s">
        <v>2653</v>
      </c>
      <c r="DD1" s="194" t="s">
        <v>2654</v>
      </c>
      <c r="DE1" s="194" t="s">
        <v>2655</v>
      </c>
      <c r="DF1" s="194" t="s">
        <v>2656</v>
      </c>
      <c r="DG1" s="194" t="s">
        <v>2657</v>
      </c>
      <c r="DH1" s="194" t="s">
        <v>2658</v>
      </c>
      <c r="DI1" s="194" t="s">
        <v>2659</v>
      </c>
      <c r="DJ1" s="194" t="s">
        <v>2660</v>
      </c>
      <c r="DK1" s="194" t="s">
        <v>2661</v>
      </c>
      <c r="DL1" s="194" t="s">
        <v>2662</v>
      </c>
      <c r="DM1" s="194" t="s">
        <v>2663</v>
      </c>
      <c r="DN1" s="194" t="s">
        <v>2664</v>
      </c>
      <c r="DO1" s="194" t="s">
        <v>2665</v>
      </c>
      <c r="DP1" s="194" t="s">
        <v>2666</v>
      </c>
      <c r="DQ1" s="194" t="s">
        <v>2667</v>
      </c>
      <c r="DR1" s="194" t="s">
        <v>2668</v>
      </c>
      <c r="DS1" s="194" t="s">
        <v>2669</v>
      </c>
      <c r="DT1" s="194" t="s">
        <v>2670</v>
      </c>
      <c r="DU1" s="194" t="s">
        <v>2671</v>
      </c>
    </row>
    <row r="2" spans="1:125" ht="13.8">
      <c r="A2" s="205" t="s">
        <v>270</v>
      </c>
      <c r="B2" s="319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320">
        <v>0.16359301643449839</v>
      </c>
      <c r="K2" s="324">
        <v>-0.68302336053045276</v>
      </c>
      <c r="L2" s="325">
        <v>0.71050364226684515</v>
      </c>
      <c r="M2" s="328">
        <v>-0.45841381421479382</v>
      </c>
      <c r="N2" s="310">
        <v>-0.77896648959345327</v>
      </c>
      <c r="O2" s="329">
        <v>0.5354658979451109</v>
      </c>
      <c r="P2" s="206">
        <v>4</v>
      </c>
      <c r="Q2" s="207">
        <v>5</v>
      </c>
      <c r="R2" s="206">
        <v>4</v>
      </c>
      <c r="S2" s="208">
        <v>3</v>
      </c>
      <c r="T2" s="271">
        <v>3</v>
      </c>
      <c r="U2" s="271">
        <v>7</v>
      </c>
      <c r="V2" s="272">
        <v>3</v>
      </c>
      <c r="W2" s="272">
        <v>1</v>
      </c>
      <c r="X2" s="312">
        <v>6</v>
      </c>
      <c r="Y2" s="313">
        <v>2</v>
      </c>
      <c r="Z2" s="271">
        <v>6</v>
      </c>
      <c r="AA2" s="314">
        <v>3</v>
      </c>
      <c r="AB2" s="343">
        <v>2</v>
      </c>
      <c r="AC2" s="343">
        <f>IF(Таблица1[[#This Row],[Train]]=Таблица1[[#This Row],[НС]],1,0)</f>
        <v>0</v>
      </c>
      <c r="AD2" s="343">
        <f>IF(Таблица1[[#This Row],[НС]]=Таблица1[[#This Row],[К-средних]],1,0)</f>
        <v>0</v>
      </c>
      <c r="AE2" s="208"/>
      <c r="AF2" s="209">
        <f>SUMXMY2(Таблица1[[#This Row],[X1]:[X9]],Таблица1[[#Totals],[X1]:[X9]])</f>
        <v>4.0490249742571454</v>
      </c>
      <c r="AG2" s="239" t="s">
        <v>2586</v>
      </c>
      <c r="AH2" s="239" t="s">
        <v>2587</v>
      </c>
      <c r="AI2" s="239" t="s">
        <v>2588</v>
      </c>
      <c r="AJ2" s="239" t="s">
        <v>2589</v>
      </c>
      <c r="AK2" s="239" t="s">
        <v>2590</v>
      </c>
      <c r="AL2" s="239" t="s">
        <v>2591</v>
      </c>
      <c r="AM2" s="239" t="s">
        <v>2592</v>
      </c>
      <c r="AN2" s="239" t="str">
        <f>RIGHT(Таблица1[[#This Row],[ДА1]],1)</f>
        <v>3</v>
      </c>
      <c r="AO2" s="214">
        <v>3</v>
      </c>
      <c r="AP2" s="213">
        <f>IF(Таблица1[[#This Row],[ДА Итог Копия]]=Таблица1[[#This Row],[Train]],1,0)</f>
        <v>0</v>
      </c>
      <c r="AQ2" s="213">
        <f>IF(Таблица1[[#This Row],[ДА Итог Копия]]=Таблица1[[#This Row],[К-средних]],1,0)</f>
        <v>1</v>
      </c>
      <c r="AR2" s="216">
        <v>35.548617912958207</v>
      </c>
      <c r="AS2" s="216">
        <v>16.784286384193038</v>
      </c>
      <c r="AT2" s="216">
        <v>11.032019314149098</v>
      </c>
      <c r="AU2" s="216">
        <v>67.65246585869329</v>
      </c>
      <c r="AV2" s="216">
        <v>106.38009615195179</v>
      </c>
      <c r="AW2" s="216">
        <v>685.63542163452257</v>
      </c>
      <c r="AX2" s="217">
        <v>362.91158186934399</v>
      </c>
      <c r="AY2" s="218">
        <f>MATCH(MIN(Таблица1[[#This Row],[1 ДА Мах]:[7_ДА_Мах]]),Таблица1[[#This Row],[1 ДА Мах]:[7_ДА_Мах]],0)</f>
        <v>3</v>
      </c>
      <c r="AZ2" s="213">
        <f>IF(Таблица1[[#This Row],[ДА_Мах_Итог]]=Таблица1[[#This Row],[Train]],1,0)</f>
        <v>0</v>
      </c>
      <c r="BA2" s="213">
        <f>IF(Таблица1[[#This Row],[ДА_Мах_Итог]]=Таблица1[[#This Row],[К-средних]],1,0)</f>
        <v>1</v>
      </c>
      <c r="BB2" s="220">
        <v>2.7245077476666172E-6</v>
      </c>
      <c r="BC2" s="220">
        <v>4.3136966744736632E-2</v>
      </c>
      <c r="BD2" s="220">
        <v>0.95686030874741868</v>
      </c>
      <c r="BE2" s="220">
        <v>9.7029722020384889E-14</v>
      </c>
      <c r="BF2" s="220">
        <v>3.7783894540439719E-22</v>
      </c>
      <c r="BG2" s="220">
        <v>0</v>
      </c>
      <c r="BH2" s="220">
        <v>0</v>
      </c>
      <c r="BI2" s="218">
        <f>MATCH(MAX(Таблица1[[#This Row],[1_ДА_Ап]:[7_ДА_Ап]]),Таблица1[[#This Row],[1_ДА_Ап]:[7_ДА_Ап]],0)</f>
        <v>3</v>
      </c>
      <c r="BJ2" s="213">
        <f>IF(Таблица1[[#This Row],[ДА_Ап_Итог]]=Таблица1[[#This Row],[Train]],1,0)</f>
        <v>0</v>
      </c>
      <c r="BK2" s="213">
        <f>IF(Таблица1[[#This Row],[ДА_Ап_Итог]]=Таблица1[[#This Row],[К-средних]],1,0)</f>
        <v>1</v>
      </c>
      <c r="BL2" s="234" t="s">
        <v>2586</v>
      </c>
      <c r="BM2" s="234" t="s">
        <v>2587</v>
      </c>
      <c r="BN2" s="234" t="s">
        <v>2588</v>
      </c>
      <c r="BO2" s="234" t="s">
        <v>2589</v>
      </c>
      <c r="BP2" s="234" t="s">
        <v>2590</v>
      </c>
      <c r="BQ2" s="234" t="s">
        <v>2591</v>
      </c>
      <c r="BR2" s="234" t="s">
        <v>2592</v>
      </c>
      <c r="BS2" s="234" t="str">
        <f>RIGHT(Таблица1[[#This Row],[ПДАсВ 1]],1)</f>
        <v>3</v>
      </c>
      <c r="BT2" s="227">
        <v>3</v>
      </c>
      <c r="BU2" s="213">
        <f>IF(Таблица1[[#This Row],[ПДАсВ Итог Копия]]=Таблица1[[#This Row],[Train]],1,0)</f>
        <v>0</v>
      </c>
      <c r="BV2" s="213">
        <f>IF(Таблица1[[#This Row],[ПДАсВ Итог Копия]]=Таблица1[[#This Row],[К-средних]],1,0)</f>
        <v>1</v>
      </c>
      <c r="BW2" s="235">
        <v>25.644255272205442</v>
      </c>
      <c r="BX2" s="235">
        <v>11.374796540615996</v>
      </c>
      <c r="BY2" s="235">
        <v>5.6848131673336564</v>
      </c>
      <c r="BZ2" s="235">
        <v>56.19765340990066</v>
      </c>
      <c r="CA2" s="235">
        <v>62.651509156486306</v>
      </c>
      <c r="CB2" s="235">
        <v>672.66462788880585</v>
      </c>
      <c r="CC2" s="235">
        <v>253.94069030805127</v>
      </c>
      <c r="CD2" s="218">
        <f>MATCH(MIN(Таблица1[[#This Row],[1 ДА Мах]:[7_ДА_Мах]]),Таблица1[[#This Row],[1 ДА Мах]:[7_ДА_Мах]],0)</f>
        <v>3</v>
      </c>
      <c r="CE2" s="213">
        <f>IF(Таблица1[[#This Row],[ДА_Мах_Итог]]=Таблица1[[#This Row],[Train]],1,0)</f>
        <v>0</v>
      </c>
      <c r="CF2" s="213">
        <f>IF(Таблица1[[#This Row],[ДА_Мах_Итог]]=Таблица1[[#This Row],[К-средних]],1,0)</f>
        <v>1</v>
      </c>
      <c r="CG2" s="236">
        <v>2.6561919787987218E-5</v>
      </c>
      <c r="CH2" s="236">
        <v>4.4439768808755255E-2</v>
      </c>
      <c r="CI2" s="236">
        <v>0.95553366926932159</v>
      </c>
      <c r="CJ2" s="236">
        <v>2.053771386322525E-12</v>
      </c>
      <c r="CK2" s="236">
        <v>8.1492028798341325E-14</v>
      </c>
      <c r="CL2" s="236">
        <v>0</v>
      </c>
      <c r="CM2" s="236">
        <v>0</v>
      </c>
      <c r="CN2" s="218">
        <f>MATCH(MAX(Таблица1[[#This Row],[1_ДА_Ап]:[7_ДА_Ап]]),Таблица1[[#This Row],[1_ДА_Ап]:[7_ДА_Ап]],0)</f>
        <v>3</v>
      </c>
      <c r="CO2" s="213">
        <f>IF(Таблица1[[#This Row],[ПДАсВ Итог Копия]]=Таблица1[[#This Row],[Train]],1,0)</f>
        <v>0</v>
      </c>
      <c r="CP2" s="213">
        <f>IF(Таблица1[[#This Row],[ПДАсВ Итог Копия]]=Таблица1[[#This Row],[К-средних]],1,0)</f>
        <v>1</v>
      </c>
      <c r="CQ2" s="234" t="s">
        <v>2586</v>
      </c>
      <c r="CR2" s="234" t="s">
        <v>2587</v>
      </c>
      <c r="CS2" s="234" t="s">
        <v>2588</v>
      </c>
      <c r="CT2" s="234" t="s">
        <v>2589</v>
      </c>
      <c r="CU2" s="234" t="s">
        <v>2590</v>
      </c>
      <c r="CV2" s="234" t="s">
        <v>2591</v>
      </c>
      <c r="CW2" s="234" t="s">
        <v>2592</v>
      </c>
      <c r="CX2" s="234" t="str">
        <f>RIGHT(Таблица1[[#This Row],[ПДАсИ 1]],1)</f>
        <v>3</v>
      </c>
      <c r="CY2" s="212">
        <v>3</v>
      </c>
      <c r="CZ2" s="221">
        <f>IF(Таблица1[[#This Row],[ПДАсИ Итог Копия]]=Таблица1[[#This Row],[Train]],1,0)</f>
        <v>0</v>
      </c>
      <c r="DA2" s="212"/>
      <c r="DB2" s="237">
        <v>23.865359023719002</v>
      </c>
      <c r="DC2" s="237">
        <v>6.0579295429069928</v>
      </c>
      <c r="DD2" s="237">
        <v>5.7518764070188828</v>
      </c>
      <c r="DE2" s="237">
        <v>30.970362102318081</v>
      </c>
      <c r="DF2" s="237">
        <v>60.889117999228233</v>
      </c>
      <c r="DG2" s="237">
        <v>468.25720117158852</v>
      </c>
      <c r="DH2" s="237">
        <v>323.27872846482387</v>
      </c>
      <c r="DI2" s="218">
        <f>MATCH(MIN(Таблица1[[#This Row],[ПДАсИ Мах 1]:[ПДАсИ Мах 7]]),Таблица1[[#This Row],[ПДАсИ Мах 1]:[ПДАсИ Мах 7]],0)</f>
        <v>3</v>
      </c>
      <c r="DJ2" s="221">
        <f>IF(Таблица1[[#This Row],[ПДАсИ Мах Итог]]=Таблица1[[#This Row],[Train]],1,0)</f>
        <v>0</v>
      </c>
      <c r="DK2" s="213">
        <f>IF(Таблица1[[#This Row],[ПДАсИ Мах Итог]]=Таблица1[[#This Row],[К-средних]],1,0)</f>
        <v>1</v>
      </c>
      <c r="DL2" s="238">
        <v>4.1481807027254307E-5</v>
      </c>
      <c r="DM2" s="238">
        <v>0.40703390234078946</v>
      </c>
      <c r="DN2" s="238">
        <v>0.59292421966106534</v>
      </c>
      <c r="DO2" s="238">
        <v>3.9619099169607992E-7</v>
      </c>
      <c r="DP2" s="238">
        <v>1.2622032698596314E-13</v>
      </c>
      <c r="DQ2" s="238">
        <v>0</v>
      </c>
      <c r="DR2" s="238">
        <v>0</v>
      </c>
      <c r="DS2" s="218">
        <f>MATCH(MAX(Таблица1[[#This Row],[ПДАсИ Ап 1]:[ПДАсИ Ап 7]]),Таблица1[[#This Row],[ПДАсИ Ап 1]:[ПДАсИ Ап 7]],0)</f>
        <v>3</v>
      </c>
      <c r="DT2" s="221">
        <f>IF(Таблица1[[#This Row],[ПДАсИ Ап Итог]]=Таблица1[[#This Row],[Train]],1,0)</f>
        <v>0</v>
      </c>
      <c r="DU2" s="213">
        <f>IF(Таблица1[[#This Row],[ПДАсИ Ап Итог]]=Таблица1[[#This Row],[К-средних]],1,0)</f>
        <v>1</v>
      </c>
    </row>
    <row r="3" spans="1:125" ht="13.8">
      <c r="A3" s="205" t="s">
        <v>271</v>
      </c>
      <c r="B3" s="319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320">
        <v>1.5938882839563544</v>
      </c>
      <c r="K3" s="324">
        <v>-0.92614254749908309</v>
      </c>
      <c r="L3" s="325">
        <v>0.77680176065732853</v>
      </c>
      <c r="M3" s="328">
        <v>-0.74221090959521419</v>
      </c>
      <c r="N3" s="310">
        <v>-0.59890929007206406</v>
      </c>
      <c r="O3" s="329">
        <v>-0.31814645711589806</v>
      </c>
      <c r="P3" s="206">
        <v>4</v>
      </c>
      <c r="Q3" s="207">
        <v>5</v>
      </c>
      <c r="R3" s="206">
        <v>4</v>
      </c>
      <c r="S3" s="208">
        <v>2</v>
      </c>
      <c r="T3" s="271">
        <v>3</v>
      </c>
      <c r="U3" s="271">
        <v>7</v>
      </c>
      <c r="V3" s="272">
        <v>3</v>
      </c>
      <c r="W3" s="272">
        <v>6</v>
      </c>
      <c r="X3" s="312">
        <v>6</v>
      </c>
      <c r="Y3" s="313">
        <v>2</v>
      </c>
      <c r="Z3" s="271">
        <v>6</v>
      </c>
      <c r="AA3" s="314">
        <v>6</v>
      </c>
      <c r="AB3" s="343">
        <v>2</v>
      </c>
      <c r="AC3" s="343">
        <f>IF(Таблица1[[#This Row],[Train]]=Таблица1[[#This Row],[НС]],1,0)</f>
        <v>0</v>
      </c>
      <c r="AD3" s="343">
        <f>IF(Таблица1[[#This Row],[НС]]=Таблица1[[#This Row],[К-средних]],1,0)</f>
        <v>1</v>
      </c>
      <c r="AE3" s="208"/>
      <c r="AF3" s="209">
        <f>SUMXMY2(Таблица1[[#This Row],[X1]:[X9]],Таблица1[[#Totals],[X1]:[X9]])</f>
        <v>4.828294854914617</v>
      </c>
      <c r="AG3" s="239" t="s">
        <v>2587</v>
      </c>
      <c r="AH3" s="239" t="s">
        <v>2586</v>
      </c>
      <c r="AI3" s="239" t="s">
        <v>2588</v>
      </c>
      <c r="AJ3" s="239" t="s">
        <v>2590</v>
      </c>
      <c r="AK3" s="239" t="s">
        <v>2589</v>
      </c>
      <c r="AL3" s="239" t="s">
        <v>2591</v>
      </c>
      <c r="AM3" s="239" t="s">
        <v>2592</v>
      </c>
      <c r="AN3" s="239" t="str">
        <f>RIGHT(Таблица1[[#This Row],[ДА1]],1)</f>
        <v>2</v>
      </c>
      <c r="AO3" s="214">
        <v>2</v>
      </c>
      <c r="AP3" s="213">
        <f>IF(Таблица1[[#This Row],[ДА Итог Копия]]=Таблица1[[#This Row],[Train]],1,0)</f>
        <v>0</v>
      </c>
      <c r="AQ3" s="213">
        <f>IF(Таблица1[[#This Row],[ДА Итог Копия]]=Таблица1[[#This Row],[К-средних]],1,0)</f>
        <v>1</v>
      </c>
      <c r="AR3" s="216">
        <v>44.39739797873284</v>
      </c>
      <c r="AS3" s="216">
        <v>15.175590202333238</v>
      </c>
      <c r="AT3" s="216">
        <v>28.556745666625364</v>
      </c>
      <c r="AU3" s="216">
        <v>72.867431711994271</v>
      </c>
      <c r="AV3" s="216">
        <v>63.671602325535936</v>
      </c>
      <c r="AW3" s="216">
        <v>621.00928045417061</v>
      </c>
      <c r="AX3" s="217">
        <v>439.36062332415543</v>
      </c>
      <c r="AY3" s="218">
        <f>MATCH(MIN(Таблица1[[#This Row],[1 ДА Мах]:[7_ДА_Мах]]),Таблица1[[#This Row],[1 ДА Мах]:[7_ДА_Мах]],0)</f>
        <v>2</v>
      </c>
      <c r="AZ3" s="219">
        <f>IF(Таблица1[[#This Row],[ДА_Мах_Итог]]=Таблица1[[#This Row],[Train]],1,0)</f>
        <v>0</v>
      </c>
      <c r="BA3" s="219">
        <f>IF(Таблица1[[#This Row],[ДА_Мах_Итог]]=Таблица1[[#This Row],[К-средних]],1,0)</f>
        <v>1</v>
      </c>
      <c r="BB3" s="220">
        <v>3.3802759608308216E-7</v>
      </c>
      <c r="BC3" s="220">
        <v>0.99844886532647559</v>
      </c>
      <c r="BD3" s="220">
        <v>1.5507966385008309E-3</v>
      </c>
      <c r="BE3" s="220">
        <v>7.4069877636957342E-14</v>
      </c>
      <c r="BF3" s="220">
        <v>7.3534409069282854E-12</v>
      </c>
      <c r="BG3" s="220">
        <v>0</v>
      </c>
      <c r="BH3" s="220">
        <v>0</v>
      </c>
      <c r="BI3" s="218">
        <f>MATCH(MAX(Таблица1[[#This Row],[1_ДА_Ап]:[7_ДА_Ап]]),Таблица1[[#This Row],[1_ДА_Ап]:[7_ДА_Ап]],0)</f>
        <v>2</v>
      </c>
      <c r="BJ3" s="219">
        <f>IF(Таблица1[[#This Row],[ДА_Ап_Итог]]=Таблица1[[#This Row],[Train]],1,0)</f>
        <v>0</v>
      </c>
      <c r="BK3" s="219">
        <f>IF(Таблица1[[#This Row],[ДА_Ап_Итог]]=Таблица1[[#This Row],[К-средних]],1,0)</f>
        <v>1</v>
      </c>
      <c r="BL3" s="234" t="s">
        <v>2587</v>
      </c>
      <c r="BM3" s="234" t="s">
        <v>2586</v>
      </c>
      <c r="BN3" s="234" t="s">
        <v>2590</v>
      </c>
      <c r="BO3" s="234" t="s">
        <v>2588</v>
      </c>
      <c r="BP3" s="234" t="s">
        <v>2589</v>
      </c>
      <c r="BQ3" s="234" t="s">
        <v>2591</v>
      </c>
      <c r="BR3" s="234" t="s">
        <v>2592</v>
      </c>
      <c r="BS3" s="234" t="str">
        <f>RIGHT(Таблица1[[#This Row],[ПДАсВ 1]],1)</f>
        <v>2</v>
      </c>
      <c r="BT3" s="227">
        <v>2</v>
      </c>
      <c r="BU3" s="212">
        <f>IF(Таблица1[[#This Row],[ПДАсВ Итог Копия]]=Таблица1[[#This Row],[Train]],1,0)</f>
        <v>0</v>
      </c>
      <c r="BV3" s="212">
        <f>IF(Таблица1[[#This Row],[ПДАсВ Итог Копия]]=Таблица1[[#This Row],[К-средних]],1,0)</f>
        <v>1</v>
      </c>
      <c r="BW3" s="235">
        <v>29.694935283088117</v>
      </c>
      <c r="BX3" s="235">
        <v>11.162182461358169</v>
      </c>
      <c r="BY3" s="235">
        <v>11.887228910449053</v>
      </c>
      <c r="BZ3" s="235">
        <v>39.493561652995204</v>
      </c>
      <c r="CA3" s="235">
        <v>19.851411551397558</v>
      </c>
      <c r="CB3" s="235">
        <v>607.9299822566345</v>
      </c>
      <c r="CC3" s="235">
        <v>298.32436626269373</v>
      </c>
      <c r="CD3" s="218">
        <f>MATCH(MIN(Таблица1[[#This Row],[1 ДА Мах]:[7_ДА_Мах]]),Таблица1[[#This Row],[1 ДА Мах]:[7_ДА_Мах]],0)</f>
        <v>2</v>
      </c>
      <c r="CE3" s="219">
        <f>IF(Таблица1[[#This Row],[ДА_Мах_Итог]]=Таблица1[[#This Row],[Train]],1,0)</f>
        <v>0</v>
      </c>
      <c r="CF3" s="219">
        <f>IF(Таблица1[[#This Row],[ДА_Мах_Итог]]=Таблица1[[#This Row],[К-средних]],1,0)</f>
        <v>1</v>
      </c>
      <c r="CG3" s="236">
        <v>3.7856283889474643E-5</v>
      </c>
      <c r="CH3" s="236">
        <v>0.53384214748289871</v>
      </c>
      <c r="CI3" s="236">
        <v>0.46438805032493513</v>
      </c>
      <c r="CJ3" s="236">
        <v>9.4031214126301677E-8</v>
      </c>
      <c r="CK3" s="236">
        <v>1.7318518770624166E-3</v>
      </c>
      <c r="CL3" s="236">
        <v>0</v>
      </c>
      <c r="CM3" s="236">
        <v>0</v>
      </c>
      <c r="CN3" s="218">
        <f>MATCH(MAX(Таблица1[[#This Row],[1_ДА_Ап]:[7_ДА_Ап]]),Таблица1[[#This Row],[1_ДА_Ап]:[7_ДА_Ап]],0)</f>
        <v>2</v>
      </c>
      <c r="CO3" s="219">
        <f>IF(Таблица1[[#This Row],[ПДАсВ Итог Копия]]=Таблица1[[#This Row],[Train]],1,0)</f>
        <v>0</v>
      </c>
      <c r="CP3" s="219">
        <f>IF(Таблица1[[#This Row],[ПДАсВ Итог Копия]]=Таблица1[[#This Row],[К-средних]],1,0)</f>
        <v>1</v>
      </c>
      <c r="CQ3" s="234" t="s">
        <v>2586</v>
      </c>
      <c r="CR3" s="234" t="s">
        <v>2587</v>
      </c>
      <c r="CS3" s="234" t="s">
        <v>2588</v>
      </c>
      <c r="CT3" s="234" t="s">
        <v>2590</v>
      </c>
      <c r="CU3" s="234" t="s">
        <v>2589</v>
      </c>
      <c r="CV3" s="234" t="s">
        <v>2591</v>
      </c>
      <c r="CW3" s="234" t="s">
        <v>2592</v>
      </c>
      <c r="CX3" s="234" t="str">
        <f>RIGHT(Таблица1[[#This Row],[ПДАсИ 1]],1)</f>
        <v>3</v>
      </c>
      <c r="CY3" s="212">
        <v>3</v>
      </c>
      <c r="CZ3" s="212">
        <f>IF(Таблица1[[#This Row],[ПДАсИ Итог Копия]]=Таблица1[[#This Row],[Train]],1,0)</f>
        <v>0</v>
      </c>
      <c r="DA3" s="212">
        <f>IF(Таблица1[[#This Row],[ПДАсИ Итог Копия]]=Таблица1[[#This Row],[К-средних]],1,0)</f>
        <v>0</v>
      </c>
      <c r="DB3" s="237">
        <v>26.06103031563061</v>
      </c>
      <c r="DC3" s="237">
        <v>10.956692909479829</v>
      </c>
      <c r="DD3" s="237">
        <v>9.7238508619201074</v>
      </c>
      <c r="DE3" s="237">
        <v>40.461352844397162</v>
      </c>
      <c r="DF3" s="237">
        <v>31.412430496543791</v>
      </c>
      <c r="DG3" s="237">
        <v>485.79975353724876</v>
      </c>
      <c r="DH3" s="237">
        <v>397.51319758225782</v>
      </c>
      <c r="DI3" s="224">
        <f>MATCH(MIN(Таблица1[[#This Row],[ПДАсИ Мах 1]:[ПДАсИ Мах 7]]),Таблица1[[#This Row],[ПДАсИ Мах 1]:[ПДАсИ Мах 7]],0)</f>
        <v>3</v>
      </c>
      <c r="DJ3" s="212">
        <f>IF(Таблица1[[#This Row],[ПДАсИ Мах Итог]]=Таблица1[[#This Row],[Train]],1,0)</f>
        <v>0</v>
      </c>
      <c r="DK3" s="212">
        <f>IF(Таблица1[[#This Row],[ПДАсИ Мах Итог]]=Таблица1[[#This Row],[К-средних]],1,0)</f>
        <v>0</v>
      </c>
      <c r="DL3" s="238">
        <v>1.1874430515862103E-4</v>
      </c>
      <c r="DM3" s="238">
        <v>0.30158985000889965</v>
      </c>
      <c r="DN3" s="238">
        <v>0.69828865061739664</v>
      </c>
      <c r="DO3" s="238">
        <v>2.9546172556150793E-8</v>
      </c>
      <c r="DP3" s="238">
        <v>2.7255223725191556E-6</v>
      </c>
      <c r="DQ3" s="238">
        <v>0</v>
      </c>
      <c r="DR3" s="238">
        <v>0</v>
      </c>
      <c r="DS3" s="224">
        <f>MATCH(MAX(Таблица1[[#This Row],[ПДАсИ Ап 1]:[ПДАсИ Ап 7]]),Таблица1[[#This Row],[ПДАсИ Ап 1]:[ПДАсИ Ап 7]],0)</f>
        <v>3</v>
      </c>
      <c r="DT3" s="212">
        <f>IF(Таблица1[[#This Row],[ПДАсИ Ап Итог]]=Таблица1[[#This Row],[Train]],1,0)</f>
        <v>0</v>
      </c>
      <c r="DU3" s="212">
        <f>IF(Таблица1[[#This Row],[ПДАсИ Ап Итог]]=Таблица1[[#This Row],[К-средних]],1,0)</f>
        <v>0</v>
      </c>
    </row>
    <row r="4" spans="1:125" ht="13.8">
      <c r="A4" s="205" t="s">
        <v>272</v>
      </c>
      <c r="B4" s="319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320">
        <v>-0.62932120436653038</v>
      </c>
      <c r="K4" s="324">
        <v>-1.2270999878536024</v>
      </c>
      <c r="L4" s="325">
        <v>-5.7894323128173497E-2</v>
      </c>
      <c r="M4" s="328">
        <v>-1.0851746806842724</v>
      </c>
      <c r="N4" s="310">
        <v>-8.3099050419523549E-2</v>
      </c>
      <c r="O4" s="329">
        <v>0.3142925642566306</v>
      </c>
      <c r="P4" s="206">
        <v>4</v>
      </c>
      <c r="Q4" s="207">
        <v>5</v>
      </c>
      <c r="R4" s="206">
        <v>5</v>
      </c>
      <c r="S4" s="208">
        <v>4</v>
      </c>
      <c r="T4" s="271">
        <v>4</v>
      </c>
      <c r="U4" s="271">
        <v>6</v>
      </c>
      <c r="V4" s="272">
        <v>1</v>
      </c>
      <c r="W4" s="272">
        <v>1</v>
      </c>
      <c r="X4" s="312">
        <v>6</v>
      </c>
      <c r="Y4" s="313">
        <v>1</v>
      </c>
      <c r="Z4" s="271">
        <v>3</v>
      </c>
      <c r="AA4" s="314">
        <v>6</v>
      </c>
      <c r="AB4" s="314">
        <v>4</v>
      </c>
      <c r="AC4" s="314">
        <f>IF(Таблица1[[#This Row],[Train]]=Таблица1[[#This Row],[НС]],1,0)</f>
        <v>1</v>
      </c>
      <c r="AD4" s="314">
        <f>IF(Таблица1[[#This Row],[НС]]=Таблица1[[#This Row],[К-средних]],1,0)</f>
        <v>1</v>
      </c>
      <c r="AE4" s="208">
        <v>4</v>
      </c>
      <c r="AF4" s="209">
        <f>SUMXMY2(Таблица1[[#This Row],[X1]:[X9]],Таблица1[[#Totals],[X1]:[X9]])</f>
        <v>6.6872894295149843</v>
      </c>
      <c r="AG4" s="239" t="s">
        <v>2589</v>
      </c>
      <c r="AH4" s="239" t="s">
        <v>2586</v>
      </c>
      <c r="AI4" s="239" t="s">
        <v>2587</v>
      </c>
      <c r="AJ4" s="239" t="s">
        <v>2588</v>
      </c>
      <c r="AK4" s="239" t="s">
        <v>2590</v>
      </c>
      <c r="AL4" s="239" t="s">
        <v>2591</v>
      </c>
      <c r="AM4" s="239" t="s">
        <v>2592</v>
      </c>
      <c r="AN4" s="239" t="str">
        <f>RIGHT(Таблица1[[#This Row],[ДА1]],1)</f>
        <v>4</v>
      </c>
      <c r="AO4" s="214">
        <v>4</v>
      </c>
      <c r="AP4" s="213">
        <f>IF(Таблица1[[#This Row],[ДА Итог Копия]]=Таблица1[[#This Row],[Train]],1,0)</f>
        <v>1</v>
      </c>
      <c r="AQ4" s="213">
        <f>IF(Таблица1[[#This Row],[ДА Итог Копия]]=Таблица1[[#This Row],[К-средних]],1,0)</f>
        <v>1</v>
      </c>
      <c r="AR4" s="216">
        <v>92.049277450378867</v>
      </c>
      <c r="AS4" s="216">
        <v>64.122688769641073</v>
      </c>
      <c r="AT4" s="216">
        <v>58.57171901648853</v>
      </c>
      <c r="AU4" s="216">
        <v>3.9320495836273608</v>
      </c>
      <c r="AV4" s="216">
        <v>97.092489183637724</v>
      </c>
      <c r="AW4" s="216">
        <v>629.95998140814345</v>
      </c>
      <c r="AX4" s="217">
        <v>247.05403385455216</v>
      </c>
      <c r="AY4" s="218">
        <f>MATCH(MIN(Таблица1[[#This Row],[1 ДА Мах]:[7_ДА_Мах]]),Таблица1[[#This Row],[1 ДА Мах]:[7_ДА_Мах]],0)</f>
        <v>4</v>
      </c>
      <c r="AZ4" s="219">
        <f>IF(Таблица1[[#This Row],[ДА_Мах_Итог]]=Таблица1[[#This Row],[Train]],1,0)</f>
        <v>1</v>
      </c>
      <c r="BA4" s="219">
        <f>IF(Таблица1[[#This Row],[ДА_Мах_Итог]]=Таблица1[[#This Row],[К-средних]],1,0)</f>
        <v>1</v>
      </c>
      <c r="BB4" s="220">
        <v>2.2014475519971546E-19</v>
      </c>
      <c r="BC4" s="220">
        <v>3.4027399578136318E-13</v>
      </c>
      <c r="BD4" s="220">
        <v>6.8252182045657725E-12</v>
      </c>
      <c r="BE4" s="220">
        <v>0.9999999999928344</v>
      </c>
      <c r="BF4" s="220">
        <v>5.8947796423766066E-21</v>
      </c>
      <c r="BG4" s="220">
        <v>0</v>
      </c>
      <c r="BH4" s="220">
        <v>0</v>
      </c>
      <c r="BI4" s="218">
        <f>MATCH(MAX(Таблица1[[#This Row],[1_ДА_Ап]:[7_ДА_Ап]]),Таблица1[[#This Row],[1_ДА_Ап]:[7_ДА_Ап]],0)</f>
        <v>4</v>
      </c>
      <c r="BJ4" s="219">
        <f>IF(Таблица1[[#This Row],[ДА_Ап_Итог]]=Таблица1[[#This Row],[Train]],1,0)</f>
        <v>1</v>
      </c>
      <c r="BK4" s="219">
        <f>IF(Таблица1[[#This Row],[ДА_Ап_Итог]]=Таблица1[[#This Row],[К-средних]],1,0)</f>
        <v>1</v>
      </c>
      <c r="BL4" s="234" t="s">
        <v>2589</v>
      </c>
      <c r="BM4" s="234" t="s">
        <v>2590</v>
      </c>
      <c r="BN4" s="234" t="s">
        <v>2587</v>
      </c>
      <c r="BO4" s="234" t="s">
        <v>2586</v>
      </c>
      <c r="BP4" s="234" t="s">
        <v>2588</v>
      </c>
      <c r="BQ4" s="234" t="s">
        <v>2591</v>
      </c>
      <c r="BR4" s="234" t="s">
        <v>2592</v>
      </c>
      <c r="BS4" s="234" t="str">
        <f>RIGHT(Таблица1[[#This Row],[ПДАсВ 1]],1)</f>
        <v>4</v>
      </c>
      <c r="BT4" s="227">
        <v>4</v>
      </c>
      <c r="BU4" s="212">
        <f>IF(Таблица1[[#This Row],[ПДАсВ Итог Копия]]=Таблица1[[#This Row],[Train]],1,0)</f>
        <v>1</v>
      </c>
      <c r="BV4" s="212">
        <f>IF(Таблица1[[#This Row],[ПДАсВ Итог Копия]]=Таблица1[[#This Row],[К-средних]],1,0)</f>
        <v>1</v>
      </c>
      <c r="BW4" s="235">
        <v>75.268637457027822</v>
      </c>
      <c r="BX4" s="235">
        <v>42.155413914858073</v>
      </c>
      <c r="BY4" s="235">
        <v>53.400812609256697</v>
      </c>
      <c r="BZ4" s="235">
        <v>3.5771045074124199</v>
      </c>
      <c r="CA4" s="235">
        <v>36.219796109790792</v>
      </c>
      <c r="CB4" s="235">
        <v>588.93550204648091</v>
      </c>
      <c r="CC4" s="235">
        <v>190.7534945223548</v>
      </c>
      <c r="CD4" s="218">
        <f>MATCH(MIN(Таблица1[[#This Row],[1 ДА Мах]:[7_ДА_Мах]]),Таблица1[[#This Row],[1 ДА Мах]:[7_ДА_Мах]],0)</f>
        <v>4</v>
      </c>
      <c r="CE4" s="219">
        <f>IF(Таблица1[[#This Row],[ДА_Мах_Итог]]=Таблица1[[#This Row],[Train]],1,0)</f>
        <v>1</v>
      </c>
      <c r="CF4" s="219">
        <f>IF(Таблица1[[#This Row],[ДА_Мах_Итог]]=Таблица1[[#This Row],[К-средних]],1,0)</f>
        <v>1</v>
      </c>
      <c r="CG4" s="236">
        <v>8.1190017002643572E-16</v>
      </c>
      <c r="CH4" s="236">
        <v>1.6783653317013269E-8</v>
      </c>
      <c r="CI4" s="236">
        <v>7.5838408971365268E-11</v>
      </c>
      <c r="CJ4" s="236">
        <v>0.99999990153310792</v>
      </c>
      <c r="CK4" s="236">
        <v>8.1607399441602138E-8</v>
      </c>
      <c r="CL4" s="236">
        <v>0</v>
      </c>
      <c r="CM4" s="236">
        <v>0</v>
      </c>
      <c r="CN4" s="218">
        <f>MATCH(MAX(Таблица1[[#This Row],[1_ДА_Ап]:[7_ДА_Ап]]),Таблица1[[#This Row],[1_ДА_Ап]:[7_ДА_Ап]],0)</f>
        <v>4</v>
      </c>
      <c r="CO4" s="219">
        <f>IF(Таблица1[[#This Row],[ПДАсВ Итог Копия]]=Таблица1[[#This Row],[Train]],1,0)</f>
        <v>1</v>
      </c>
      <c r="CP4" s="219">
        <f>IF(Таблица1[[#This Row],[ПДАсВ Итог Копия]]=Таблица1[[#This Row],[К-средних]],1,0)</f>
        <v>1</v>
      </c>
      <c r="CQ4" s="234" t="s">
        <v>2589</v>
      </c>
      <c r="CR4" s="234" t="s">
        <v>2586</v>
      </c>
      <c r="CS4" s="234" t="s">
        <v>2587</v>
      </c>
      <c r="CT4" s="234" t="s">
        <v>2588</v>
      </c>
      <c r="CU4" s="234" t="s">
        <v>2590</v>
      </c>
      <c r="CV4" s="234" t="s">
        <v>2591</v>
      </c>
      <c r="CW4" s="234" t="s">
        <v>2592</v>
      </c>
      <c r="CX4" s="234" t="str">
        <f>RIGHT(Таблица1[[#This Row],[ПДАсИ 1]],1)</f>
        <v>4</v>
      </c>
      <c r="CY4" s="212">
        <v>4</v>
      </c>
      <c r="CZ4" s="212">
        <f>IF(Таблица1[[#This Row],[ПДАсИ Итог Копия]]=Таблица1[[#This Row],[Train]],1,0)</f>
        <v>1</v>
      </c>
      <c r="DA4" s="212">
        <f>IF(Таблица1[[#This Row],[ПДАсИ Итог Копия]]=Таблица1[[#This Row],[К-средних]],1,0)</f>
        <v>1</v>
      </c>
      <c r="DB4" s="237">
        <v>65.052782375888171</v>
      </c>
      <c r="DC4" s="237">
        <v>36.352474430643262</v>
      </c>
      <c r="DD4" s="237">
        <v>35.718291169224287</v>
      </c>
      <c r="DE4" s="237">
        <v>3.8928990879964318</v>
      </c>
      <c r="DF4" s="237">
        <v>75.514227230830414</v>
      </c>
      <c r="DG4" s="237">
        <v>533.50143567939017</v>
      </c>
      <c r="DH4" s="237">
        <v>242.10978773851139</v>
      </c>
      <c r="DI4" s="224">
        <f>MATCH(MIN(Таблица1[[#This Row],[ПДАсИ Мах 1]:[ПДАсИ Мах 7]]),Таблица1[[#This Row],[ПДАсИ Мах 1]:[ПДАсИ Мах 7]],0)</f>
        <v>4</v>
      </c>
      <c r="DJ4" s="212">
        <f>IF(Таблица1[[#This Row],[ПДАсИ Мах Итог]]=Таблица1[[#This Row],[Train]],1,0)</f>
        <v>1</v>
      </c>
      <c r="DK4" s="212">
        <f>IF(Таблица1[[#This Row],[ПДАсИ Мах Итог]]=Таблица1[[#This Row],[К-средних]],1,0)</f>
        <v>1</v>
      </c>
      <c r="DL4" s="238">
        <v>1.5718855435495747E-13</v>
      </c>
      <c r="DM4" s="238">
        <v>3.5772751131511742E-7</v>
      </c>
      <c r="DN4" s="238">
        <v>6.1400725069761835E-7</v>
      </c>
      <c r="DO4" s="238">
        <v>0.99999902826508047</v>
      </c>
      <c r="DP4" s="238">
        <v>2.8030173017662504E-16</v>
      </c>
      <c r="DQ4" s="238">
        <v>0</v>
      </c>
      <c r="DR4" s="238">
        <v>0</v>
      </c>
      <c r="DS4" s="224">
        <f>MATCH(MAX(Таблица1[[#This Row],[ПДАсИ Ап 1]:[ПДАсИ Ап 7]]),Таблица1[[#This Row],[ПДАсИ Ап 1]:[ПДАсИ Ап 7]],0)</f>
        <v>4</v>
      </c>
      <c r="DT4" s="212">
        <f>IF(Таблица1[[#This Row],[ПДАсИ Ап Итог]]=Таблица1[[#This Row],[Train]],1,0)</f>
        <v>1</v>
      </c>
      <c r="DU4" s="212">
        <f>IF(Таблица1[[#This Row],[ПДАсИ Ап Итог]]=Таблица1[[#This Row],[К-средних]],1,0)</f>
        <v>1</v>
      </c>
    </row>
    <row r="5" spans="1:125" ht="13.8">
      <c r="A5" s="205" t="s">
        <v>273</v>
      </c>
      <c r="B5" s="319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320">
        <v>-0.16272168212592508</v>
      </c>
      <c r="K5" s="324">
        <v>1.2150067041600144E-2</v>
      </c>
      <c r="L5" s="325">
        <v>0.24194645938294049</v>
      </c>
      <c r="M5" s="328">
        <v>-1.1845396625836959E-3</v>
      </c>
      <c r="N5" s="310">
        <v>-0.14296633362111505</v>
      </c>
      <c r="O5" s="329">
        <v>-0.814781249372723</v>
      </c>
      <c r="P5" s="206">
        <v>5</v>
      </c>
      <c r="Q5" s="207">
        <v>5</v>
      </c>
      <c r="R5" s="206">
        <v>4</v>
      </c>
      <c r="S5" s="208">
        <v>2</v>
      </c>
      <c r="T5" s="271">
        <v>2</v>
      </c>
      <c r="U5" s="271">
        <v>7</v>
      </c>
      <c r="V5" s="272">
        <v>2</v>
      </c>
      <c r="W5" s="272">
        <v>6</v>
      </c>
      <c r="X5" s="312">
        <v>2</v>
      </c>
      <c r="Y5" s="313">
        <v>4</v>
      </c>
      <c r="Z5" s="271">
        <v>1</v>
      </c>
      <c r="AA5" s="314">
        <v>2</v>
      </c>
      <c r="AB5" s="343">
        <v>3</v>
      </c>
      <c r="AC5" s="343">
        <f>IF(Таблица1[[#This Row],[Train]]=Таблица1[[#This Row],[НС]],1,0)</f>
        <v>0</v>
      </c>
      <c r="AD5" s="343">
        <f>IF(Таблица1[[#This Row],[НС]]=Таблица1[[#This Row],[К-средних]],1,0)</f>
        <v>0</v>
      </c>
      <c r="AE5" s="208"/>
      <c r="AF5" s="209">
        <f>SUMXMY2(Таблица1[[#This Row],[X1]:[X9]],Таблица1[[#Totals],[X1]:[X9]])</f>
        <v>3.2008392571689703</v>
      </c>
      <c r="AG5" s="239" t="s">
        <v>2587</v>
      </c>
      <c r="AH5" s="239" t="s">
        <v>2588</v>
      </c>
      <c r="AI5" s="239" t="s">
        <v>2586</v>
      </c>
      <c r="AJ5" s="239" t="s">
        <v>2589</v>
      </c>
      <c r="AK5" s="239" t="s">
        <v>2590</v>
      </c>
      <c r="AL5" s="239" t="s">
        <v>2591</v>
      </c>
      <c r="AM5" s="239" t="s">
        <v>2592</v>
      </c>
      <c r="AN5" s="239" t="str">
        <f>RIGHT(Таблица1[[#This Row],[ДА1]],1)</f>
        <v>2</v>
      </c>
      <c r="AO5" s="214">
        <v>2</v>
      </c>
      <c r="AP5" s="213">
        <f>IF(Таблица1[[#This Row],[ДА Итог Копия]]=Таблица1[[#This Row],[Train]],1,0)</f>
        <v>0</v>
      </c>
      <c r="AQ5" s="213">
        <f>IF(Таблица1[[#This Row],[ДА Итог Копия]]=Таблица1[[#This Row],[К-средних]],1,0)</f>
        <v>1</v>
      </c>
      <c r="AR5" s="216">
        <v>45.92962940988189</v>
      </c>
      <c r="AS5" s="216">
        <v>37.680543044822336</v>
      </c>
      <c r="AT5" s="216">
        <v>49.035861392404939</v>
      </c>
      <c r="AU5" s="216">
        <v>60.870664535544606</v>
      </c>
      <c r="AV5" s="216">
        <v>92.950852889781103</v>
      </c>
      <c r="AW5" s="216">
        <v>658.25875273191264</v>
      </c>
      <c r="AX5" s="217">
        <v>248.01914184581176</v>
      </c>
      <c r="AY5" s="218">
        <f>MATCH(MIN(Таблица1[[#This Row],[1 ДА Мах]:[7_ДА_Мах]]),Таблица1[[#This Row],[1 ДА Мах]:[7_ДА_Мах]],0)</f>
        <v>2</v>
      </c>
      <c r="AZ5" s="219">
        <f>IF(Таблица1[[#This Row],[ДА_Мах_Итог]]=Таблица1[[#This Row],[Train]],1,0)</f>
        <v>0</v>
      </c>
      <c r="BA5" s="219">
        <f>IF(Таблица1[[#This Row],[ДА_Мах_Итог]]=Таблица1[[#This Row],[К-средних]],1,0)</f>
        <v>1</v>
      </c>
      <c r="BB5" s="220">
        <v>1.1932380561101999E-2</v>
      </c>
      <c r="BC5" s="220">
        <v>0.98385744666715935</v>
      </c>
      <c r="BD5" s="220">
        <v>4.2079070773260391E-3</v>
      </c>
      <c r="BE5" s="220">
        <v>2.2656941676970004E-6</v>
      </c>
      <c r="BF5" s="220">
        <v>2.4494969124779254E-13</v>
      </c>
      <c r="BG5" s="220">
        <v>0</v>
      </c>
      <c r="BH5" s="220">
        <v>0</v>
      </c>
      <c r="BI5" s="218">
        <f>MATCH(MAX(Таблица1[[#This Row],[1_ДА_Ап]:[7_ДА_Ап]]),Таблица1[[#This Row],[1_ДА_Ап]:[7_ДА_Ап]],0)</f>
        <v>2</v>
      </c>
      <c r="BJ5" s="219">
        <f>IF(Таблица1[[#This Row],[ДА_Ап_Итог]]=Таблица1[[#This Row],[Train]],1,0)</f>
        <v>0</v>
      </c>
      <c r="BK5" s="219">
        <f>IF(Таблица1[[#This Row],[ДА_Ап_Итог]]=Таблица1[[#This Row],[К-средних]],1,0)</f>
        <v>1</v>
      </c>
      <c r="BL5" s="234" t="s">
        <v>2587</v>
      </c>
      <c r="BM5" s="234" t="s">
        <v>2588</v>
      </c>
      <c r="BN5" s="234" t="s">
        <v>2586</v>
      </c>
      <c r="BO5" s="234" t="s">
        <v>2589</v>
      </c>
      <c r="BP5" s="234" t="s">
        <v>2590</v>
      </c>
      <c r="BQ5" s="234" t="s">
        <v>2591</v>
      </c>
      <c r="BR5" s="234" t="s">
        <v>2592</v>
      </c>
      <c r="BS5" s="234" t="str">
        <f>RIGHT(Таблица1[[#This Row],[ПДАсВ 1]],1)</f>
        <v>2</v>
      </c>
      <c r="BT5" s="227">
        <v>2</v>
      </c>
      <c r="BU5" s="212">
        <f>IF(Таблица1[[#This Row],[ПДАсВ Итог Копия]]=Таблица1[[#This Row],[Train]],1,0)</f>
        <v>0</v>
      </c>
      <c r="BV5" s="212">
        <f>IF(Таблица1[[#This Row],[ПДАсВ Итог Копия]]=Таблица1[[#This Row],[К-средних]],1,0)</f>
        <v>1</v>
      </c>
      <c r="BW5" s="235">
        <v>36.836171532239106</v>
      </c>
      <c r="BX5" s="235">
        <v>19.013985830218694</v>
      </c>
      <c r="BY5" s="235">
        <v>38.15758472715428</v>
      </c>
      <c r="BZ5" s="235">
        <v>42.027299406156104</v>
      </c>
      <c r="CA5" s="235">
        <v>55.567199290307663</v>
      </c>
      <c r="CB5" s="235">
        <v>613.21132845444163</v>
      </c>
      <c r="CC5" s="235">
        <v>183.32522843832302</v>
      </c>
      <c r="CD5" s="218">
        <f>MATCH(MIN(Таблица1[[#This Row],[1 ДА Мах]:[7_ДА_Мах]]),Таблица1[[#This Row],[1 ДА Мах]:[7_ДА_Мах]],0)</f>
        <v>2</v>
      </c>
      <c r="CE5" s="219">
        <f>IF(Таблица1[[#This Row],[ДА_Мах_Итог]]=Таблица1[[#This Row],[Train]],1,0)</f>
        <v>0</v>
      </c>
      <c r="CF5" s="219">
        <f>IF(Таблица1[[#This Row],[ДА_Мах_Итог]]=Таблица1[[#This Row],[К-средних]],1,0)</f>
        <v>1</v>
      </c>
      <c r="CG5" s="236">
        <v>1.0114396403630458E-4</v>
      </c>
      <c r="CH5" s="236">
        <v>0.99980927212887793</v>
      </c>
      <c r="CI5" s="236">
        <v>8.7065779114855498E-5</v>
      </c>
      <c r="CJ5" s="236">
        <v>2.5152410975994151E-6</v>
      </c>
      <c r="CK5" s="236">
        <v>2.8868732607083015E-9</v>
      </c>
      <c r="CL5" s="236">
        <v>0</v>
      </c>
      <c r="CM5" s="236">
        <v>0</v>
      </c>
      <c r="CN5" s="218">
        <f>MATCH(MAX(Таблица1[[#This Row],[1_ДА_Ап]:[7_ДА_Ап]]),Таблица1[[#This Row],[1_ДА_Ап]:[7_ДА_Ап]],0)</f>
        <v>2</v>
      </c>
      <c r="CO5" s="219">
        <f>IF(Таблица1[[#This Row],[ПДАсВ Итог Копия]]=Таблица1[[#This Row],[Train]],1,0)</f>
        <v>0</v>
      </c>
      <c r="CP5" s="219">
        <f>IF(Таблица1[[#This Row],[ПДАсВ Итог Копия]]=Таблица1[[#This Row],[К-средних]],1,0)</f>
        <v>1</v>
      </c>
      <c r="CQ5" s="234" t="s">
        <v>2587</v>
      </c>
      <c r="CR5" s="234" t="s">
        <v>2586</v>
      </c>
      <c r="CS5" s="234" t="s">
        <v>2588</v>
      </c>
      <c r="CT5" s="234" t="s">
        <v>2589</v>
      </c>
      <c r="CU5" s="234" t="s">
        <v>2590</v>
      </c>
      <c r="CV5" s="234" t="s">
        <v>2591</v>
      </c>
      <c r="CW5" s="234" t="s">
        <v>2592</v>
      </c>
      <c r="CX5" s="234" t="str">
        <f>RIGHT(Таблица1[[#This Row],[ПДАсИ 1]],1)</f>
        <v>2</v>
      </c>
      <c r="CY5" s="212">
        <v>2</v>
      </c>
      <c r="CZ5" s="212">
        <f>IF(Таблица1[[#This Row],[ПДАсИ Итог Копия]]=Таблица1[[#This Row],[Train]],1,0)</f>
        <v>0</v>
      </c>
      <c r="DA5" s="212">
        <f>IF(Таблица1[[#This Row],[ПДАсИ Итог Копия]]=Таблица1[[#This Row],[К-средних]],1,0)</f>
        <v>1</v>
      </c>
      <c r="DB5" s="237">
        <v>24.232611294076616</v>
      </c>
      <c r="DC5" s="237">
        <v>11.380366843353867</v>
      </c>
      <c r="DD5" s="237">
        <v>18.705033528540042</v>
      </c>
      <c r="DE5" s="237">
        <v>42.054926430100494</v>
      </c>
      <c r="DF5" s="237">
        <v>91.342211828982002</v>
      </c>
      <c r="DG5" s="237">
        <v>557.64118885975495</v>
      </c>
      <c r="DH5" s="237">
        <v>238.16300563252781</v>
      </c>
      <c r="DI5" s="224">
        <f>MATCH(MIN(Таблица1[[#This Row],[ПДАсИ Мах 1]:[ПДАсИ Мах 7]]),Таблица1[[#This Row],[ПДАсИ Мах 1]:[ПДАсИ Мах 7]],0)</f>
        <v>2</v>
      </c>
      <c r="DJ5" s="212">
        <f>IF(Таблица1[[#This Row],[ПДАсИ Мах Итог]]=Таблица1[[#This Row],[Train]],1,0)</f>
        <v>0</v>
      </c>
      <c r="DK5" s="212">
        <f>IF(Таблица1[[#This Row],[ПДАсИ Мах Итог]]=Таблица1[[#This Row],[К-средних]],1,0)</f>
        <v>1</v>
      </c>
      <c r="DL5" s="238">
        <v>1.1749067752659197E-3</v>
      </c>
      <c r="DM5" s="238">
        <v>0.96776868995367638</v>
      </c>
      <c r="DN5" s="238">
        <v>3.1056350448966048E-2</v>
      </c>
      <c r="DO5" s="238">
        <v>5.2822091642874125E-8</v>
      </c>
      <c r="DP5" s="238">
        <v>1.0476532292668882E-18</v>
      </c>
      <c r="DQ5" s="238">
        <v>0</v>
      </c>
      <c r="DR5" s="238">
        <v>0</v>
      </c>
      <c r="DS5" s="224">
        <f>MATCH(MAX(Таблица1[[#This Row],[ПДАсИ Ап 1]:[ПДАсИ Ап 7]]),Таблица1[[#This Row],[ПДАсИ Ап 1]:[ПДАсИ Ап 7]],0)</f>
        <v>2</v>
      </c>
      <c r="DT5" s="212">
        <f>IF(Таблица1[[#This Row],[ПДАсИ Ап Итог]]=Таблица1[[#This Row],[Train]],1,0)</f>
        <v>0</v>
      </c>
      <c r="DU5" s="212">
        <f>IF(Таблица1[[#This Row],[ПДАсИ Ап Итог]]=Таблица1[[#This Row],[К-средних]],1,0)</f>
        <v>1</v>
      </c>
    </row>
    <row r="6" spans="1:125" ht="13.8">
      <c r="A6" s="205" t="s">
        <v>274</v>
      </c>
      <c r="B6" s="319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320">
        <v>-0.82754975956678767</v>
      </c>
      <c r="K6" s="324">
        <v>0.95419538499667966</v>
      </c>
      <c r="L6" s="325">
        <v>-0.8035224435647651</v>
      </c>
      <c r="M6" s="328">
        <v>0.76411624352589247</v>
      </c>
      <c r="N6" s="310">
        <v>0.66940953238543222</v>
      </c>
      <c r="O6" s="329">
        <v>0.16134021253827724</v>
      </c>
      <c r="P6" s="206">
        <v>5</v>
      </c>
      <c r="Q6" s="207">
        <v>5</v>
      </c>
      <c r="R6" s="206">
        <v>7</v>
      </c>
      <c r="S6" s="208">
        <v>1</v>
      </c>
      <c r="T6" s="271">
        <v>5</v>
      </c>
      <c r="U6" s="271">
        <v>4</v>
      </c>
      <c r="V6" s="272">
        <v>4</v>
      </c>
      <c r="W6" s="272">
        <v>7</v>
      </c>
      <c r="X6" s="312">
        <v>4</v>
      </c>
      <c r="Y6" s="313">
        <v>3</v>
      </c>
      <c r="Z6" s="271">
        <v>5</v>
      </c>
      <c r="AA6" s="314">
        <v>5</v>
      </c>
      <c r="AB6" s="314">
        <v>1</v>
      </c>
      <c r="AC6" s="314">
        <f>IF(Таблица1[[#This Row],[Train]]=Таблица1[[#This Row],[НС]],1,0)</f>
        <v>1</v>
      </c>
      <c r="AD6" s="314">
        <f>IF(Таблица1[[#This Row],[НС]]=Таблица1[[#This Row],[К-средних]],1,0)</f>
        <v>1</v>
      </c>
      <c r="AE6" s="208">
        <v>1</v>
      </c>
      <c r="AF6" s="209">
        <f>SUMXMY2(Таблица1[[#This Row],[X1]:[X9]],Таблица1[[#Totals],[X1]:[X9]])</f>
        <v>3.669864730126899</v>
      </c>
      <c r="AG6" s="239" t="s">
        <v>2588</v>
      </c>
      <c r="AH6" s="239" t="s">
        <v>2586</v>
      </c>
      <c r="AI6" s="239" t="s">
        <v>2587</v>
      </c>
      <c r="AJ6" s="239" t="s">
        <v>2589</v>
      </c>
      <c r="AK6" s="239" t="s">
        <v>2590</v>
      </c>
      <c r="AL6" s="239" t="s">
        <v>2591</v>
      </c>
      <c r="AM6" s="239" t="s">
        <v>2592</v>
      </c>
      <c r="AN6" s="239" t="str">
        <f>RIGHT(Таблица1[[#This Row],[ДА1]],1)</f>
        <v>1</v>
      </c>
      <c r="AO6" s="214">
        <v>1</v>
      </c>
      <c r="AP6" s="213">
        <f>IF(Таблица1[[#This Row],[ДА Итог Копия]]=Таблица1[[#This Row],[Train]],1,0)</f>
        <v>1</v>
      </c>
      <c r="AQ6" s="213">
        <f>IF(Таблица1[[#This Row],[ДА Итог Копия]]=Таблица1[[#This Row],[К-средних]],1,0)</f>
        <v>1</v>
      </c>
      <c r="AR6" s="216">
        <v>10.384606927724732</v>
      </c>
      <c r="AS6" s="216">
        <v>36.685521636481241</v>
      </c>
      <c r="AT6" s="216">
        <v>29.484569178753461</v>
      </c>
      <c r="AU6" s="216">
        <v>81.018345714388332</v>
      </c>
      <c r="AV6" s="216">
        <v>95.923694477905087</v>
      </c>
      <c r="AW6" s="216">
        <v>485.76169346473489</v>
      </c>
      <c r="AX6" s="217">
        <v>299.08445930608735</v>
      </c>
      <c r="AY6" s="218">
        <f>MATCH(MIN(Таблица1[[#This Row],[1 ДА Мах]:[7_ДА_Мах]]),Таблица1[[#This Row],[1 ДА Мах]:[7_ДА_Мах]],0)</f>
        <v>1</v>
      </c>
      <c r="AZ6" s="219">
        <f>IF(Таблица1[[#This Row],[ДА_Мах_Итог]]=Таблица1[[#This Row],[Train]],1,0)</f>
        <v>1</v>
      </c>
      <c r="BA6" s="219">
        <f>IF(Таблица1[[#This Row],[ДА_Мах_Итог]]=Таблица1[[#This Row],[К-средних]],1,0)</f>
        <v>1</v>
      </c>
      <c r="BB6" s="220">
        <v>0.99987875089954492</v>
      </c>
      <c r="BC6" s="220">
        <v>2.5924775969161032E-6</v>
      </c>
      <c r="BD6" s="220">
        <v>1.1865662285792948E-4</v>
      </c>
      <c r="BE6" s="220">
        <v>1.5307511298120499E-16</v>
      </c>
      <c r="BF6" s="220">
        <v>8.8766527171129019E-20</v>
      </c>
      <c r="BG6" s="220">
        <v>0</v>
      </c>
      <c r="BH6" s="220">
        <v>0</v>
      </c>
      <c r="BI6" s="218">
        <f>MATCH(MAX(Таблица1[[#This Row],[1_ДА_Ап]:[7_ДА_Ап]]),Таблица1[[#This Row],[1_ДА_Ап]:[7_ДА_Ап]],0)</f>
        <v>1</v>
      </c>
      <c r="BJ6" s="219">
        <f>IF(Таблица1[[#This Row],[ДА_Ап_Итог]]=Таблица1[[#This Row],[Train]],1,0)</f>
        <v>1</v>
      </c>
      <c r="BK6" s="219">
        <f>IF(Таблица1[[#This Row],[ДА_Ап_Итог]]=Таблица1[[#This Row],[К-средних]],1,0)</f>
        <v>1</v>
      </c>
      <c r="BL6" s="234" t="s">
        <v>2588</v>
      </c>
      <c r="BM6" s="234" t="s">
        <v>2586</v>
      </c>
      <c r="BN6" s="234" t="s">
        <v>2587</v>
      </c>
      <c r="BO6" s="234" t="s">
        <v>2590</v>
      </c>
      <c r="BP6" s="234" t="s">
        <v>2589</v>
      </c>
      <c r="BQ6" s="234" t="s">
        <v>2591</v>
      </c>
      <c r="BR6" s="234" t="s">
        <v>2592</v>
      </c>
      <c r="BS6" s="234" t="str">
        <f>RIGHT(Таблица1[[#This Row],[ПДАсВ 1]],1)</f>
        <v>1</v>
      </c>
      <c r="BT6" s="227">
        <v>1</v>
      </c>
      <c r="BU6" s="212">
        <f>IF(Таблица1[[#This Row],[ПДАсВ Итог Копия]]=Таблица1[[#This Row],[Train]],1,0)</f>
        <v>1</v>
      </c>
      <c r="BV6" s="212">
        <f>IF(Таблица1[[#This Row],[ПДАсВ Итог Копия]]=Таблица1[[#This Row],[К-средних]],1,0)</f>
        <v>1</v>
      </c>
      <c r="BW6" s="235">
        <v>9.0241474859101505</v>
      </c>
      <c r="BX6" s="235">
        <v>29.255859966610313</v>
      </c>
      <c r="BY6" s="235">
        <v>27.080466227273202</v>
      </c>
      <c r="BZ6" s="235">
        <v>71.370997582366172</v>
      </c>
      <c r="CA6" s="235">
        <v>69.370868672279343</v>
      </c>
      <c r="CB6" s="235">
        <v>463.35020044974755</v>
      </c>
      <c r="CC6" s="235">
        <v>216.39850898576384</v>
      </c>
      <c r="CD6" s="218">
        <f>MATCH(MIN(Таблица1[[#This Row],[1 ДА Мах]:[7_ДА_Мах]]),Таблица1[[#This Row],[1 ДА Мах]:[7_ДА_Мах]],0)</f>
        <v>1</v>
      </c>
      <c r="CE6" s="219">
        <f>IF(Таблица1[[#This Row],[ДА_Мах_Итог]]=Таблица1[[#This Row],[Train]],1,0)</f>
        <v>1</v>
      </c>
      <c r="CF6" s="219">
        <f>IF(Таблица1[[#This Row],[ДА_Мах_Итог]]=Таблица1[[#This Row],[К-средних]],1,0)</f>
        <v>1</v>
      </c>
      <c r="CG6" s="236">
        <v>0.99974618144949345</v>
      </c>
      <c r="CH6" s="236">
        <v>5.3897416170484178E-5</v>
      </c>
      <c r="CI6" s="236">
        <v>1.9992113430014879E-4</v>
      </c>
      <c r="CJ6" s="236">
        <v>9.6454394447849314E-15</v>
      </c>
      <c r="CK6" s="236">
        <v>2.6220712772975937E-14</v>
      </c>
      <c r="CL6" s="236">
        <v>0</v>
      </c>
      <c r="CM6" s="236">
        <v>0</v>
      </c>
      <c r="CN6" s="218">
        <f>MATCH(MAX(Таблица1[[#This Row],[1_ДА_Ап]:[7_ДА_Ап]]),Таблица1[[#This Row],[1_ДА_Ап]:[7_ДА_Ап]],0)</f>
        <v>1</v>
      </c>
      <c r="CO6" s="219">
        <f>IF(Таблица1[[#This Row],[ПДАсВ Итог Копия]]=Таблица1[[#This Row],[Train]],1,0)</f>
        <v>1</v>
      </c>
      <c r="CP6" s="219">
        <f>IF(Таблица1[[#This Row],[ПДАсВ Итог Копия]]=Таблица1[[#This Row],[К-средних]],1,0)</f>
        <v>1</v>
      </c>
      <c r="CQ6" s="234" t="s">
        <v>2588</v>
      </c>
      <c r="CR6" s="234" t="s">
        <v>2586</v>
      </c>
      <c r="CS6" s="234" t="s">
        <v>2587</v>
      </c>
      <c r="CT6" s="234" t="s">
        <v>2589</v>
      </c>
      <c r="CU6" s="234" t="s">
        <v>2590</v>
      </c>
      <c r="CV6" s="234" t="s">
        <v>2591</v>
      </c>
      <c r="CW6" s="234" t="s">
        <v>2592</v>
      </c>
      <c r="CX6" s="234" t="str">
        <f>RIGHT(Таблица1[[#This Row],[ПДАсИ 1]],1)</f>
        <v>1</v>
      </c>
      <c r="CY6" s="212">
        <v>1</v>
      </c>
      <c r="CZ6" s="212">
        <f>IF(Таблица1[[#This Row],[ПДАсИ Итог Копия]]=Таблица1[[#This Row],[Train]],1,0)</f>
        <v>1</v>
      </c>
      <c r="DA6" s="212">
        <f>IF(Таблица1[[#This Row],[ПДАсИ Итог Копия]]=Таблица1[[#This Row],[К-средних]],1,0)</f>
        <v>1</v>
      </c>
      <c r="DB6" s="237">
        <v>9.3634832516393161</v>
      </c>
      <c r="DC6" s="237">
        <v>29.343601548949206</v>
      </c>
      <c r="DD6" s="237">
        <v>26.224038113892149</v>
      </c>
      <c r="DE6" s="237">
        <v>62.128382714126914</v>
      </c>
      <c r="DF6" s="237">
        <v>87.260139988945568</v>
      </c>
      <c r="DG6" s="237">
        <v>320.5443519237532</v>
      </c>
      <c r="DH6" s="237">
        <v>288.06625111424313</v>
      </c>
      <c r="DI6" s="224">
        <f>MATCH(MIN(Таблица1[[#This Row],[ПДАсИ Мах 1]:[ПДАсИ Мах 7]]),Таблица1[[#This Row],[ПДАсИ Мах 1]:[ПДАсИ Мах 7]],0)</f>
        <v>1</v>
      </c>
      <c r="DJ6" s="212">
        <f>IF(Таблица1[[#This Row],[ПДАсИ Мах Итог]]=Таблица1[[#This Row],[Train]],1,0)</f>
        <v>1</v>
      </c>
      <c r="DK6" s="212">
        <f>IF(Таблица1[[#This Row],[ПДАсИ Мах Итог]]=Таблица1[[#This Row],[К-средних]],1,0)</f>
        <v>1</v>
      </c>
      <c r="DL6" s="238">
        <v>0.99957544073785598</v>
      </c>
      <c r="DM6" s="238">
        <v>6.1112035818310239E-5</v>
      </c>
      <c r="DN6" s="238">
        <v>3.6344722516443379E-4</v>
      </c>
      <c r="DO6" s="238">
        <v>1.1612934727390569E-12</v>
      </c>
      <c r="DP6" s="238">
        <v>4.0518208276504506E-18</v>
      </c>
      <c r="DQ6" s="238">
        <v>0</v>
      </c>
      <c r="DR6" s="238">
        <v>0</v>
      </c>
      <c r="DS6" s="224">
        <f>MATCH(MAX(Таблица1[[#This Row],[ПДАсИ Ап 1]:[ПДАсИ Ап 7]]),Таблица1[[#This Row],[ПДАсИ Ап 1]:[ПДАсИ Ап 7]],0)</f>
        <v>1</v>
      </c>
      <c r="DT6" s="212">
        <f>IF(Таблица1[[#This Row],[ПДАсИ Ап Итог]]=Таблица1[[#This Row],[Train]],1,0)</f>
        <v>1</v>
      </c>
      <c r="DU6" s="212">
        <f>IF(Таблица1[[#This Row],[ПДАсИ Ап Итог]]=Таблица1[[#This Row],[К-средних]],1,0)</f>
        <v>1</v>
      </c>
    </row>
    <row r="7" spans="1:125" ht="13.8">
      <c r="A7" s="205" t="s">
        <v>275</v>
      </c>
      <c r="B7" s="319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320">
        <v>-1.3978380645275277</v>
      </c>
      <c r="K7" s="324">
        <v>0.64016186034313138</v>
      </c>
      <c r="L7" s="325">
        <v>-0.37488435258881508</v>
      </c>
      <c r="M7" s="328">
        <v>0.63715697265686655</v>
      </c>
      <c r="N7" s="310">
        <v>0.16898373518770254</v>
      </c>
      <c r="O7" s="329">
        <v>0.22695044863964844</v>
      </c>
      <c r="P7" s="206">
        <v>5</v>
      </c>
      <c r="Q7" s="207">
        <v>5</v>
      </c>
      <c r="R7" s="206">
        <v>7</v>
      </c>
      <c r="S7" s="208">
        <v>1</v>
      </c>
      <c r="T7" s="271">
        <v>5</v>
      </c>
      <c r="U7" s="271">
        <v>4</v>
      </c>
      <c r="V7" s="272">
        <v>4</v>
      </c>
      <c r="W7" s="272">
        <v>2</v>
      </c>
      <c r="X7" s="312">
        <v>4</v>
      </c>
      <c r="Y7" s="313">
        <v>3</v>
      </c>
      <c r="Z7" s="271">
        <v>5</v>
      </c>
      <c r="AA7" s="314">
        <v>1</v>
      </c>
      <c r="AB7" s="343">
        <v>1</v>
      </c>
      <c r="AC7" s="343">
        <f>IF(Таблица1[[#This Row],[Train]]=Таблица1[[#This Row],[НС]],1,0)</f>
        <v>0</v>
      </c>
      <c r="AD7" s="343">
        <f>IF(Таблица1[[#This Row],[НС]]=Таблица1[[#This Row],[К-средних]],1,0)</f>
        <v>1</v>
      </c>
      <c r="AE7" s="208"/>
      <c r="AF7" s="209">
        <f>SUMXMY2(Таблица1[[#This Row],[X1]:[X9]],Таблица1[[#Totals],[X1]:[X9]])</f>
        <v>4.5799391778488872</v>
      </c>
      <c r="AG7" s="239" t="s">
        <v>2588</v>
      </c>
      <c r="AH7" s="239" t="s">
        <v>2586</v>
      </c>
      <c r="AI7" s="239" t="s">
        <v>2587</v>
      </c>
      <c r="AJ7" s="239" t="s">
        <v>2590</v>
      </c>
      <c r="AK7" s="239" t="s">
        <v>2589</v>
      </c>
      <c r="AL7" s="239" t="s">
        <v>2591</v>
      </c>
      <c r="AM7" s="239" t="s">
        <v>2592</v>
      </c>
      <c r="AN7" s="239" t="str">
        <f>RIGHT(Таблица1[[#This Row],[ДА1]],1)</f>
        <v>1</v>
      </c>
      <c r="AO7" s="214">
        <v>1</v>
      </c>
      <c r="AP7" s="213">
        <f>IF(Таблица1[[#This Row],[ДА Итог Копия]]=Таблица1[[#This Row],[Train]],1,0)</f>
        <v>0</v>
      </c>
      <c r="AQ7" s="213">
        <f>IF(Таблица1[[#This Row],[ДА Итог Копия]]=Таблица1[[#This Row],[К-средних]],1,0)</f>
        <v>1</v>
      </c>
      <c r="AR7" s="216">
        <v>25.809632407920535</v>
      </c>
      <c r="AS7" s="216">
        <v>64.5239688516657</v>
      </c>
      <c r="AT7" s="216">
        <v>31.534601669006769</v>
      </c>
      <c r="AU7" s="216">
        <v>113.98587546050432</v>
      </c>
      <c r="AV7" s="216">
        <v>96.175401783524066</v>
      </c>
      <c r="AW7" s="216">
        <v>704.94302360633924</v>
      </c>
      <c r="AX7" s="217">
        <v>387.79098925652573</v>
      </c>
      <c r="AY7" s="218">
        <f>MATCH(MIN(Таблица1[[#This Row],[1 ДА Мах]:[7_ДА_Мах]]),Таблица1[[#This Row],[1 ДА Мах]:[7_ДА_Мах]],0)</f>
        <v>1</v>
      </c>
      <c r="AZ7" s="219">
        <f>IF(Таблица1[[#This Row],[ДА_Мах_Итог]]=Таблица1[[#This Row],[Train]],1,0)</f>
        <v>0</v>
      </c>
      <c r="BA7" s="219">
        <f>IF(Таблица1[[#This Row],[ДА_Мах_Итог]]=Таблица1[[#This Row],[К-средних]],1,0)</f>
        <v>1</v>
      </c>
      <c r="BB7" s="220">
        <v>0.91306599958795698</v>
      </c>
      <c r="BC7" s="220">
        <v>4.7723200735236922E-9</v>
      </c>
      <c r="BD7" s="220">
        <v>8.6933995639722705E-2</v>
      </c>
      <c r="BE7" s="220">
        <v>2.1684680112462198E-20</v>
      </c>
      <c r="BF7" s="220">
        <v>1.5982629754063038E-16</v>
      </c>
      <c r="BG7" s="220">
        <v>0</v>
      </c>
      <c r="BH7" s="220">
        <v>0</v>
      </c>
      <c r="BI7" s="218">
        <f>MATCH(MAX(Таблица1[[#This Row],[1_ДА_Ап]:[7_ДА_Ап]]),Таблица1[[#This Row],[1_ДА_Ап]:[7_ДА_Ап]],0)</f>
        <v>1</v>
      </c>
      <c r="BJ7" s="219">
        <f>IF(Таблица1[[#This Row],[ДА_Ап_Итог]]=Таблица1[[#This Row],[Train]],1,0)</f>
        <v>0</v>
      </c>
      <c r="BK7" s="219">
        <f>IF(Таблица1[[#This Row],[ДА_Ап_Итог]]=Таблица1[[#This Row],[К-средних]],1,0)</f>
        <v>1</v>
      </c>
      <c r="BL7" s="234" t="s">
        <v>2586</v>
      </c>
      <c r="BM7" s="234" t="s">
        <v>2588</v>
      </c>
      <c r="BN7" s="234" t="s">
        <v>2587</v>
      </c>
      <c r="BO7" s="234" t="s">
        <v>2590</v>
      </c>
      <c r="BP7" s="234" t="s">
        <v>2589</v>
      </c>
      <c r="BQ7" s="234" t="s">
        <v>2591</v>
      </c>
      <c r="BR7" s="234" t="s">
        <v>2592</v>
      </c>
      <c r="BS7" s="234" t="str">
        <f>RIGHT(Таблица1[[#This Row],[ПДАсВ 1]],1)</f>
        <v>3</v>
      </c>
      <c r="BT7" s="227">
        <v>3</v>
      </c>
      <c r="BU7" s="212">
        <f>IF(Таблица1[[#This Row],[ПДАсВ Итог Копия]]=Таблица1[[#This Row],[Train]],1,0)</f>
        <v>0</v>
      </c>
      <c r="BV7" s="212">
        <f>IF(Таблица1[[#This Row],[ПДАсВ Итог Копия]]=Таблица1[[#This Row],[К-средних]],1,0)</f>
        <v>0</v>
      </c>
      <c r="BW7" s="235">
        <v>7.7584908309478369</v>
      </c>
      <c r="BX7" s="235">
        <v>25.91856748441932</v>
      </c>
      <c r="BY7" s="235">
        <v>6.9446754631240735</v>
      </c>
      <c r="BZ7" s="235">
        <v>84.943519278671744</v>
      </c>
      <c r="CA7" s="235">
        <v>68.073812478193631</v>
      </c>
      <c r="CB7" s="235">
        <v>653.34280427463716</v>
      </c>
      <c r="CC7" s="235">
        <v>296.2369294492359</v>
      </c>
      <c r="CD7" s="218">
        <f>MATCH(MIN(Таблица1[[#This Row],[1 ДА Мах]:[7_ДА_Мах]]),Таблица1[[#This Row],[1 ДА Мах]:[7_ДА_Мах]],0)</f>
        <v>1</v>
      </c>
      <c r="CE7" s="219">
        <f>IF(Таблица1[[#This Row],[ДА_Мах_Итог]]=Таблица1[[#This Row],[Train]],1,0)</f>
        <v>0</v>
      </c>
      <c r="CF7" s="219">
        <f>IF(Таблица1[[#This Row],[ДА_Мах_Итог]]=Таблица1[[#This Row],[К-средних]],1,0)</f>
        <v>1</v>
      </c>
      <c r="CG7" s="236">
        <v>0.28540760043114605</v>
      </c>
      <c r="CH7" s="236">
        <v>4.3350461981793081E-5</v>
      </c>
      <c r="CI7" s="236">
        <v>0.71454904910686456</v>
      </c>
      <c r="CJ7" s="236">
        <v>1.6513088532785389E-18</v>
      </c>
      <c r="CK7" s="236">
        <v>7.6039385181247622E-15</v>
      </c>
      <c r="CL7" s="236">
        <v>0</v>
      </c>
      <c r="CM7" s="236">
        <v>0</v>
      </c>
      <c r="CN7" s="218">
        <f>MATCH(MAX(Таблица1[[#This Row],[1_ДА_Ап]:[7_ДА_Ап]]),Таблица1[[#This Row],[1_ДА_Ап]:[7_ДА_Ап]],0)</f>
        <v>1</v>
      </c>
      <c r="CO7" s="219">
        <f>IF(Таблица1[[#This Row],[ПДАсВ Итог Копия]]=Таблица1[[#This Row],[Train]],1,0)</f>
        <v>0</v>
      </c>
      <c r="CP7" s="219">
        <f>IF(Таблица1[[#This Row],[ПДАсВ Итог Копия]]=Таблица1[[#This Row],[К-средних]],1,0)</f>
        <v>0</v>
      </c>
      <c r="CQ7" s="234" t="s">
        <v>2586</v>
      </c>
      <c r="CR7" s="234" t="s">
        <v>2588</v>
      </c>
      <c r="CS7" s="234" t="s">
        <v>2587</v>
      </c>
      <c r="CT7" s="234" t="s">
        <v>2589</v>
      </c>
      <c r="CU7" s="234" t="s">
        <v>2590</v>
      </c>
      <c r="CV7" s="234" t="s">
        <v>2591</v>
      </c>
      <c r="CW7" s="234" t="s">
        <v>2592</v>
      </c>
      <c r="CX7" s="234" t="str">
        <f>RIGHT(Таблица1[[#This Row],[ПДАсИ 1]],1)</f>
        <v>3</v>
      </c>
      <c r="CY7" s="212">
        <v>3</v>
      </c>
      <c r="CZ7" s="212">
        <f>IF(Таблица1[[#This Row],[ПДАсИ Итог Копия]]=Таблица1[[#This Row],[Train]],1,0)</f>
        <v>0</v>
      </c>
      <c r="DA7" s="212">
        <f>IF(Таблица1[[#This Row],[ПДАсИ Итог Копия]]=Таблица1[[#This Row],[К-средних]],1,0)</f>
        <v>0</v>
      </c>
      <c r="DB7" s="237">
        <v>4.4960703612601991</v>
      </c>
      <c r="DC7" s="237">
        <v>17.616586776517664</v>
      </c>
      <c r="DD7" s="237">
        <v>4.8118045079724583</v>
      </c>
      <c r="DE7" s="237">
        <v>52.363000332260512</v>
      </c>
      <c r="DF7" s="237">
        <v>64.44344465550229</v>
      </c>
      <c r="DG7" s="237">
        <v>434.82682717599062</v>
      </c>
      <c r="DH7" s="237">
        <v>353.15303276058245</v>
      </c>
      <c r="DI7" s="224">
        <f>MATCH(MIN(Таблица1[[#This Row],[ПДАсИ Мах 1]:[ПДАсИ Мах 7]]),Таблица1[[#This Row],[ПДАсИ Мах 1]:[ПДАсИ Мах 7]],0)</f>
        <v>1</v>
      </c>
      <c r="DJ7" s="212">
        <f>IF(Таблица1[[#This Row],[ПДАсИ Мах Итог]]=Таблица1[[#This Row],[Train]],1,0)</f>
        <v>0</v>
      </c>
      <c r="DK7" s="212">
        <f>IF(Таблица1[[#This Row],[ПДАсИ Мах Итог]]=Таблица1[[#This Row],[К-средних]],1,0)</f>
        <v>1</v>
      </c>
      <c r="DL7" s="238">
        <v>0.41234401140932175</v>
      </c>
      <c r="DM7" s="238">
        <v>7.7824168411683473E-4</v>
      </c>
      <c r="DN7" s="238">
        <v>0.58687774690100247</v>
      </c>
      <c r="DO7" s="238">
        <v>5.5458313802144452E-12</v>
      </c>
      <c r="DP7" s="238">
        <v>1.3204790233473565E-14</v>
      </c>
      <c r="DQ7" s="238">
        <v>0</v>
      </c>
      <c r="DR7" s="238">
        <v>0</v>
      </c>
      <c r="DS7" s="224">
        <f>MATCH(MAX(Таблица1[[#This Row],[ПДАсИ Ап 1]:[ПДАсИ Ап 7]]),Таблица1[[#This Row],[ПДАсИ Ап 1]:[ПДАсИ Ап 7]],0)</f>
        <v>3</v>
      </c>
      <c r="DT7" s="212">
        <f>IF(Таблица1[[#This Row],[ПДАсИ Ап Итог]]=Таблица1[[#This Row],[Train]],1,0)</f>
        <v>0</v>
      </c>
      <c r="DU7" s="212">
        <f>IF(Таблица1[[#This Row],[ПДАсИ Ап Итог]]=Таблица1[[#This Row],[К-средних]],1,0)</f>
        <v>0</v>
      </c>
    </row>
    <row r="8" spans="1:125" ht="13.8">
      <c r="A8" s="205" t="s">
        <v>276</v>
      </c>
      <c r="B8" s="319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320">
        <v>1.1791331530758156</v>
      </c>
      <c r="K8" s="324">
        <v>-1.6078402545490693E-2</v>
      </c>
      <c r="L8" s="325">
        <v>0.61365064390561352</v>
      </c>
      <c r="M8" s="328">
        <v>0.12606849834436812</v>
      </c>
      <c r="N8" s="310">
        <v>-0.5947133035834693</v>
      </c>
      <c r="O8" s="329">
        <v>0.55230607030805468</v>
      </c>
      <c r="P8" s="206">
        <v>4</v>
      </c>
      <c r="Q8" s="207">
        <v>5</v>
      </c>
      <c r="R8" s="206">
        <v>5</v>
      </c>
      <c r="S8" s="208">
        <v>3</v>
      </c>
      <c r="T8" s="271">
        <v>6</v>
      </c>
      <c r="U8" s="271">
        <v>7</v>
      </c>
      <c r="V8" s="272">
        <v>2</v>
      </c>
      <c r="W8" s="272">
        <v>1</v>
      </c>
      <c r="X8" s="312">
        <v>3</v>
      </c>
      <c r="Y8" s="313">
        <v>2</v>
      </c>
      <c r="Z8" s="271">
        <v>6</v>
      </c>
      <c r="AA8" s="314">
        <v>3</v>
      </c>
      <c r="AB8" s="343">
        <v>3</v>
      </c>
      <c r="AC8" s="343">
        <f>IF(Таблица1[[#This Row],[Train]]=Таблица1[[#This Row],[НС]],1,0)</f>
        <v>0</v>
      </c>
      <c r="AD8" s="343">
        <f>IF(Таблица1[[#This Row],[НС]]=Таблица1[[#This Row],[К-средних]],1,0)</f>
        <v>1</v>
      </c>
      <c r="AE8" s="208"/>
      <c r="AF8" s="209">
        <f>SUMXMY2(Таблица1[[#This Row],[X1]:[X9]],Таблица1[[#Totals],[X1]:[X9]])</f>
        <v>4.9673465147402123</v>
      </c>
      <c r="AG8" s="239" t="s">
        <v>2586</v>
      </c>
      <c r="AH8" s="239" t="s">
        <v>2588</v>
      </c>
      <c r="AI8" s="239" t="s">
        <v>2587</v>
      </c>
      <c r="AJ8" s="239" t="s">
        <v>2590</v>
      </c>
      <c r="AK8" s="239" t="s">
        <v>2589</v>
      </c>
      <c r="AL8" s="239" t="s">
        <v>2591</v>
      </c>
      <c r="AM8" s="239" t="s">
        <v>2592</v>
      </c>
      <c r="AN8" s="239" t="str">
        <f>RIGHT(Таблица1[[#This Row],[ДА1]],1)</f>
        <v>3</v>
      </c>
      <c r="AO8" s="214">
        <v>3</v>
      </c>
      <c r="AP8" s="213">
        <f>IF(Таблица1[[#This Row],[ДА Итог Копия]]=Таблица1[[#This Row],[Train]],1,0)</f>
        <v>0</v>
      </c>
      <c r="AQ8" s="213">
        <f>IF(Таблица1[[#This Row],[ДА Итог Копия]]=Таблица1[[#This Row],[К-средних]],1,0)</f>
        <v>1</v>
      </c>
      <c r="AR8" s="216">
        <v>45.941371169865604</v>
      </c>
      <c r="AS8" s="216">
        <v>50.414088479043073</v>
      </c>
      <c r="AT8" s="216">
        <v>37.807011289144818</v>
      </c>
      <c r="AU8" s="216">
        <v>149.7478413900906</v>
      </c>
      <c r="AV8" s="216">
        <v>136.51290969900884</v>
      </c>
      <c r="AW8" s="216">
        <v>687.58866271853776</v>
      </c>
      <c r="AX8" s="217">
        <v>511.04098947731302</v>
      </c>
      <c r="AY8" s="218">
        <f>MATCH(MIN(Таблица1[[#This Row],[1 ДА Мах]:[7_ДА_Мах]]),Таблица1[[#This Row],[1 ДА Мах]:[7_ДА_Мах]],0)</f>
        <v>3</v>
      </c>
      <c r="AZ8" s="219">
        <f>IF(Таблица1[[#This Row],[ДА_Мах_Итог]]=Таблица1[[#This Row],[Train]],1,0)</f>
        <v>0</v>
      </c>
      <c r="BA8" s="219">
        <f>IF(Таблица1[[#This Row],[ДА_Мах_Итог]]=Таблица1[[#This Row],[К-средних]],1,0)</f>
        <v>1</v>
      </c>
      <c r="BB8" s="220">
        <v>1.0156144186301687E-2</v>
      </c>
      <c r="BC8" s="220">
        <v>1.4468695314982293E-3</v>
      </c>
      <c r="BD8" s="220">
        <v>0.98839698628220019</v>
      </c>
      <c r="BE8" s="220">
        <v>9.7346199739916878E-26</v>
      </c>
      <c r="BF8" s="220">
        <v>7.2819535248524859E-23</v>
      </c>
      <c r="BG8" s="220">
        <v>0</v>
      </c>
      <c r="BH8" s="220">
        <v>0</v>
      </c>
      <c r="BI8" s="218">
        <f>MATCH(MAX(Таблица1[[#This Row],[1_ДА_Ап]:[7_ДА_Ап]]),Таблица1[[#This Row],[1_ДА_Ап]:[7_ДА_Ап]],0)</f>
        <v>3</v>
      </c>
      <c r="BJ8" s="219">
        <f>IF(Таблица1[[#This Row],[ДА_Ап_Итог]]=Таблица1[[#This Row],[Train]],1,0)</f>
        <v>0</v>
      </c>
      <c r="BK8" s="219">
        <f>IF(Таблица1[[#This Row],[ДА_Ап_Итог]]=Таблица1[[#This Row],[К-средних]],1,0)</f>
        <v>1</v>
      </c>
      <c r="BL8" s="234" t="s">
        <v>2586</v>
      </c>
      <c r="BM8" s="234" t="s">
        <v>2588</v>
      </c>
      <c r="BN8" s="234" t="s">
        <v>2587</v>
      </c>
      <c r="BO8" s="234" t="s">
        <v>2590</v>
      </c>
      <c r="BP8" s="234" t="s">
        <v>2589</v>
      </c>
      <c r="BQ8" s="234" t="s">
        <v>2591</v>
      </c>
      <c r="BR8" s="234" t="s">
        <v>2592</v>
      </c>
      <c r="BS8" s="234" t="str">
        <f>RIGHT(Таблица1[[#This Row],[ПДАсВ 1]],1)</f>
        <v>3</v>
      </c>
      <c r="BT8" s="227">
        <v>3</v>
      </c>
      <c r="BU8" s="212">
        <f>IF(Таблица1[[#This Row],[ПДАсВ Итог Копия]]=Таблица1[[#This Row],[Train]],1,0)</f>
        <v>0</v>
      </c>
      <c r="BV8" s="212">
        <f>IF(Таблица1[[#This Row],[ПДАсВ Итог Копия]]=Таблица1[[#This Row],[К-средних]],1,0)</f>
        <v>1</v>
      </c>
      <c r="BW8" s="235">
        <v>26.804392811938389</v>
      </c>
      <c r="BX8" s="235">
        <v>43.592756803582702</v>
      </c>
      <c r="BY8" s="235">
        <v>16.246600782229216</v>
      </c>
      <c r="BZ8" s="235">
        <v>110.49720487433687</v>
      </c>
      <c r="CA8" s="235">
        <v>89.296047383200971</v>
      </c>
      <c r="CB8" s="235">
        <v>674.1435958881043</v>
      </c>
      <c r="CC8" s="235">
        <v>356.67703635425113</v>
      </c>
      <c r="CD8" s="218">
        <f>MATCH(MIN(Таблица1[[#This Row],[1 ДА Мах]:[7_ДА_Мах]]),Таблица1[[#This Row],[1 ДА Мах]:[7_ДА_Мах]],0)</f>
        <v>3</v>
      </c>
      <c r="CE8" s="219">
        <f>IF(Таблица1[[#This Row],[ДА_Мах_Итог]]=Таблица1[[#This Row],[Train]],1,0)</f>
        <v>0</v>
      </c>
      <c r="CF8" s="219">
        <f>IF(Таблица1[[#This Row],[ДА_Мах_Итог]]=Таблица1[[#This Row],[К-средних]],1,0)</f>
        <v>1</v>
      </c>
      <c r="CG8" s="236">
        <v>3.0495027846659142E-3</v>
      </c>
      <c r="CH8" s="236">
        <v>9.1964634681347365E-7</v>
      </c>
      <c r="CI8" s="236">
        <v>0.99694957756898728</v>
      </c>
      <c r="CJ8" s="236">
        <v>6.8146656491720064E-22</v>
      </c>
      <c r="CK8" s="236">
        <v>2.7366383388374066E-17</v>
      </c>
      <c r="CL8" s="236">
        <v>0</v>
      </c>
      <c r="CM8" s="236">
        <v>0</v>
      </c>
      <c r="CN8" s="218">
        <f>MATCH(MAX(Таблица1[[#This Row],[1_ДА_Ап]:[7_ДА_Ап]]),Таблица1[[#This Row],[1_ДА_Ап]:[7_ДА_Ап]],0)</f>
        <v>3</v>
      </c>
      <c r="CO8" s="219">
        <f>IF(Таблица1[[#This Row],[ПДАсВ Итог Копия]]=Таблица1[[#This Row],[Train]],1,0)</f>
        <v>0</v>
      </c>
      <c r="CP8" s="219">
        <f>IF(Таблица1[[#This Row],[ПДАсВ Итог Копия]]=Таблица1[[#This Row],[К-средних]],1,0)</f>
        <v>1</v>
      </c>
      <c r="CQ8" s="234" t="s">
        <v>2586</v>
      </c>
      <c r="CR8" s="234" t="s">
        <v>2588</v>
      </c>
      <c r="CS8" s="234" t="s">
        <v>2587</v>
      </c>
      <c r="CT8" s="234" t="s">
        <v>2590</v>
      </c>
      <c r="CU8" s="234" t="s">
        <v>2589</v>
      </c>
      <c r="CV8" s="234" t="s">
        <v>2591</v>
      </c>
      <c r="CW8" s="234" t="s">
        <v>2592</v>
      </c>
      <c r="CX8" s="234" t="str">
        <f>RIGHT(Таблица1[[#This Row],[ПДАсИ 1]],1)</f>
        <v>3</v>
      </c>
      <c r="CY8" s="212">
        <v>3</v>
      </c>
      <c r="CZ8" s="212">
        <f>IF(Таблица1[[#This Row],[ПДАсИ Итог Копия]]=Таблица1[[#This Row],[Train]],1,0)</f>
        <v>0</v>
      </c>
      <c r="DA8" s="212">
        <f>IF(Таблица1[[#This Row],[ПДАсИ Итог Копия]]=Таблица1[[#This Row],[К-средних]],1,0)</f>
        <v>1</v>
      </c>
      <c r="DB8" s="237">
        <v>14.565263127457225</v>
      </c>
      <c r="DC8" s="237">
        <v>24.663426852007447</v>
      </c>
      <c r="DD8" s="237">
        <v>9.8681271375001529</v>
      </c>
      <c r="DE8" s="237">
        <v>61.266479380503554</v>
      </c>
      <c r="DF8" s="237">
        <v>56.282863627068068</v>
      </c>
      <c r="DG8" s="237">
        <v>394.63957314400574</v>
      </c>
      <c r="DH8" s="237">
        <v>420.99952245538145</v>
      </c>
      <c r="DI8" s="224">
        <f>MATCH(MIN(Таблица1[[#This Row],[ПДАсИ Мах 1]:[ПДАсИ Мах 7]]),Таблица1[[#This Row],[ПДАсИ Мах 1]:[ПДАсИ Мах 7]],0)</f>
        <v>3</v>
      </c>
      <c r="DJ8" s="212">
        <f>IF(Таблица1[[#This Row],[ПДАсИ Мах Итог]]=Таблица1[[#This Row],[Train]],1,0)</f>
        <v>0</v>
      </c>
      <c r="DK8" s="212">
        <f>IF(Таблица1[[#This Row],[ПДАсИ Мах Итог]]=Таблица1[[#This Row],[К-средних]],1,0)</f>
        <v>1</v>
      </c>
      <c r="DL8" s="238">
        <v>5.4172661636571071E-2</v>
      </c>
      <c r="DM8" s="238">
        <v>4.6337278091767507E-4</v>
      </c>
      <c r="DN8" s="238">
        <v>0.94536396556543756</v>
      </c>
      <c r="DO8" s="238">
        <v>1.3050244876744604E-12</v>
      </c>
      <c r="DP8" s="238">
        <v>1.576874287900158E-11</v>
      </c>
      <c r="DQ8" s="238">
        <v>0</v>
      </c>
      <c r="DR8" s="238">
        <v>0</v>
      </c>
      <c r="DS8" s="224">
        <f>MATCH(MAX(Таблица1[[#This Row],[ПДАсИ Ап 1]:[ПДАсИ Ап 7]]),Таблица1[[#This Row],[ПДАсИ Ап 1]:[ПДАсИ Ап 7]],0)</f>
        <v>3</v>
      </c>
      <c r="DT8" s="212">
        <f>IF(Таблица1[[#This Row],[ПДАсИ Ап Итог]]=Таблица1[[#This Row],[Train]],1,0)</f>
        <v>0</v>
      </c>
      <c r="DU8" s="212">
        <f>IF(Таблица1[[#This Row],[ПДАсИ Ап Итог]]=Таблица1[[#This Row],[К-средних]],1,0)</f>
        <v>1</v>
      </c>
    </row>
    <row r="9" spans="1:125" ht="13.8">
      <c r="A9" s="205" t="s">
        <v>277</v>
      </c>
      <c r="B9" s="319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320">
        <v>-4.3784549005771022E-2</v>
      </c>
      <c r="K9" s="324">
        <v>0.33820098691855244</v>
      </c>
      <c r="L9" s="325">
        <v>0.49600666943754734</v>
      </c>
      <c r="M9" s="328">
        <v>0.32522279942093224</v>
      </c>
      <c r="N9" s="310">
        <v>-0.45924622415115463</v>
      </c>
      <c r="O9" s="329">
        <v>-6.1992737610169976E-2</v>
      </c>
      <c r="P9" s="206">
        <v>5</v>
      </c>
      <c r="Q9" s="207">
        <v>5</v>
      </c>
      <c r="R9" s="206">
        <v>7</v>
      </c>
      <c r="S9" s="208">
        <v>3</v>
      </c>
      <c r="T9" s="271">
        <v>6</v>
      </c>
      <c r="U9" s="271">
        <v>7</v>
      </c>
      <c r="V9" s="272">
        <v>2</v>
      </c>
      <c r="W9" s="272">
        <v>6</v>
      </c>
      <c r="X9" s="312">
        <v>2</v>
      </c>
      <c r="Y9" s="313">
        <v>2</v>
      </c>
      <c r="Z9" s="271">
        <v>4</v>
      </c>
      <c r="AA9" s="314">
        <v>1</v>
      </c>
      <c r="AB9" s="343">
        <v>3</v>
      </c>
      <c r="AC9" s="343">
        <f>IF(Таблица1[[#This Row],[Train]]=Таблица1[[#This Row],[НС]],1,0)</f>
        <v>0</v>
      </c>
      <c r="AD9" s="343">
        <f>IF(Таблица1[[#This Row],[НС]]=Таблица1[[#This Row],[К-средних]],1,0)</f>
        <v>1</v>
      </c>
      <c r="AE9" s="208"/>
      <c r="AF9" s="209">
        <f>SUMXMY2(Таблица1[[#This Row],[X1]:[X9]],Таблица1[[#Totals],[X1]:[X9]])</f>
        <v>2.1321060283318332</v>
      </c>
      <c r="AG9" s="239" t="s">
        <v>2587</v>
      </c>
      <c r="AH9" s="239" t="s">
        <v>2586</v>
      </c>
      <c r="AI9" s="239" t="s">
        <v>2588</v>
      </c>
      <c r="AJ9" s="239" t="s">
        <v>2589</v>
      </c>
      <c r="AK9" s="239" t="s">
        <v>2590</v>
      </c>
      <c r="AL9" s="239" t="s">
        <v>2591</v>
      </c>
      <c r="AM9" s="239" t="s">
        <v>2592</v>
      </c>
      <c r="AN9" s="239" t="str">
        <f>RIGHT(Таблица1[[#This Row],[ДА1]],1)</f>
        <v>2</v>
      </c>
      <c r="AO9" s="214">
        <v>2</v>
      </c>
      <c r="AP9" s="213">
        <f>IF(Таблица1[[#This Row],[ДА Итог Копия]]=Таблица1[[#This Row],[Train]],1,0)</f>
        <v>0</v>
      </c>
      <c r="AQ9" s="213">
        <f>IF(Таблица1[[#This Row],[ДА Итог Копия]]=Таблица1[[#This Row],[К-средних]],1,0)</f>
        <v>0</v>
      </c>
      <c r="AR9" s="216">
        <v>13.988547329378259</v>
      </c>
      <c r="AS9" s="216">
        <v>10.849578726956393</v>
      </c>
      <c r="AT9" s="216">
        <v>13.82018987082823</v>
      </c>
      <c r="AU9" s="216">
        <v>90.719562907706489</v>
      </c>
      <c r="AV9" s="216">
        <v>95.281649483880784</v>
      </c>
      <c r="AW9" s="216">
        <v>698.94409152760932</v>
      </c>
      <c r="AX9" s="217">
        <v>352.71189855057372</v>
      </c>
      <c r="AY9" s="218">
        <f>MATCH(MIN(Таблица1[[#This Row],[1 ДА Мах]:[7_ДА_Мах]]),Таблица1[[#This Row],[1 ДА Мах]:[7_ДА_Мах]],0)</f>
        <v>2</v>
      </c>
      <c r="AZ9" s="219">
        <f>IF(Таблица1[[#This Row],[ДА_Мах_Итог]]=Таблица1[[#This Row],[Train]],1,0)</f>
        <v>0</v>
      </c>
      <c r="BA9" s="219">
        <f>IF(Таблица1[[#This Row],[ДА_Мах_Итог]]=Таблица1[[#This Row],[К-средних]],1,0)</f>
        <v>0</v>
      </c>
      <c r="BB9" s="220">
        <v>0.10847635420599268</v>
      </c>
      <c r="BC9" s="220">
        <v>0.69485180270334956</v>
      </c>
      <c r="BD9" s="220">
        <v>0.19667184309065769</v>
      </c>
      <c r="BE9" s="220">
        <v>7.8756334983938824E-19</v>
      </c>
      <c r="BF9" s="220">
        <v>8.0471293924519021E-20</v>
      </c>
      <c r="BG9" s="220">
        <v>0</v>
      </c>
      <c r="BH9" s="220">
        <v>0</v>
      </c>
      <c r="BI9" s="218">
        <f>MATCH(MAX(Таблица1[[#This Row],[1_ДА_Ап]:[7_ДА_Ап]]),Таблица1[[#This Row],[1_ДА_Ап]:[7_ДА_Ап]],0)</f>
        <v>2</v>
      </c>
      <c r="BJ9" s="219">
        <f>IF(Таблица1[[#This Row],[ДА_Ап_Итог]]=Таблица1[[#This Row],[Train]],1,0)</f>
        <v>0</v>
      </c>
      <c r="BK9" s="219">
        <f>IF(Таблица1[[#This Row],[ДА_Ап_Итог]]=Таблица1[[#This Row],[К-средних]],1,0)</f>
        <v>0</v>
      </c>
      <c r="BL9" s="234" t="s">
        <v>2587</v>
      </c>
      <c r="BM9" s="234" t="s">
        <v>2586</v>
      </c>
      <c r="BN9" s="234" t="s">
        <v>2588</v>
      </c>
      <c r="BO9" s="234" t="s">
        <v>2590</v>
      </c>
      <c r="BP9" s="234" t="s">
        <v>2589</v>
      </c>
      <c r="BQ9" s="234" t="s">
        <v>2591</v>
      </c>
      <c r="BR9" s="234" t="s">
        <v>2592</v>
      </c>
      <c r="BS9" s="234" t="str">
        <f>RIGHT(Таблица1[[#This Row],[ПДАсВ 1]],1)</f>
        <v>2</v>
      </c>
      <c r="BT9" s="227">
        <v>2</v>
      </c>
      <c r="BU9" s="212">
        <f>IF(Таблица1[[#This Row],[ПДАсВ Итог Копия]]=Таблица1[[#This Row],[Train]],1,0)</f>
        <v>0</v>
      </c>
      <c r="BV9" s="212">
        <f>IF(Таблица1[[#This Row],[ПДАсВ Итог Копия]]=Таблица1[[#This Row],[К-средних]],1,0)</f>
        <v>0</v>
      </c>
      <c r="BW9" s="235">
        <v>12.139921709949556</v>
      </c>
      <c r="BX9" s="235">
        <v>8.4775831938586848</v>
      </c>
      <c r="BY9" s="235">
        <v>10.980754463458661</v>
      </c>
      <c r="BZ9" s="235">
        <v>78.805488905552608</v>
      </c>
      <c r="CA9" s="235">
        <v>69.230866489064894</v>
      </c>
      <c r="CB9" s="235">
        <v>689.00330591027978</v>
      </c>
      <c r="CC9" s="235">
        <v>245.47961540828163</v>
      </c>
      <c r="CD9" s="218">
        <f>MATCH(MIN(Таблица1[[#This Row],[1 ДА Мах]:[7_ДА_Мах]]),Таблица1[[#This Row],[1 ДА Мах]:[7_ДА_Мах]],0)</f>
        <v>2</v>
      </c>
      <c r="CE9" s="219">
        <f>IF(Таблица1[[#This Row],[ДА_Мах_Итог]]=Таблица1[[#This Row],[Train]],1,0)</f>
        <v>0</v>
      </c>
      <c r="CF9" s="219">
        <f>IF(Таблица1[[#This Row],[ДА_Мах_Итог]]=Таблица1[[#This Row],[К-средних]],1,0)</f>
        <v>0</v>
      </c>
      <c r="CG9" s="236">
        <v>8.1320218837422548E-2</v>
      </c>
      <c r="CH9" s="236">
        <v>0.67671215843278099</v>
      </c>
      <c r="CI9" s="236">
        <v>0.24196762272978561</v>
      </c>
      <c r="CJ9" s="236">
        <v>9.0538501236330272E-17</v>
      </c>
      <c r="CK9" s="236">
        <v>1.086265888622161E-14</v>
      </c>
      <c r="CL9" s="236">
        <v>0</v>
      </c>
      <c r="CM9" s="236">
        <v>0</v>
      </c>
      <c r="CN9" s="218">
        <f>MATCH(MAX(Таблица1[[#This Row],[1_ДА_Ап]:[7_ДА_Ап]]),Таблица1[[#This Row],[1_ДА_Ап]:[7_ДА_Ап]],0)</f>
        <v>2</v>
      </c>
      <c r="CO9" s="219">
        <f>IF(Таблица1[[#This Row],[ПДАсВ Итог Копия]]=Таблица1[[#This Row],[Train]],1,0)</f>
        <v>0</v>
      </c>
      <c r="CP9" s="219">
        <f>IF(Таблица1[[#This Row],[ПДАсВ Итог Копия]]=Таблица1[[#This Row],[К-средних]],1,0)</f>
        <v>0</v>
      </c>
      <c r="CQ9" s="234" t="s">
        <v>2587</v>
      </c>
      <c r="CR9" s="234" t="s">
        <v>2586</v>
      </c>
      <c r="CS9" s="234" t="s">
        <v>2588</v>
      </c>
      <c r="CT9" s="234" t="s">
        <v>2589</v>
      </c>
      <c r="CU9" s="234" t="s">
        <v>2590</v>
      </c>
      <c r="CV9" s="234" t="s">
        <v>2591</v>
      </c>
      <c r="CW9" s="234" t="s">
        <v>2592</v>
      </c>
      <c r="CX9" s="234" t="str">
        <f>RIGHT(Таблица1[[#This Row],[ПДАсИ 1]],1)</f>
        <v>2</v>
      </c>
      <c r="CY9" s="212">
        <v>2</v>
      </c>
      <c r="CZ9" s="212">
        <f>IF(Таблица1[[#This Row],[ПДАсИ Итог Копия]]=Таблица1[[#This Row],[Train]],1,0)</f>
        <v>0</v>
      </c>
      <c r="DA9" s="212">
        <f>IF(Таблица1[[#This Row],[ПДАсИ Итог Копия]]=Таблица1[[#This Row],[К-средних]],1,0)</f>
        <v>0</v>
      </c>
      <c r="DB9" s="237">
        <v>12.037362004748717</v>
      </c>
      <c r="DC9" s="237">
        <v>7.1898779498034715</v>
      </c>
      <c r="DD9" s="237">
        <v>12.993576176832811</v>
      </c>
      <c r="DE9" s="237">
        <v>64.640488447081495</v>
      </c>
      <c r="DF9" s="237">
        <v>72.836413794807726</v>
      </c>
      <c r="DG9" s="237">
        <v>511.94916224614008</v>
      </c>
      <c r="DH9" s="237">
        <v>329.24185209603922</v>
      </c>
      <c r="DI9" s="224">
        <f>MATCH(MIN(Таблица1[[#This Row],[ПДАсИ Мах 1]:[ПДАсИ Мах 7]]),Таблица1[[#This Row],[ПДАсИ Мах 1]:[ПДАсИ Мах 7]],0)</f>
        <v>2</v>
      </c>
      <c r="DJ9" s="212">
        <f>IF(Таблица1[[#This Row],[ПДАсИ Мах Итог]]=Таблица1[[#This Row],[Train]],1,0)</f>
        <v>0</v>
      </c>
      <c r="DK9" s="212">
        <f>IF(Таблица1[[#This Row],[ПДАсИ Мах Итог]]=Таблица1[[#This Row],[К-средних]],1,0)</f>
        <v>0</v>
      </c>
      <c r="DL9" s="238">
        <v>5.8534459986799764E-2</v>
      </c>
      <c r="DM9" s="238">
        <v>0.88098424292902555</v>
      </c>
      <c r="DN9" s="238">
        <v>6.04812970840998E-2</v>
      </c>
      <c r="DO9" s="238">
        <v>7.3733795313023084E-14</v>
      </c>
      <c r="DP9" s="238">
        <v>1.2244583373835155E-15</v>
      </c>
      <c r="DQ9" s="238">
        <v>0</v>
      </c>
      <c r="DR9" s="238">
        <v>0</v>
      </c>
      <c r="DS9" s="224">
        <f>MATCH(MAX(Таблица1[[#This Row],[ПДАсИ Ап 1]:[ПДАсИ Ап 7]]),Таблица1[[#This Row],[ПДАсИ Ап 1]:[ПДАсИ Ап 7]],0)</f>
        <v>2</v>
      </c>
      <c r="DT9" s="212">
        <f>IF(Таблица1[[#This Row],[ПДАсИ Ап Итог]]=Таблица1[[#This Row],[Train]],1,0)</f>
        <v>0</v>
      </c>
      <c r="DU9" s="212">
        <f>IF(Таблица1[[#This Row],[ПДАсИ Ап Итог]]=Таблица1[[#This Row],[К-средних]],1,0)</f>
        <v>0</v>
      </c>
    </row>
    <row r="10" spans="1:125" ht="13.8">
      <c r="A10" s="205" t="s">
        <v>278</v>
      </c>
      <c r="B10" s="319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320">
        <v>0.43196398347484655</v>
      </c>
      <c r="K10" s="324">
        <v>-0.23684745505431254</v>
      </c>
      <c r="L10" s="325">
        <v>0.7046265835101243</v>
      </c>
      <c r="M10" s="328">
        <v>2.7683077364630247E-2</v>
      </c>
      <c r="N10" s="310">
        <v>-0.64587073688243735</v>
      </c>
      <c r="O10" s="329">
        <v>1.2626314709536584</v>
      </c>
      <c r="P10" s="206">
        <v>4</v>
      </c>
      <c r="Q10" s="207">
        <v>5</v>
      </c>
      <c r="R10" s="206">
        <v>5</v>
      </c>
      <c r="S10" s="208">
        <v>3</v>
      </c>
      <c r="T10" s="271">
        <v>6</v>
      </c>
      <c r="U10" s="271">
        <v>6</v>
      </c>
      <c r="V10" s="272">
        <v>3</v>
      </c>
      <c r="W10" s="272">
        <v>1</v>
      </c>
      <c r="X10" s="312">
        <v>3</v>
      </c>
      <c r="Y10" s="313">
        <v>1</v>
      </c>
      <c r="Z10" s="271">
        <v>6</v>
      </c>
      <c r="AA10" s="314">
        <v>3</v>
      </c>
      <c r="AB10" s="343">
        <v>3</v>
      </c>
      <c r="AC10" s="343">
        <f>IF(Таблица1[[#This Row],[Train]]=Таблица1[[#This Row],[НС]],1,0)</f>
        <v>0</v>
      </c>
      <c r="AD10" s="343">
        <f>IF(Таблица1[[#This Row],[НС]]=Таблица1[[#This Row],[К-средних]],1,0)</f>
        <v>1</v>
      </c>
      <c r="AE10" s="208"/>
      <c r="AF10" s="209">
        <f>SUMXMY2(Таблица1[[#This Row],[X1]:[X9]],Таблица1[[#Totals],[X1]:[X9]])</f>
        <v>5.6597562738817606</v>
      </c>
      <c r="AG10" s="239" t="s">
        <v>2586</v>
      </c>
      <c r="AH10" s="239" t="s">
        <v>2587</v>
      </c>
      <c r="AI10" s="239" t="s">
        <v>2588</v>
      </c>
      <c r="AJ10" s="239" t="s">
        <v>2589</v>
      </c>
      <c r="AK10" s="239" t="s">
        <v>2590</v>
      </c>
      <c r="AL10" s="239" t="s">
        <v>2591</v>
      </c>
      <c r="AM10" s="239" t="s">
        <v>2592</v>
      </c>
      <c r="AN10" s="239" t="str">
        <f>RIGHT(Таблица1[[#This Row],[ДА1]],1)</f>
        <v>3</v>
      </c>
      <c r="AO10" s="214">
        <v>3</v>
      </c>
      <c r="AP10" s="213">
        <f>IF(Таблица1[[#This Row],[ДА Итог Копия]]=Таблица1[[#This Row],[Train]],1,0)</f>
        <v>0</v>
      </c>
      <c r="AQ10" s="213">
        <f>IF(Таблица1[[#This Row],[ДА Итог Копия]]=Таблица1[[#This Row],[К-средних]],1,0)</f>
        <v>1</v>
      </c>
      <c r="AR10" s="216">
        <v>66.353173960800419</v>
      </c>
      <c r="AS10" s="216">
        <v>45.290415314658219</v>
      </c>
      <c r="AT10" s="216">
        <v>26.454308145866012</v>
      </c>
      <c r="AU10" s="216">
        <v>99.093412404276364</v>
      </c>
      <c r="AV10" s="216">
        <v>164.05261498742834</v>
      </c>
      <c r="AW10" s="216">
        <v>809.03451707955742</v>
      </c>
      <c r="AX10" s="217">
        <v>376.4465153011904</v>
      </c>
      <c r="AY10" s="218">
        <f>MATCH(MIN(Таблица1[[#This Row],[1 ДА Мах]:[7_ДА_Мах]]),Таблица1[[#This Row],[1 ДА Мах]:[7_ДА_Мах]],0)</f>
        <v>3</v>
      </c>
      <c r="AZ10" s="219">
        <f>IF(Таблица1[[#This Row],[ДА_Мах_Итог]]=Таблица1[[#This Row],[Train]],1,0)</f>
        <v>0</v>
      </c>
      <c r="BA10" s="219">
        <f>IF(Таблица1[[#This Row],[ДА_Мах_Итог]]=Таблица1[[#This Row],[К-средних]],1,0)</f>
        <v>1</v>
      </c>
      <c r="BB10" s="220">
        <v>1.3007516781457495E-9</v>
      </c>
      <c r="BC10" s="220">
        <v>6.4990975894500287E-5</v>
      </c>
      <c r="BD10" s="220">
        <v>0.99993500772335386</v>
      </c>
      <c r="BE10" s="220">
        <v>3.3699285584641442E-17</v>
      </c>
      <c r="BF10" s="220">
        <v>2.6418556162973859E-31</v>
      </c>
      <c r="BG10" s="220">
        <v>0</v>
      </c>
      <c r="BH10" s="220">
        <v>0</v>
      </c>
      <c r="BI10" s="218">
        <f>MATCH(MAX(Таблица1[[#This Row],[1_ДА_Ап]:[7_ДА_Ап]]),Таблица1[[#This Row],[1_ДА_Ап]:[7_ДА_Ап]],0)</f>
        <v>3</v>
      </c>
      <c r="BJ10" s="219">
        <f>IF(Таблица1[[#This Row],[ДА_Ап_Итог]]=Таблица1[[#This Row],[Train]],1,0)</f>
        <v>0</v>
      </c>
      <c r="BK10" s="219">
        <f>IF(Таблица1[[#This Row],[ДА_Ап_Итог]]=Таблица1[[#This Row],[К-средних]],1,0)</f>
        <v>1</v>
      </c>
      <c r="BL10" s="234" t="s">
        <v>2586</v>
      </c>
      <c r="BM10" s="234" t="s">
        <v>2587</v>
      </c>
      <c r="BN10" s="234" t="s">
        <v>2588</v>
      </c>
      <c r="BO10" s="234" t="s">
        <v>2590</v>
      </c>
      <c r="BP10" s="234" t="s">
        <v>2589</v>
      </c>
      <c r="BQ10" s="234" t="s">
        <v>2591</v>
      </c>
      <c r="BR10" s="234" t="s">
        <v>2592</v>
      </c>
      <c r="BS10" s="234" t="str">
        <f>RIGHT(Таблица1[[#This Row],[ПДАсВ 1]],1)</f>
        <v>3</v>
      </c>
      <c r="BT10" s="227">
        <v>3</v>
      </c>
      <c r="BU10" s="212">
        <f>IF(Таблица1[[#This Row],[ПДАсВ Итог Копия]]=Таблица1[[#This Row],[Train]],1,0)</f>
        <v>0</v>
      </c>
      <c r="BV10" s="212">
        <f>IF(Таблица1[[#This Row],[ПДАсВ Итог Копия]]=Таблица1[[#This Row],[К-средних]],1,0)</f>
        <v>1</v>
      </c>
      <c r="BW10" s="235">
        <v>43.113158133883132</v>
      </c>
      <c r="BX10" s="235">
        <v>32.845182056706214</v>
      </c>
      <c r="BY10" s="235">
        <v>15.802328155914957</v>
      </c>
      <c r="BZ10" s="235">
        <v>83.889828160660045</v>
      </c>
      <c r="CA10" s="235">
        <v>83.737048505813419</v>
      </c>
      <c r="CB10" s="235">
        <v>769.64840527979618</v>
      </c>
      <c r="CC10" s="235">
        <v>301.26896612365891</v>
      </c>
      <c r="CD10" s="218">
        <f>MATCH(MIN(Таблица1[[#This Row],[1 ДА Мах]:[7_ДА_Мах]]),Таблица1[[#This Row],[1 ДА Мах]:[7_ДА_Мах]],0)</f>
        <v>3</v>
      </c>
      <c r="CE10" s="219">
        <f>IF(Таблица1[[#This Row],[ДА_Мах_Итог]]=Таблица1[[#This Row],[Train]],1,0)</f>
        <v>0</v>
      </c>
      <c r="CF10" s="219">
        <f>IF(Таблица1[[#This Row],[ДА_Мах_Итог]]=Таблица1[[#This Row],[К-средних]],1,0)</f>
        <v>1</v>
      </c>
      <c r="CG10" s="236">
        <v>7.0406114691186595E-7</v>
      </c>
      <c r="CH10" s="236">
        <v>1.5929853825990943E-4</v>
      </c>
      <c r="CI10" s="236">
        <v>0.99983999740059237</v>
      </c>
      <c r="CJ10" s="236">
        <v>3.2805580912609261E-16</v>
      </c>
      <c r="CK10" s="236">
        <v>3.5409795047174612E-16</v>
      </c>
      <c r="CL10" s="236">
        <v>0</v>
      </c>
      <c r="CM10" s="236">
        <v>0</v>
      </c>
      <c r="CN10" s="218">
        <f>MATCH(MAX(Таблица1[[#This Row],[1_ДА_Ап]:[7_ДА_Ап]]),Таблица1[[#This Row],[1_ДА_Ап]:[7_ДА_Ап]],0)</f>
        <v>3</v>
      </c>
      <c r="CO10" s="219">
        <f>IF(Таблица1[[#This Row],[ПДАсВ Итог Копия]]=Таблица1[[#This Row],[Train]],1,0)</f>
        <v>0</v>
      </c>
      <c r="CP10" s="219">
        <f>IF(Таблица1[[#This Row],[ПДАсВ Итог Копия]]=Таблица1[[#This Row],[К-средних]],1,0)</f>
        <v>1</v>
      </c>
      <c r="CQ10" s="234" t="s">
        <v>2586</v>
      </c>
      <c r="CR10" s="234" t="s">
        <v>2587</v>
      </c>
      <c r="CS10" s="234" t="s">
        <v>2589</v>
      </c>
      <c r="CT10" s="234" t="s">
        <v>2588</v>
      </c>
      <c r="CU10" s="234" t="s">
        <v>2590</v>
      </c>
      <c r="CV10" s="234" t="s">
        <v>2591</v>
      </c>
      <c r="CW10" s="234" t="s">
        <v>2592</v>
      </c>
      <c r="CX10" s="234" t="str">
        <f>RIGHT(Таблица1[[#This Row],[ПДАсИ 1]],1)</f>
        <v>3</v>
      </c>
      <c r="CY10" s="212">
        <v>3</v>
      </c>
      <c r="CZ10" s="212">
        <f>IF(Таблица1[[#This Row],[ПДАсИ Итог Копия]]=Таблица1[[#This Row],[Train]],1,0)</f>
        <v>0</v>
      </c>
      <c r="DA10" s="212">
        <f>IF(Таблица1[[#This Row],[ПДАсИ Итог Копия]]=Таблица1[[#This Row],[К-средних]],1,0)</f>
        <v>1</v>
      </c>
      <c r="DB10" s="237">
        <v>40.582697498947226</v>
      </c>
      <c r="DC10" s="237">
        <v>20.226220030050541</v>
      </c>
      <c r="DD10" s="237">
        <v>9.1587723929882383</v>
      </c>
      <c r="DE10" s="237">
        <v>32.932049269596035</v>
      </c>
      <c r="DF10" s="237">
        <v>89.807386146914169</v>
      </c>
      <c r="DG10" s="237">
        <v>528.99520585970208</v>
      </c>
      <c r="DH10" s="237">
        <v>307.55074520957157</v>
      </c>
      <c r="DI10" s="224">
        <f>MATCH(MIN(Таблица1[[#This Row],[ПДАсИ Мах 1]:[ПДАсИ Мах 7]]),Таблица1[[#This Row],[ПДАсИ Мах 1]:[ПДАсИ Мах 7]],0)</f>
        <v>3</v>
      </c>
      <c r="DJ10" s="212">
        <f>IF(Таблица1[[#This Row],[ПДАсИ Мах Итог]]=Таблица1[[#This Row],[Train]],1,0)</f>
        <v>0</v>
      </c>
      <c r="DK10" s="212">
        <f>IF(Таблица1[[#This Row],[ПДАсИ Мах Итог]]=Таблица1[[#This Row],[К-средних]],1,0)</f>
        <v>1</v>
      </c>
      <c r="DL10" s="238">
        <v>8.977622502506731E-8</v>
      </c>
      <c r="DM10" s="238">
        <v>3.1510333115496968E-3</v>
      </c>
      <c r="DN10" s="238">
        <v>0.99684750490234253</v>
      </c>
      <c r="DO10" s="238">
        <v>1.3720098828864969E-6</v>
      </c>
      <c r="DP10" s="238">
        <v>6.1239940292001673E-19</v>
      </c>
      <c r="DQ10" s="238">
        <v>0</v>
      </c>
      <c r="DR10" s="238">
        <v>0</v>
      </c>
      <c r="DS10" s="224">
        <f>MATCH(MAX(Таблица1[[#This Row],[ПДАсИ Ап 1]:[ПДАсИ Ап 7]]),Таблица1[[#This Row],[ПДАсИ Ап 1]:[ПДАсИ Ап 7]],0)</f>
        <v>3</v>
      </c>
      <c r="DT10" s="212">
        <f>IF(Таблица1[[#This Row],[ПДАсИ Ап Итог]]=Таблица1[[#This Row],[Train]],1,0)</f>
        <v>0</v>
      </c>
      <c r="DU10" s="212">
        <f>IF(Таблица1[[#This Row],[ПДАсИ Ап Итог]]=Таблица1[[#This Row],[К-средних]],1,0)</f>
        <v>1</v>
      </c>
    </row>
    <row r="11" spans="1:125" ht="13.8">
      <c r="A11" s="205" t="s">
        <v>279</v>
      </c>
      <c r="B11" s="319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320">
        <v>0.35572223147474757</v>
      </c>
      <c r="K11" s="324">
        <v>0.51170261896111424</v>
      </c>
      <c r="L11" s="325">
        <v>-0.10498910077533605</v>
      </c>
      <c r="M11" s="328">
        <v>0.38314028737289707</v>
      </c>
      <c r="N11" s="310">
        <v>0.23260141704803497</v>
      </c>
      <c r="O11" s="329">
        <v>-0.67623738603342676</v>
      </c>
      <c r="P11" s="206">
        <v>5</v>
      </c>
      <c r="Q11" s="207">
        <v>5</v>
      </c>
      <c r="R11" s="206">
        <v>7</v>
      </c>
      <c r="S11" s="208">
        <v>1</v>
      </c>
      <c r="T11" s="271">
        <v>5</v>
      </c>
      <c r="U11" s="271">
        <v>4</v>
      </c>
      <c r="V11" s="272">
        <v>4</v>
      </c>
      <c r="W11" s="272">
        <v>2</v>
      </c>
      <c r="X11" s="312">
        <v>4</v>
      </c>
      <c r="Y11" s="313">
        <v>4</v>
      </c>
      <c r="Z11" s="271">
        <v>5</v>
      </c>
      <c r="AA11" s="314">
        <v>1</v>
      </c>
      <c r="AB11" s="343">
        <v>1</v>
      </c>
      <c r="AC11" s="343">
        <f>IF(Таблица1[[#This Row],[Train]]=Таблица1[[#This Row],[НС]],1,0)</f>
        <v>0</v>
      </c>
      <c r="AD11" s="343">
        <f>IF(Таблица1[[#This Row],[НС]]=Таблица1[[#This Row],[К-средних]],1,0)</f>
        <v>1</v>
      </c>
      <c r="AE11" s="208"/>
      <c r="AF11" s="209">
        <f>SUMXMY2(Таблица1[[#This Row],[X1]:[X9]],Таблица1[[#Totals],[X1]:[X9]])</f>
        <v>2.4974790930776249</v>
      </c>
      <c r="AG11" s="239" t="s">
        <v>2587</v>
      </c>
      <c r="AH11" s="239" t="s">
        <v>2588</v>
      </c>
      <c r="AI11" s="239" t="s">
        <v>2586</v>
      </c>
      <c r="AJ11" s="239" t="s">
        <v>2589</v>
      </c>
      <c r="AK11" s="239" t="s">
        <v>2590</v>
      </c>
      <c r="AL11" s="239" t="s">
        <v>2591</v>
      </c>
      <c r="AM11" s="239" t="s">
        <v>2592</v>
      </c>
      <c r="AN11" s="239" t="str">
        <f>RIGHT(Таблица1[[#This Row],[ДА1]],1)</f>
        <v>2</v>
      </c>
      <c r="AO11" s="214">
        <v>2</v>
      </c>
      <c r="AP11" s="213">
        <f>IF(Таблица1[[#This Row],[ДА Итог Копия]]=Таблица1[[#This Row],[Train]],1,0)</f>
        <v>0</v>
      </c>
      <c r="AQ11" s="213">
        <f>IF(Таблица1[[#This Row],[ДА Итог Копия]]=Таблица1[[#This Row],[К-средних]],1,0)</f>
        <v>0</v>
      </c>
      <c r="AR11" s="216">
        <v>19.545607673217535</v>
      </c>
      <c r="AS11" s="216">
        <v>17.92550792090886</v>
      </c>
      <c r="AT11" s="216">
        <v>37.373113420859084</v>
      </c>
      <c r="AU11" s="216">
        <v>82.473661781090897</v>
      </c>
      <c r="AV11" s="216">
        <v>83.051373543703448</v>
      </c>
      <c r="AW11" s="216">
        <v>518.62698935428648</v>
      </c>
      <c r="AX11" s="217">
        <v>312.6061735266635</v>
      </c>
      <c r="AY11" s="218">
        <f>MATCH(MIN(Таблица1[[#This Row],[1 ДА Мах]:[7_ДА_Мах]]),Таблица1[[#This Row],[1 ДА Мах]:[7_ДА_Мах]],0)</f>
        <v>2</v>
      </c>
      <c r="AZ11" s="219">
        <f>IF(Таблица1[[#This Row],[ДА_Мах_Итог]]=Таблица1[[#This Row],[Train]],1,0)</f>
        <v>0</v>
      </c>
      <c r="BA11" s="219">
        <f>IF(Таблица1[[#This Row],[ДА_Мах_Итог]]=Таблица1[[#This Row],[К-средних]],1,0)</f>
        <v>0</v>
      </c>
      <c r="BB11" s="220">
        <v>0.25015106923160291</v>
      </c>
      <c r="BC11" s="220">
        <v>0.74979284438621174</v>
      </c>
      <c r="BD11" s="220">
        <v>5.6086382182335446E-5</v>
      </c>
      <c r="BE11" s="220">
        <v>1.8047945915441395E-15</v>
      </c>
      <c r="BF11" s="220">
        <v>1.352008012899947E-15</v>
      </c>
      <c r="BG11" s="220">
        <v>0</v>
      </c>
      <c r="BH11" s="220">
        <v>0</v>
      </c>
      <c r="BI11" s="218">
        <f>MATCH(MAX(Таблица1[[#This Row],[1_ДА_Ап]:[7_ДА_Ап]]),Таблица1[[#This Row],[1_ДА_Ап]:[7_ДА_Ап]],0)</f>
        <v>2</v>
      </c>
      <c r="BJ11" s="219">
        <f>IF(Таблица1[[#This Row],[ДА_Ап_Итог]]=Таблица1[[#This Row],[Train]],1,0)</f>
        <v>0</v>
      </c>
      <c r="BK11" s="219">
        <f>IF(Таблица1[[#This Row],[ДА_Ап_Итог]]=Таблица1[[#This Row],[К-средних]],1,0)</f>
        <v>0</v>
      </c>
      <c r="BL11" s="234" t="s">
        <v>2587</v>
      </c>
      <c r="BM11" s="234" t="s">
        <v>2588</v>
      </c>
      <c r="BN11" s="234" t="s">
        <v>2586</v>
      </c>
      <c r="BO11" s="234" t="s">
        <v>2590</v>
      </c>
      <c r="BP11" s="234" t="s">
        <v>2589</v>
      </c>
      <c r="BQ11" s="234" t="s">
        <v>2591</v>
      </c>
      <c r="BR11" s="234" t="s">
        <v>2592</v>
      </c>
      <c r="BS11" s="234" t="str">
        <f>RIGHT(Таблица1[[#This Row],[ПДАсВ 1]],1)</f>
        <v>2</v>
      </c>
      <c r="BT11" s="227">
        <v>2</v>
      </c>
      <c r="BU11" s="212">
        <f>IF(Таблица1[[#This Row],[ПДАсВ Итог Копия]]=Таблица1[[#This Row],[Train]],1,0)</f>
        <v>0</v>
      </c>
      <c r="BV11" s="212">
        <f>IF(Таблица1[[#This Row],[ПДАсВ Итог Копия]]=Таблица1[[#This Row],[К-средних]],1,0)</f>
        <v>0</v>
      </c>
      <c r="BW11" s="235">
        <v>17.35323808601845</v>
      </c>
      <c r="BX11" s="235">
        <v>16.343822012656265</v>
      </c>
      <c r="BY11" s="235">
        <v>31.807131793903821</v>
      </c>
      <c r="BZ11" s="235">
        <v>62.925174624035861</v>
      </c>
      <c r="CA11" s="235">
        <v>53.924506775225723</v>
      </c>
      <c r="CB11" s="235">
        <v>499.02889773838092</v>
      </c>
      <c r="CC11" s="235">
        <v>215.65126959062209</v>
      </c>
      <c r="CD11" s="218">
        <f>MATCH(MIN(Таблица1[[#This Row],[1 ДА Мах]:[7_ДА_Мах]]),Таблица1[[#This Row],[1 ДА Мах]:[7_ДА_Мах]],0)</f>
        <v>2</v>
      </c>
      <c r="CE11" s="219">
        <f>IF(Таблица1[[#This Row],[ДА_Мах_Итог]]=Таблица1[[#This Row],[Train]],1,0)</f>
        <v>0</v>
      </c>
      <c r="CF11" s="219">
        <f>IF(Таблица1[[#This Row],[ДА_Мах_Итог]]=Таблица1[[#This Row],[К-средних]],1,0)</f>
        <v>0</v>
      </c>
      <c r="CG11" s="236">
        <v>0.31153809557742634</v>
      </c>
      <c r="CH11" s="236">
        <v>0.68808455980998207</v>
      </c>
      <c r="CI11" s="236">
        <v>3.7734341078057777E-4</v>
      </c>
      <c r="CJ11" s="236">
        <v>1.3199869025311467E-11</v>
      </c>
      <c r="CK11" s="236">
        <v>1.1886111832223979E-9</v>
      </c>
      <c r="CL11" s="236">
        <v>0</v>
      </c>
      <c r="CM11" s="236">
        <v>0</v>
      </c>
      <c r="CN11" s="218">
        <f>MATCH(MAX(Таблица1[[#This Row],[1_ДА_Ап]:[7_ДА_Ап]]),Таблица1[[#This Row],[1_ДА_Ап]:[7_ДА_Ап]],0)</f>
        <v>2</v>
      </c>
      <c r="CO11" s="219">
        <f>IF(Таблица1[[#This Row],[ПДАсВ Итог Копия]]=Таблица1[[#This Row],[Train]],1,0)</f>
        <v>0</v>
      </c>
      <c r="CP11" s="219">
        <f>IF(Таблица1[[#This Row],[ПДАсВ Итог Копия]]=Таблица1[[#This Row],[К-средних]],1,0)</f>
        <v>0</v>
      </c>
      <c r="CQ11" s="234" t="s">
        <v>2588</v>
      </c>
      <c r="CR11" s="234" t="s">
        <v>2587</v>
      </c>
      <c r="CS11" s="234" t="s">
        <v>2586</v>
      </c>
      <c r="CT11" s="234" t="s">
        <v>2589</v>
      </c>
      <c r="CU11" s="234" t="s">
        <v>2590</v>
      </c>
      <c r="CV11" s="234" t="s">
        <v>2591</v>
      </c>
      <c r="CW11" s="234" t="s">
        <v>2592</v>
      </c>
      <c r="CX11" s="234" t="str">
        <f>RIGHT(Таблица1[[#This Row],[ПДАсИ 1]],1)</f>
        <v>1</v>
      </c>
      <c r="CY11" s="212">
        <v>1</v>
      </c>
      <c r="CZ11" s="212">
        <f>IF(Таблица1[[#This Row],[ПДАсИ Итог Копия]]=Таблица1[[#This Row],[Train]],1,0)</f>
        <v>0</v>
      </c>
      <c r="DA11" s="212">
        <f>IF(Таблица1[[#This Row],[ПДАсИ Итог Копия]]=Таблица1[[#This Row],[К-средних]],1,0)</f>
        <v>1</v>
      </c>
      <c r="DB11" s="237">
        <v>5.6599912672922326</v>
      </c>
      <c r="DC11" s="237">
        <v>9.8510716094091642</v>
      </c>
      <c r="DD11" s="237">
        <v>17.417445292318284</v>
      </c>
      <c r="DE11" s="237">
        <v>63.8698217823788</v>
      </c>
      <c r="DF11" s="237">
        <v>76.030382472222882</v>
      </c>
      <c r="DG11" s="237">
        <v>418.37392260266472</v>
      </c>
      <c r="DH11" s="237">
        <v>293.88798827720791</v>
      </c>
      <c r="DI11" s="224">
        <f>MATCH(MIN(Таблица1[[#This Row],[ПДАсИ Мах 1]:[ПДАсИ Мах 7]]),Таблица1[[#This Row],[ПДАсИ Мах 1]:[ПДАсИ Мах 7]],0)</f>
        <v>1</v>
      </c>
      <c r="DJ11" s="212">
        <f>IF(Таблица1[[#This Row],[ПДАсИ Мах Итог]]=Таблица1[[#This Row],[Train]],1,0)</f>
        <v>0</v>
      </c>
      <c r="DK11" s="212">
        <f>IF(Таблица1[[#This Row],[ПДАсИ Мах Итог]]=Таблица1[[#This Row],[К-средних]],1,0)</f>
        <v>1</v>
      </c>
      <c r="DL11" s="238">
        <v>0.85567431055104726</v>
      </c>
      <c r="DM11" s="238">
        <v>0.14033490252029615</v>
      </c>
      <c r="DN11" s="238">
        <v>3.9907869285911316E-3</v>
      </c>
      <c r="DO11" s="238">
        <v>6.5325560734161317E-14</v>
      </c>
      <c r="DP11" s="238">
        <v>1.4943452382820059E-16</v>
      </c>
      <c r="DQ11" s="238">
        <v>0</v>
      </c>
      <c r="DR11" s="238">
        <v>0</v>
      </c>
      <c r="DS11" s="224">
        <f>MATCH(MAX(Таблица1[[#This Row],[ПДАсИ Ап 1]:[ПДАсИ Ап 7]]),Таблица1[[#This Row],[ПДАсИ Ап 1]:[ПДАсИ Ап 7]],0)</f>
        <v>1</v>
      </c>
      <c r="DT11" s="212">
        <f>IF(Таблица1[[#This Row],[ПДАсИ Ап Итог]]=Таблица1[[#This Row],[Train]],1,0)</f>
        <v>0</v>
      </c>
      <c r="DU11" s="212">
        <f>IF(Таблица1[[#This Row],[ПДАсИ Ап Итог]]=Таблица1[[#This Row],[К-средних]],1,0)</f>
        <v>1</v>
      </c>
    </row>
    <row r="12" spans="1:125" ht="13.8">
      <c r="A12" s="205" t="s">
        <v>280</v>
      </c>
      <c r="B12" s="319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320">
        <v>-1.1813114888472469</v>
      </c>
      <c r="K12" s="324">
        <v>0.96281979262049577</v>
      </c>
      <c r="L12" s="325">
        <v>-4.7553611002280141</v>
      </c>
      <c r="M12" s="328">
        <v>0.2784580690980597</v>
      </c>
      <c r="N12" s="310">
        <v>4.2850760227906912</v>
      </c>
      <c r="O12" s="329">
        <v>-0.6250610991241129</v>
      </c>
      <c r="P12" s="206">
        <v>3</v>
      </c>
      <c r="Q12" s="207">
        <v>4</v>
      </c>
      <c r="R12" s="206">
        <v>2</v>
      </c>
      <c r="S12" s="208">
        <v>6</v>
      </c>
      <c r="T12" s="271">
        <v>7</v>
      </c>
      <c r="U12" s="271">
        <v>1</v>
      </c>
      <c r="V12" s="272">
        <v>6</v>
      </c>
      <c r="W12" s="272">
        <v>5</v>
      </c>
      <c r="X12" s="312">
        <v>7</v>
      </c>
      <c r="Y12" s="313">
        <v>7</v>
      </c>
      <c r="Z12" s="271">
        <v>7</v>
      </c>
      <c r="AA12" s="314">
        <v>7</v>
      </c>
      <c r="AB12" s="314">
        <v>6</v>
      </c>
      <c r="AC12" s="314">
        <f>IF(Таблица1[[#This Row],[Train]]=Таблица1[[#This Row],[НС]],1,0)</f>
        <v>1</v>
      </c>
      <c r="AD12" s="314">
        <f>IF(Таблица1[[#This Row],[НС]]=Таблица1[[#This Row],[К-средних]],1,0)</f>
        <v>1</v>
      </c>
      <c r="AE12" s="208">
        <v>6</v>
      </c>
      <c r="AF12" s="209">
        <f>SUMXMY2(Таблица1[[#This Row],[X1]:[X9]],Таблица1[[#Totals],[X1]:[X9]])</f>
        <v>55.087468842687592</v>
      </c>
      <c r="AG12" s="239" t="s">
        <v>2591</v>
      </c>
      <c r="AH12" s="239" t="s">
        <v>2588</v>
      </c>
      <c r="AI12" s="239" t="s">
        <v>2587</v>
      </c>
      <c r="AJ12" s="239" t="s">
        <v>2586</v>
      </c>
      <c r="AK12" s="239" t="s">
        <v>2589</v>
      </c>
      <c r="AL12" s="239" t="s">
        <v>2590</v>
      </c>
      <c r="AM12" s="239" t="s">
        <v>2592</v>
      </c>
      <c r="AN12" s="239" t="str">
        <f>RIGHT(Таблица1[[#This Row],[ДА1]],1)</f>
        <v>6</v>
      </c>
      <c r="AO12" s="214">
        <v>6</v>
      </c>
      <c r="AP12" s="213">
        <f>IF(Таблица1[[#This Row],[ДА Итог Копия]]=Таблица1[[#This Row],[Train]],1,0)</f>
        <v>1</v>
      </c>
      <c r="AQ12" s="213">
        <f>IF(Таблица1[[#This Row],[ДА Итог Копия]]=Таблица1[[#This Row],[К-средних]],1,0)</f>
        <v>1</v>
      </c>
      <c r="AR12" s="216">
        <v>587.65361407169326</v>
      </c>
      <c r="AS12" s="216">
        <v>636.67478592962243</v>
      </c>
      <c r="AT12" s="216">
        <v>673.61785623624473</v>
      </c>
      <c r="AU12" s="216">
        <v>623.3353388987415</v>
      </c>
      <c r="AV12" s="216">
        <v>569.09397009030681</v>
      </c>
      <c r="AW12" s="216">
        <v>10.49463603540738</v>
      </c>
      <c r="AX12" s="217">
        <v>955.50765150615825</v>
      </c>
      <c r="AY12" s="218">
        <f>MATCH(MIN(Таблица1[[#This Row],[1 ДА Мах]:[7_ДА_Мах]]),Таблица1[[#This Row],[1 ДА Мах]:[7_ДА_Мах]],0)</f>
        <v>6</v>
      </c>
      <c r="AZ12" s="219">
        <f>IF(Таблица1[[#This Row],[ДА_Мах_Итог]]=Таблица1[[#This Row],[Train]],1,0)</f>
        <v>1</v>
      </c>
      <c r="BA12" s="219">
        <f>IF(Таблица1[[#This Row],[ДА_Мах_Итог]]=Таблица1[[#This Row],[К-средних]],1,0)</f>
        <v>1</v>
      </c>
      <c r="BB12" s="220">
        <v>0</v>
      </c>
      <c r="BC12" s="220">
        <v>0</v>
      </c>
      <c r="BD12" s="220">
        <v>0</v>
      </c>
      <c r="BE12" s="220">
        <v>0</v>
      </c>
      <c r="BF12" s="220">
        <v>0</v>
      </c>
      <c r="BG12" s="220">
        <v>1</v>
      </c>
      <c r="BH12" s="220">
        <v>0</v>
      </c>
      <c r="BI12" s="218">
        <f>MATCH(MAX(Таблица1[[#This Row],[1_ДА_Ап]:[7_ДА_Ап]]),Таблица1[[#This Row],[1_ДА_Ап]:[7_ДА_Ап]],0)</f>
        <v>6</v>
      </c>
      <c r="BJ12" s="219">
        <f>IF(Таблица1[[#This Row],[ДА_Ап_Итог]]=Таблица1[[#This Row],[Train]],1,0)</f>
        <v>1</v>
      </c>
      <c r="BK12" s="219">
        <f>IF(Таблица1[[#This Row],[ДА_Ап_Итог]]=Таблица1[[#This Row],[К-средних]],1,0)</f>
        <v>1</v>
      </c>
      <c r="BL12" s="234" t="s">
        <v>2591</v>
      </c>
      <c r="BM12" s="234" t="s">
        <v>2588</v>
      </c>
      <c r="BN12" s="234" t="s">
        <v>2587</v>
      </c>
      <c r="BO12" s="234" t="s">
        <v>2586</v>
      </c>
      <c r="BP12" s="234" t="s">
        <v>2589</v>
      </c>
      <c r="BQ12" s="234" t="s">
        <v>2590</v>
      </c>
      <c r="BR12" s="234" t="s">
        <v>2592</v>
      </c>
      <c r="BS12" s="234" t="str">
        <f>RIGHT(Таблица1[[#This Row],[ПДАсВ 1]],1)</f>
        <v>6</v>
      </c>
      <c r="BT12" s="227">
        <v>6</v>
      </c>
      <c r="BU12" s="212">
        <f>IF(Таблица1[[#This Row],[ПДАсВ Итог Копия]]=Таблица1[[#This Row],[Train]],1,0)</f>
        <v>1</v>
      </c>
      <c r="BV12" s="212">
        <f>IF(Таблица1[[#This Row],[ПДАсВ Итог Копия]]=Таблица1[[#This Row],[К-средних]],1,0)</f>
        <v>1</v>
      </c>
      <c r="BW12" s="235">
        <v>577.48522646780827</v>
      </c>
      <c r="BX12" s="235">
        <v>627.18746201293902</v>
      </c>
      <c r="BY12" s="235">
        <v>658.46145565798508</v>
      </c>
      <c r="BZ12" s="235">
        <v>596.96473158798017</v>
      </c>
      <c r="CA12" s="235">
        <v>547.45685416713548</v>
      </c>
      <c r="CB12" s="235">
        <v>9.5432360206273561</v>
      </c>
      <c r="CC12" s="235">
        <v>796.32639685065033</v>
      </c>
      <c r="CD12" s="218">
        <f>MATCH(MIN(Таблица1[[#This Row],[1 ДА Мах]:[7_ДА_Мах]]),Таблица1[[#This Row],[1 ДА Мах]:[7_ДА_Мах]],0)</f>
        <v>6</v>
      </c>
      <c r="CE12" s="219">
        <f>IF(Таблица1[[#This Row],[ДА_Мах_Итог]]=Таблица1[[#This Row],[Train]],1,0)</f>
        <v>1</v>
      </c>
      <c r="CF12" s="219">
        <f>IF(Таблица1[[#This Row],[ДА_Мах_Итог]]=Таблица1[[#This Row],[К-средних]],1,0)</f>
        <v>1</v>
      </c>
      <c r="CG12" s="236">
        <v>0</v>
      </c>
      <c r="CH12" s="236">
        <v>0</v>
      </c>
      <c r="CI12" s="236">
        <v>0</v>
      </c>
      <c r="CJ12" s="236">
        <v>0</v>
      </c>
      <c r="CK12" s="236">
        <v>0</v>
      </c>
      <c r="CL12" s="236">
        <v>1</v>
      </c>
      <c r="CM12" s="236">
        <v>0</v>
      </c>
      <c r="CN12" s="218">
        <f>MATCH(MAX(Таблица1[[#This Row],[1_ДА_Ап]:[7_ДА_Ап]]),Таблица1[[#This Row],[1_ДА_Ап]:[7_ДА_Ап]],0)</f>
        <v>6</v>
      </c>
      <c r="CO12" s="219">
        <f>IF(Таблица1[[#This Row],[ПДАсВ Итог Копия]]=Таблица1[[#This Row],[Train]],1,0)</f>
        <v>1</v>
      </c>
      <c r="CP12" s="219">
        <f>IF(Таблица1[[#This Row],[ПДАсВ Итог Копия]]=Таблица1[[#This Row],[К-средних]],1,0)</f>
        <v>1</v>
      </c>
      <c r="CQ12" s="234" t="s">
        <v>2591</v>
      </c>
      <c r="CR12" s="234" t="s">
        <v>2588</v>
      </c>
      <c r="CS12" s="234" t="s">
        <v>2587</v>
      </c>
      <c r="CT12" s="234" t="s">
        <v>2586</v>
      </c>
      <c r="CU12" s="234" t="s">
        <v>2589</v>
      </c>
      <c r="CV12" s="234" t="s">
        <v>2590</v>
      </c>
      <c r="CW12" s="234" t="s">
        <v>2592</v>
      </c>
      <c r="CX12" s="234" t="str">
        <f>RIGHT(Таблица1[[#This Row],[ПДАсИ 1]],1)</f>
        <v>6</v>
      </c>
      <c r="CY12" s="212">
        <v>6</v>
      </c>
      <c r="CZ12" s="212">
        <f>IF(Таблица1[[#This Row],[ПДАсИ Итог Копия]]=Таблица1[[#This Row],[Train]],1,0)</f>
        <v>1</v>
      </c>
      <c r="DA12" s="212">
        <f>IF(Таблица1[[#This Row],[ПДАсИ Итог Копия]]=Таблица1[[#This Row],[К-средних]],1,0)</f>
        <v>1</v>
      </c>
      <c r="DB12" s="237">
        <v>409.47935021424433</v>
      </c>
      <c r="DC12" s="237">
        <v>486.05889640227298</v>
      </c>
      <c r="DD12" s="237">
        <v>490.06168967575127</v>
      </c>
      <c r="DE12" s="237">
        <v>528.11024130595069</v>
      </c>
      <c r="DF12" s="237">
        <v>447.91176948631914</v>
      </c>
      <c r="DG12" s="237">
        <v>10.381350313343244</v>
      </c>
      <c r="DH12" s="237">
        <v>834.77300436813198</v>
      </c>
      <c r="DI12" s="224">
        <f>MATCH(MIN(Таблица1[[#This Row],[ПДАсИ Мах 1]:[ПДАсИ Мах 7]]),Таблица1[[#This Row],[ПДАсИ Мах 1]:[ПДАсИ Мах 7]],0)</f>
        <v>6</v>
      </c>
      <c r="DJ12" s="212">
        <f>IF(Таблица1[[#This Row],[ПДАсИ Мах Итог]]=Таблица1[[#This Row],[Train]],1,0)</f>
        <v>1</v>
      </c>
      <c r="DK12" s="212">
        <f>IF(Таблица1[[#This Row],[ПДАсИ Мах Итог]]=Таблица1[[#This Row],[К-средних]],1,0)</f>
        <v>1</v>
      </c>
      <c r="DL12" s="238">
        <v>0</v>
      </c>
      <c r="DM12" s="238">
        <v>0</v>
      </c>
      <c r="DN12" s="238">
        <v>0</v>
      </c>
      <c r="DO12" s="238">
        <v>0</v>
      </c>
      <c r="DP12" s="238">
        <v>0</v>
      </c>
      <c r="DQ12" s="238">
        <v>1</v>
      </c>
      <c r="DR12" s="238">
        <v>0</v>
      </c>
      <c r="DS12" s="224">
        <f>MATCH(MAX(Таблица1[[#This Row],[ПДАсИ Ап 1]:[ПДАсИ Ап 7]]),Таблица1[[#This Row],[ПДАсИ Ап 1]:[ПДАсИ Ап 7]],0)</f>
        <v>6</v>
      </c>
      <c r="DT12" s="212">
        <f>IF(Таблица1[[#This Row],[ПДАсИ Ап Итог]]=Таблица1[[#This Row],[Train]],1,0)</f>
        <v>1</v>
      </c>
      <c r="DU12" s="212">
        <f>IF(Таблица1[[#This Row],[ПДАсИ Ап Итог]]=Таблица1[[#This Row],[К-средних]],1,0)</f>
        <v>1</v>
      </c>
    </row>
    <row r="13" spans="1:125" ht="13.8">
      <c r="A13" s="205" t="s">
        <v>281</v>
      </c>
      <c r="B13" s="319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320">
        <v>1.4688518106761914</v>
      </c>
      <c r="K13" s="324">
        <v>-0.48532664482316235</v>
      </c>
      <c r="L13" s="325">
        <v>1.8963777182999793</v>
      </c>
      <c r="M13" s="328">
        <v>-0.32737371553484274</v>
      </c>
      <c r="N13" s="310">
        <v>-1.6446788600407602</v>
      </c>
      <c r="O13" s="329">
        <v>6.2490273620539882E-3</v>
      </c>
      <c r="P13" s="206">
        <v>4</v>
      </c>
      <c r="Q13" s="207">
        <v>5</v>
      </c>
      <c r="R13" s="206">
        <v>4</v>
      </c>
      <c r="S13" s="208">
        <v>2</v>
      </c>
      <c r="T13" s="271">
        <v>3</v>
      </c>
      <c r="U13" s="271">
        <v>7</v>
      </c>
      <c r="V13" s="272">
        <v>3</v>
      </c>
      <c r="W13" s="272">
        <v>6</v>
      </c>
      <c r="X13" s="312">
        <v>2</v>
      </c>
      <c r="Y13" s="313">
        <v>2</v>
      </c>
      <c r="Z13" s="271">
        <v>6</v>
      </c>
      <c r="AA13" s="314">
        <v>3</v>
      </c>
      <c r="AB13" s="343">
        <v>2</v>
      </c>
      <c r="AC13" s="343">
        <f>IF(Таблица1[[#This Row],[Train]]=Таблица1[[#This Row],[НС]],1,0)</f>
        <v>0</v>
      </c>
      <c r="AD13" s="343">
        <f>IF(Таблица1[[#This Row],[НС]]=Таблица1[[#This Row],[К-средних]],1,0)</f>
        <v>1</v>
      </c>
      <c r="AE13" s="208"/>
      <c r="AF13" s="209">
        <f>SUMXMY2(Таблица1[[#This Row],[X1]:[X9]],Таблица1[[#Totals],[X1]:[X9]])</f>
        <v>11.344376932762204</v>
      </c>
      <c r="AG13" s="239" t="s">
        <v>2587</v>
      </c>
      <c r="AH13" s="239" t="s">
        <v>2586</v>
      </c>
      <c r="AI13" s="239" t="s">
        <v>2588</v>
      </c>
      <c r="AJ13" s="239" t="s">
        <v>2589</v>
      </c>
      <c r="AK13" s="239" t="s">
        <v>2590</v>
      </c>
      <c r="AL13" s="239" t="s">
        <v>2591</v>
      </c>
      <c r="AM13" s="239" t="s">
        <v>2592</v>
      </c>
      <c r="AN13" s="239" t="str">
        <f>RIGHT(Таблица1[[#This Row],[ДА1]],1)</f>
        <v>2</v>
      </c>
      <c r="AO13" s="214">
        <v>2</v>
      </c>
      <c r="AP13" s="213">
        <f>IF(Таблица1[[#This Row],[ДА Итог Копия]]=Таблица1[[#This Row],[Train]],1,0)</f>
        <v>0</v>
      </c>
      <c r="AQ13" s="213">
        <f>IF(Таблица1[[#This Row],[ДА Итог Копия]]=Таблица1[[#This Row],[К-средних]],1,0)</f>
        <v>1</v>
      </c>
      <c r="AR13" s="216">
        <v>92.680506684933562</v>
      </c>
      <c r="AS13" s="216">
        <v>44.148672195042245</v>
      </c>
      <c r="AT13" s="216">
        <v>77.107948743661552</v>
      </c>
      <c r="AU13" s="216">
        <v>158.03945724928442</v>
      </c>
      <c r="AV13" s="216">
        <v>168.76461316092696</v>
      </c>
      <c r="AW13" s="216">
        <v>810.22791502277744</v>
      </c>
      <c r="AX13" s="217">
        <v>422.17637133044917</v>
      </c>
      <c r="AY13" s="218">
        <f>MATCH(MIN(Таблица1[[#This Row],[1 ДА Мах]:[7_ДА_Мах]]),Таблица1[[#This Row],[1 ДА Мах]:[7_ДА_Мах]],0)</f>
        <v>2</v>
      </c>
      <c r="AZ13" s="219">
        <f>IF(Таблица1[[#This Row],[ДА_Мах_Итог]]=Таблица1[[#This Row],[Train]],1,0)</f>
        <v>0</v>
      </c>
      <c r="BA13" s="219">
        <f>IF(Таблица1[[#This Row],[ДА_Мах_Итог]]=Таблица1[[#This Row],[К-средних]],1,0)</f>
        <v>1</v>
      </c>
      <c r="BB13" s="220">
        <v>2.1702375214249354E-11</v>
      </c>
      <c r="BC13" s="220">
        <v>0.99999991290319223</v>
      </c>
      <c r="BD13" s="220">
        <v>8.7075105413240866E-8</v>
      </c>
      <c r="BE13" s="220">
        <v>4.6437649205016951E-26</v>
      </c>
      <c r="BF13" s="220">
        <v>2.1773698828671791E-28</v>
      </c>
      <c r="BG13" s="220">
        <v>0</v>
      </c>
      <c r="BH13" s="220">
        <v>0</v>
      </c>
      <c r="BI13" s="218">
        <f>MATCH(MAX(Таблица1[[#This Row],[1_ДА_Ап]:[7_ДА_Ап]]),Таблица1[[#This Row],[1_ДА_Ап]:[7_ДА_Ап]],0)</f>
        <v>2</v>
      </c>
      <c r="BJ13" s="219">
        <f>IF(Таблица1[[#This Row],[ДА_Ап_Итог]]=Таблица1[[#This Row],[Train]],1,0)</f>
        <v>0</v>
      </c>
      <c r="BK13" s="219">
        <f>IF(Таблица1[[#This Row],[ДА_Ап_Итог]]=Таблица1[[#This Row],[К-средних]],1,0)</f>
        <v>1</v>
      </c>
      <c r="BL13" s="234" t="s">
        <v>2587</v>
      </c>
      <c r="BM13" s="234" t="s">
        <v>2586</v>
      </c>
      <c r="BN13" s="234" t="s">
        <v>2588</v>
      </c>
      <c r="BO13" s="234" t="s">
        <v>2589</v>
      </c>
      <c r="BP13" s="234" t="s">
        <v>2590</v>
      </c>
      <c r="BQ13" s="234" t="s">
        <v>2591</v>
      </c>
      <c r="BR13" s="234" t="s">
        <v>2592</v>
      </c>
      <c r="BS13" s="234" t="str">
        <f>RIGHT(Таблица1[[#This Row],[ПДАсВ 1]],1)</f>
        <v>2</v>
      </c>
      <c r="BT13" s="227">
        <v>2</v>
      </c>
      <c r="BU13" s="212">
        <f>IF(Таблица1[[#This Row],[ПДАсВ Итог Копия]]=Таблица1[[#This Row],[Train]],1,0)</f>
        <v>0</v>
      </c>
      <c r="BV13" s="212">
        <f>IF(Таблица1[[#This Row],[ПДАсВ Итог Копия]]=Таблица1[[#This Row],[К-средних]],1,0)</f>
        <v>1</v>
      </c>
      <c r="BW13" s="235">
        <v>53.731992725980483</v>
      </c>
      <c r="BX13" s="235">
        <v>21.74166557575813</v>
      </c>
      <c r="BY13" s="235">
        <v>34.751063542972624</v>
      </c>
      <c r="BZ13" s="235">
        <v>96.517842883782464</v>
      </c>
      <c r="CA13" s="235">
        <v>106.78425857077443</v>
      </c>
      <c r="CB13" s="235">
        <v>792.71572913386353</v>
      </c>
      <c r="CC13" s="235">
        <v>215.81127140225894</v>
      </c>
      <c r="CD13" s="218">
        <f>MATCH(MIN(Таблица1[[#This Row],[1 ДА Мах]:[7_ДА_Мах]]),Таблица1[[#This Row],[1 ДА Мах]:[7_ДА_Мах]],0)</f>
        <v>2</v>
      </c>
      <c r="CE13" s="219">
        <f>IF(Таблица1[[#This Row],[ДА_Мах_Итог]]=Таблица1[[#This Row],[Train]],1,0)</f>
        <v>0</v>
      </c>
      <c r="CF13" s="219">
        <f>IF(Таблица1[[#This Row],[ДА_Мах_Итог]]=Таблица1[[#This Row],[К-средних]],1,0)</f>
        <v>1</v>
      </c>
      <c r="CG13" s="236">
        <v>8.4652222466385401E-8</v>
      </c>
      <c r="CH13" s="236">
        <v>0.99813291879098576</v>
      </c>
      <c r="CI13" s="236">
        <v>1.8669965567917738E-3</v>
      </c>
      <c r="CJ13" s="236">
        <v>1.4444010529215239E-17</v>
      </c>
      <c r="CK13" s="236">
        <v>8.5185162351835142E-20</v>
      </c>
      <c r="CL13" s="236">
        <v>0</v>
      </c>
      <c r="CM13" s="236">
        <v>0</v>
      </c>
      <c r="CN13" s="218">
        <f>MATCH(MAX(Таблица1[[#This Row],[1_ДА_Ап]:[7_ДА_Ап]]),Таблица1[[#This Row],[1_ДА_Ап]:[7_ДА_Ап]],0)</f>
        <v>2</v>
      </c>
      <c r="CO13" s="219">
        <f>IF(Таблица1[[#This Row],[ПДАсВ Итог Копия]]=Таблица1[[#This Row],[Train]],1,0)</f>
        <v>0</v>
      </c>
      <c r="CP13" s="219">
        <f>IF(Таблица1[[#This Row],[ПДАсВ Итог Копия]]=Таблица1[[#This Row],[К-средних]],1,0)</f>
        <v>1</v>
      </c>
      <c r="CQ13" s="234" t="s">
        <v>2587</v>
      </c>
      <c r="CR13" s="234" t="s">
        <v>2586</v>
      </c>
      <c r="CS13" s="234" t="s">
        <v>2588</v>
      </c>
      <c r="CT13" s="234" t="s">
        <v>2589</v>
      </c>
      <c r="CU13" s="234" t="s">
        <v>2590</v>
      </c>
      <c r="CV13" s="234" t="s">
        <v>2591</v>
      </c>
      <c r="CW13" s="234" t="s">
        <v>2592</v>
      </c>
      <c r="CX13" s="234" t="str">
        <f>RIGHT(Таблица1[[#This Row],[ПДАсИ 1]],1)</f>
        <v>2</v>
      </c>
      <c r="CY13" s="212">
        <v>2</v>
      </c>
      <c r="CZ13" s="212">
        <f>IF(Таблица1[[#This Row],[ПДАсИ Итог Копия]]=Таблица1[[#This Row],[Train]],1,0)</f>
        <v>0</v>
      </c>
      <c r="DA13" s="212">
        <f>IF(Таблица1[[#This Row],[ПДАсИ Итог Копия]]=Таблица1[[#This Row],[К-средних]],1,0)</f>
        <v>1</v>
      </c>
      <c r="DB13" s="237">
        <v>49.706512635964756</v>
      </c>
      <c r="DC13" s="237">
        <v>13.8227614243348</v>
      </c>
      <c r="DD13" s="237">
        <v>40.21762901594105</v>
      </c>
      <c r="DE13" s="237">
        <v>65.925059142917931</v>
      </c>
      <c r="DF13" s="237">
        <v>74.382961471069294</v>
      </c>
      <c r="DG13" s="237">
        <v>529.06769095000448</v>
      </c>
      <c r="DH13" s="237">
        <v>320.5447663821738</v>
      </c>
      <c r="DI13" s="224">
        <f>MATCH(MIN(Таблица1[[#This Row],[ПДАсИ Мах 1]:[ПДАсИ Мах 7]]),Таблица1[[#This Row],[ПДАсИ Мах 1]:[ПДАсИ Мах 7]],0)</f>
        <v>2</v>
      </c>
      <c r="DJ13" s="212">
        <f>IF(Таблица1[[#This Row],[ПДАсИ Мах Итог]]=Таблица1[[#This Row],[Train]],1,0)</f>
        <v>0</v>
      </c>
      <c r="DK13" s="212">
        <f>IF(Таблица1[[#This Row],[ПДАсИ Мах Итог]]=Таблица1[[#This Row],[К-средних]],1,0)</f>
        <v>1</v>
      </c>
      <c r="DL13" s="238">
        <v>1.2106056049822179E-8</v>
      </c>
      <c r="DM13" s="238">
        <v>0.99999766870272344</v>
      </c>
      <c r="DN13" s="238">
        <v>2.3191899893108956E-6</v>
      </c>
      <c r="DO13" s="238">
        <v>1.2135810863915212E-12</v>
      </c>
      <c r="DP13" s="238">
        <v>1.7679038621579713E-14</v>
      </c>
      <c r="DQ13" s="238">
        <v>0</v>
      </c>
      <c r="DR13" s="238">
        <v>0</v>
      </c>
      <c r="DS13" s="224">
        <f>MATCH(MAX(Таблица1[[#This Row],[ПДАсИ Ап 1]:[ПДАсИ Ап 7]]),Таблица1[[#This Row],[ПДАсИ Ап 1]:[ПДАсИ Ап 7]],0)</f>
        <v>2</v>
      </c>
      <c r="DT13" s="212">
        <f>IF(Таблица1[[#This Row],[ПДАсИ Ап Итог]]=Таблица1[[#This Row],[Train]],1,0)</f>
        <v>0</v>
      </c>
      <c r="DU13" s="212">
        <f>IF(Таблица1[[#This Row],[ПДАсИ Ап Итог]]=Таблица1[[#This Row],[К-средних]],1,0)</f>
        <v>1</v>
      </c>
    </row>
    <row r="14" spans="1:125" ht="13.8">
      <c r="A14" s="205" t="s">
        <v>282</v>
      </c>
      <c r="B14" s="319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320">
        <v>-6.8181909645802591E-2</v>
      </c>
      <c r="K14" s="324">
        <v>-0.52924279581934619</v>
      </c>
      <c r="L14" s="325">
        <v>0.93210280997852146</v>
      </c>
      <c r="M14" s="328">
        <v>-0.46733022633950905</v>
      </c>
      <c r="N14" s="310">
        <v>-0.77757814897865885</v>
      </c>
      <c r="O14" s="329">
        <v>0.14868897209249016</v>
      </c>
      <c r="P14" s="206">
        <v>4</v>
      </c>
      <c r="Q14" s="207">
        <v>5</v>
      </c>
      <c r="R14" s="206">
        <v>4</v>
      </c>
      <c r="S14" s="208">
        <v>2</v>
      </c>
      <c r="T14" s="271">
        <v>3</v>
      </c>
      <c r="U14" s="271">
        <v>7</v>
      </c>
      <c r="V14" s="272">
        <v>3</v>
      </c>
      <c r="W14" s="272">
        <v>6</v>
      </c>
      <c r="X14" s="312">
        <v>6</v>
      </c>
      <c r="Y14" s="313">
        <v>2</v>
      </c>
      <c r="Z14" s="271">
        <v>6</v>
      </c>
      <c r="AA14" s="314">
        <v>3</v>
      </c>
      <c r="AB14" s="343">
        <v>2</v>
      </c>
      <c r="AC14" s="343">
        <f>IF(Таблица1[[#This Row],[Train]]=Таблица1[[#This Row],[НС]],1,0)</f>
        <v>0</v>
      </c>
      <c r="AD14" s="343">
        <f>IF(Таблица1[[#This Row],[НС]]=Таблица1[[#This Row],[К-средних]],1,0)</f>
        <v>1</v>
      </c>
      <c r="AE14" s="208"/>
      <c r="AF14" s="209">
        <f>SUMXMY2(Таблица1[[#This Row],[X1]:[X9]],Таблица1[[#Totals],[X1]:[X9]])</f>
        <v>7.6554506918167258</v>
      </c>
      <c r="AG14" s="239" t="s">
        <v>2589</v>
      </c>
      <c r="AH14" s="239" t="s">
        <v>2587</v>
      </c>
      <c r="AI14" s="239" t="s">
        <v>2586</v>
      </c>
      <c r="AJ14" s="239" t="s">
        <v>2588</v>
      </c>
      <c r="AK14" s="239" t="s">
        <v>2592</v>
      </c>
      <c r="AL14" s="239" t="s">
        <v>2590</v>
      </c>
      <c r="AM14" s="239" t="s">
        <v>2591</v>
      </c>
      <c r="AN14" s="239" t="str">
        <f>RIGHT(Таблица1[[#This Row],[ДА1]],1)</f>
        <v>4</v>
      </c>
      <c r="AO14" s="214">
        <v>4</v>
      </c>
      <c r="AP14" s="213">
        <f>IF(Таблица1[[#This Row],[ДА Итог Копия]]=Таблица1[[#This Row],[Train]],1,0)</f>
        <v>0</v>
      </c>
      <c r="AQ14" s="213">
        <f>IF(Таблица1[[#This Row],[ДА Итог Копия]]=Таблица1[[#This Row],[К-средних]],1,0)</f>
        <v>0</v>
      </c>
      <c r="AR14" s="216">
        <v>133.98218456552758</v>
      </c>
      <c r="AS14" s="216">
        <v>74.460272559180893</v>
      </c>
      <c r="AT14" s="216">
        <v>105.28546210608111</v>
      </c>
      <c r="AU14" s="216">
        <v>68.052126776824878</v>
      </c>
      <c r="AV14" s="216">
        <v>202.77571115216099</v>
      </c>
      <c r="AW14" s="216">
        <v>763.26895948542654</v>
      </c>
      <c r="AX14" s="217">
        <v>155.73537963230339</v>
      </c>
      <c r="AY14" s="218">
        <f>MATCH(MIN(Таблица1[[#This Row],[1 ДА Мах]:[7_ДА_Мах]]),Таблица1[[#This Row],[1 ДА Мах]:[7_ДА_Мах]],0)</f>
        <v>4</v>
      </c>
      <c r="AZ14" s="219">
        <f>IF(Таблица1[[#This Row],[ДА_Мах_Итог]]=Таблица1[[#This Row],[Train]],1,0)</f>
        <v>0</v>
      </c>
      <c r="BA14" s="219">
        <f>IF(Таблица1[[#This Row],[ДА_Мах_Итог]]=Таблица1[[#This Row],[К-средних]],1,0)</f>
        <v>0</v>
      </c>
      <c r="BB14" s="220">
        <v>1.2452045298467662E-14</v>
      </c>
      <c r="BC14" s="220">
        <v>0.13970064036575228</v>
      </c>
      <c r="BD14" s="220">
        <v>3.5359290974576448E-8</v>
      </c>
      <c r="BE14" s="220">
        <v>0.86029932427494427</v>
      </c>
      <c r="BF14" s="220">
        <v>4.7840415573390639E-30</v>
      </c>
      <c r="BG14" s="220">
        <v>0</v>
      </c>
      <c r="BH14" s="220">
        <v>7.8428362328359728E-20</v>
      </c>
      <c r="BI14" s="218">
        <f>MATCH(MAX(Таблица1[[#This Row],[1_ДА_Ап]:[7_ДА_Ап]]),Таблица1[[#This Row],[1_ДА_Ап]:[7_ДА_Ап]],0)</f>
        <v>4</v>
      </c>
      <c r="BJ14" s="219">
        <f>IF(Таблица1[[#This Row],[ДА_Ап_Итог]]=Таблица1[[#This Row],[Train]],1,0)</f>
        <v>0</v>
      </c>
      <c r="BK14" s="219">
        <f>IF(Таблица1[[#This Row],[ДА_Ап_Итог]]=Таблица1[[#This Row],[К-средних]],1,0)</f>
        <v>0</v>
      </c>
      <c r="BL14" s="234" t="s">
        <v>2587</v>
      </c>
      <c r="BM14" s="234" t="s">
        <v>2589</v>
      </c>
      <c r="BN14" s="234" t="s">
        <v>2592</v>
      </c>
      <c r="BO14" s="234" t="s">
        <v>2586</v>
      </c>
      <c r="BP14" s="234" t="s">
        <v>2588</v>
      </c>
      <c r="BQ14" s="234" t="s">
        <v>2590</v>
      </c>
      <c r="BR14" s="234" t="s">
        <v>2591</v>
      </c>
      <c r="BS14" s="234" t="str">
        <f>RIGHT(Таблица1[[#This Row],[ПДАсВ 1]],1)</f>
        <v>2</v>
      </c>
      <c r="BT14" s="227">
        <v>2</v>
      </c>
      <c r="BU14" s="212">
        <f>IF(Таблица1[[#This Row],[ПДАсВ Итог Копия]]=Таблица1[[#This Row],[Train]],1,0)</f>
        <v>0</v>
      </c>
      <c r="BV14" s="212">
        <f>IF(Таблица1[[#This Row],[ПДАсВ Итог Копия]]=Таблица1[[#This Row],[К-средних]],1,0)</f>
        <v>1</v>
      </c>
      <c r="BW14" s="235">
        <v>110.51596733859419</v>
      </c>
      <c r="BX14" s="235">
        <v>57.898672694473021</v>
      </c>
      <c r="BY14" s="235">
        <v>96.578682313302281</v>
      </c>
      <c r="BZ14" s="235">
        <v>59.33247521934959</v>
      </c>
      <c r="CA14" s="235">
        <v>121.47997763076457</v>
      </c>
      <c r="CB14" s="235">
        <v>720.12367266506146</v>
      </c>
      <c r="CC14" s="235">
        <v>93.095823971365135</v>
      </c>
      <c r="CD14" s="218">
        <f>MATCH(MIN(Таблица1[[#This Row],[1 ДА Мах]:[7_ДА_Мах]]),Таблица1[[#This Row],[1 ДА Мах]:[7_ДА_Мах]],0)</f>
        <v>4</v>
      </c>
      <c r="CE14" s="219">
        <f>IF(Таблица1[[#This Row],[ДА_Мах_Итог]]=Таблица1[[#This Row],[Train]],1,0)</f>
        <v>0</v>
      </c>
      <c r="CF14" s="219">
        <f>IF(Таблица1[[#This Row],[ДА_Мах_Итог]]=Таблица1[[#This Row],[К-средних]],1,0)</f>
        <v>0</v>
      </c>
      <c r="CG14" s="236">
        <v>2.5080870352790002E-12</v>
      </c>
      <c r="CH14" s="236">
        <v>0.89121338024150643</v>
      </c>
      <c r="CI14" s="236">
        <v>4.442570643479557E-9</v>
      </c>
      <c r="CJ14" s="236">
        <v>0.10878661024400132</v>
      </c>
      <c r="CK14" s="236">
        <v>3.4786982908570483E-15</v>
      </c>
      <c r="CL14" s="236">
        <v>0</v>
      </c>
      <c r="CM14" s="236">
        <v>5.0694100059404188E-9</v>
      </c>
      <c r="CN14" s="218">
        <f>MATCH(MAX(Таблица1[[#This Row],[1_ДА_Ап]:[7_ДА_Ап]]),Таблица1[[#This Row],[1_ДА_Ап]:[7_ДА_Ап]],0)</f>
        <v>4</v>
      </c>
      <c r="CO14" s="219">
        <f>IF(Таблица1[[#This Row],[ПДАсВ Итог Копия]]=Таблица1[[#This Row],[Train]],1,0)</f>
        <v>0</v>
      </c>
      <c r="CP14" s="219">
        <f>IF(Таблица1[[#This Row],[ПДАсВ Итог Копия]]=Таблица1[[#This Row],[К-средних]],1,0)</f>
        <v>1</v>
      </c>
      <c r="CQ14" s="234" t="s">
        <v>2587</v>
      </c>
      <c r="CR14" s="234" t="s">
        <v>2589</v>
      </c>
      <c r="CS14" s="234" t="s">
        <v>2586</v>
      </c>
      <c r="CT14" s="234" t="s">
        <v>2588</v>
      </c>
      <c r="CU14" s="234" t="s">
        <v>2592</v>
      </c>
      <c r="CV14" s="234" t="s">
        <v>2590</v>
      </c>
      <c r="CW14" s="234" t="s">
        <v>2591</v>
      </c>
      <c r="CX14" s="234" t="str">
        <f>RIGHT(Таблица1[[#This Row],[ПДАсИ 1]],1)</f>
        <v>2</v>
      </c>
      <c r="CY14" s="212">
        <v>2</v>
      </c>
      <c r="CZ14" s="212">
        <f>IF(Таблица1[[#This Row],[ПДАсИ Итог Копия]]=Таблица1[[#This Row],[Train]],1,0)</f>
        <v>0</v>
      </c>
      <c r="DA14" s="212">
        <f>IF(Таблица1[[#This Row],[ПДАсИ Итог Копия]]=Таблица1[[#This Row],[К-средних]],1,0)</f>
        <v>1</v>
      </c>
      <c r="DB14" s="237">
        <v>112.01562016746975</v>
      </c>
      <c r="DC14" s="237">
        <v>60.920215922461331</v>
      </c>
      <c r="DD14" s="237">
        <v>89.33764672019646</v>
      </c>
      <c r="DE14" s="237">
        <v>60.03948098044274</v>
      </c>
      <c r="DF14" s="237">
        <v>171.36846409859908</v>
      </c>
      <c r="DG14" s="237">
        <v>651.37048866987459</v>
      </c>
      <c r="DH14" s="237">
        <v>135.6497727594014</v>
      </c>
      <c r="DI14" s="224">
        <f>MATCH(MIN(Таблица1[[#This Row],[ПДАсИ Мах 1]:[ПДАсИ Мах 7]]),Таблица1[[#This Row],[ПДАсИ Мах 1]:[ПДАсИ Мах 7]],0)</f>
        <v>4</v>
      </c>
      <c r="DJ14" s="212">
        <f>IF(Таблица1[[#This Row],[ПДАсИ Мах Итог]]=Таблица1[[#This Row],[Train]],1,0)</f>
        <v>0</v>
      </c>
      <c r="DK14" s="212">
        <f>IF(Таблица1[[#This Row],[ПДАсИ Мах Итог]]=Таблица1[[#This Row],[К-средних]],1,0)</f>
        <v>0</v>
      </c>
      <c r="DL14" s="238">
        <v>4.3385591882766907E-12</v>
      </c>
      <c r="DM14" s="238">
        <v>0.72029486776521534</v>
      </c>
      <c r="DN14" s="238">
        <v>6.0765019373646188E-7</v>
      </c>
      <c r="DO14" s="238">
        <v>0.27970452458025236</v>
      </c>
      <c r="DP14" s="238">
        <v>1.8703288357750786E-25</v>
      </c>
      <c r="DQ14" s="238">
        <v>0</v>
      </c>
      <c r="DR14" s="238">
        <v>1.0669234100126502E-17</v>
      </c>
      <c r="DS14" s="224">
        <f>MATCH(MAX(Таблица1[[#This Row],[ПДАсИ Ап 1]:[ПДАсИ Ап 7]]),Таблица1[[#This Row],[ПДАсИ Ап 1]:[ПДАсИ Ап 7]],0)</f>
        <v>2</v>
      </c>
      <c r="DT14" s="212">
        <f>IF(Таблица1[[#This Row],[ПДАсИ Ап Итог]]=Таблица1[[#This Row],[Train]],1,0)</f>
        <v>0</v>
      </c>
      <c r="DU14" s="212">
        <f>IF(Таблица1[[#This Row],[ПДАсИ Ап Итог]]=Таблица1[[#This Row],[К-средних]],1,0)</f>
        <v>1</v>
      </c>
    </row>
    <row r="15" spans="1:125" ht="13.8">
      <c r="A15" s="205" t="s">
        <v>283</v>
      </c>
      <c r="B15" s="319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320">
        <v>0.47160969451489787</v>
      </c>
      <c r="K15" s="324">
        <v>-0.35104936105338225</v>
      </c>
      <c r="L15" s="325">
        <v>0.80032821154494027</v>
      </c>
      <c r="M15" s="328">
        <v>-0.17817682094563583</v>
      </c>
      <c r="N15" s="310">
        <v>-0.67417347948661188</v>
      </c>
      <c r="O15" s="329">
        <v>-0.36755338791353337</v>
      </c>
      <c r="P15" s="206">
        <v>5</v>
      </c>
      <c r="Q15" s="207">
        <v>5</v>
      </c>
      <c r="R15" s="206">
        <v>4</v>
      </c>
      <c r="S15" s="208">
        <v>2</v>
      </c>
      <c r="T15" s="271">
        <v>3</v>
      </c>
      <c r="U15" s="271">
        <v>7</v>
      </c>
      <c r="V15" s="272">
        <v>3</v>
      </c>
      <c r="W15" s="272">
        <v>6</v>
      </c>
      <c r="X15" s="312">
        <v>2</v>
      </c>
      <c r="Y15" s="313">
        <v>2</v>
      </c>
      <c r="Z15" s="271">
        <v>6</v>
      </c>
      <c r="AA15" s="314">
        <v>3</v>
      </c>
      <c r="AB15" s="314">
        <v>2</v>
      </c>
      <c r="AC15" s="314">
        <f>IF(Таблица1[[#This Row],[Train]]=Таблица1[[#This Row],[НС]],1,0)</f>
        <v>1</v>
      </c>
      <c r="AD15" s="314">
        <f>IF(Таблица1[[#This Row],[НС]]=Таблица1[[#This Row],[К-средних]],1,0)</f>
        <v>1</v>
      </c>
      <c r="AE15" s="208">
        <v>2</v>
      </c>
      <c r="AF15" s="209">
        <f>SUMXMY2(Таблица1[[#This Row],[X1]:[X9]],Таблица1[[#Totals],[X1]:[X9]])</f>
        <v>3.5494657302768338</v>
      </c>
      <c r="AG15" s="239" t="s">
        <v>2587</v>
      </c>
      <c r="AH15" s="239" t="s">
        <v>2586</v>
      </c>
      <c r="AI15" s="239" t="s">
        <v>2588</v>
      </c>
      <c r="AJ15" s="239" t="s">
        <v>2589</v>
      </c>
      <c r="AK15" s="239" t="s">
        <v>2590</v>
      </c>
      <c r="AL15" s="239" t="s">
        <v>2591</v>
      </c>
      <c r="AM15" s="239" t="s">
        <v>2592</v>
      </c>
      <c r="AN15" s="239" t="str">
        <f>RIGHT(Таблица1[[#This Row],[ДА1]],1)</f>
        <v>2</v>
      </c>
      <c r="AO15" s="214">
        <v>2</v>
      </c>
      <c r="AP15" s="213">
        <f>IF(Таблица1[[#This Row],[ДА Итог Копия]]=Таблица1[[#This Row],[Train]],1,0)</f>
        <v>1</v>
      </c>
      <c r="AQ15" s="213">
        <f>IF(Таблица1[[#This Row],[ДА Итог Копия]]=Таблица1[[#This Row],[К-средних]],1,0)</f>
        <v>1</v>
      </c>
      <c r="AR15" s="216">
        <v>27.814428341775411</v>
      </c>
      <c r="AS15" s="216">
        <v>3.7009460673338821</v>
      </c>
      <c r="AT15" s="216">
        <v>24.163051011469829</v>
      </c>
      <c r="AU15" s="216">
        <v>88.643227741059036</v>
      </c>
      <c r="AV15" s="216">
        <v>92.511570679661361</v>
      </c>
      <c r="AW15" s="216">
        <v>611.64503830096271</v>
      </c>
      <c r="AX15" s="217">
        <v>330.83383974669744</v>
      </c>
      <c r="AY15" s="218">
        <f>MATCH(MIN(Таблица1[[#This Row],[1 ДА Мах]:[7_ДА_Мах]]),Таблица1[[#This Row],[1 ДА Мах]:[7_ДА_Мах]],0)</f>
        <v>2</v>
      </c>
      <c r="AZ15" s="219">
        <f>IF(Таблица1[[#This Row],[ДА_Мах_Итог]]=Таблица1[[#This Row],[Train]],1,0)</f>
        <v>1</v>
      </c>
      <c r="BA15" s="219">
        <f>IF(Таблица1[[#This Row],[ДА_Мах_Итог]]=Таблица1[[#This Row],[К-средних]],1,0)</f>
        <v>1</v>
      </c>
      <c r="BB15" s="220">
        <v>4.3537517874989382E-6</v>
      </c>
      <c r="BC15" s="220">
        <v>0.99995060619153653</v>
      </c>
      <c r="BD15" s="220">
        <v>4.5040056676151052E-5</v>
      </c>
      <c r="BE15" s="220">
        <v>8.9729748626616044E-20</v>
      </c>
      <c r="BF15" s="220">
        <v>1.2969894842709084E-20</v>
      </c>
      <c r="BG15" s="220">
        <v>0</v>
      </c>
      <c r="BH15" s="220">
        <v>0</v>
      </c>
      <c r="BI15" s="218">
        <f>MATCH(MAX(Таблица1[[#This Row],[1_ДА_Ап]:[7_ДА_Ап]]),Таблица1[[#This Row],[1_ДА_Ап]:[7_ДА_Ап]],0)</f>
        <v>2</v>
      </c>
      <c r="BJ15" s="219">
        <f>IF(Таблица1[[#This Row],[ДА_Ап_Итог]]=Таблица1[[#This Row],[Train]],1,0)</f>
        <v>1</v>
      </c>
      <c r="BK15" s="219">
        <f>IF(Таблица1[[#This Row],[ДА_Ап_Итог]]=Таблица1[[#This Row],[К-средних]],1,0)</f>
        <v>1</v>
      </c>
      <c r="BL15" s="234" t="s">
        <v>2587</v>
      </c>
      <c r="BM15" s="234" t="s">
        <v>2586</v>
      </c>
      <c r="BN15" s="234" t="s">
        <v>2588</v>
      </c>
      <c r="BO15" s="234" t="s">
        <v>2589</v>
      </c>
      <c r="BP15" s="234" t="s">
        <v>2590</v>
      </c>
      <c r="BQ15" s="234" t="s">
        <v>2591</v>
      </c>
      <c r="BR15" s="234" t="s">
        <v>2592</v>
      </c>
      <c r="BS15" s="234" t="str">
        <f>RIGHT(Таблица1[[#This Row],[ПДАсВ 1]],1)</f>
        <v>2</v>
      </c>
      <c r="BT15" s="227">
        <v>2</v>
      </c>
      <c r="BU15" s="212">
        <f>IF(Таблица1[[#This Row],[ПДАсВ Итог Копия]]=Таблица1[[#This Row],[Train]],1,0)</f>
        <v>1</v>
      </c>
      <c r="BV15" s="212">
        <f>IF(Таблица1[[#This Row],[ПДАсВ Итог Копия]]=Таблица1[[#This Row],[К-средних]],1,0)</f>
        <v>1</v>
      </c>
      <c r="BW15" s="235">
        <v>25.979576441305369</v>
      </c>
      <c r="BX15" s="235">
        <v>2.5992861941526972</v>
      </c>
      <c r="BY15" s="235">
        <v>17.554470952283562</v>
      </c>
      <c r="BZ15" s="235">
        <v>67.403836843521631</v>
      </c>
      <c r="CA15" s="235">
        <v>68.14311580054067</v>
      </c>
      <c r="CB15" s="235">
        <v>597.7636250123669</v>
      </c>
      <c r="CC15" s="235">
        <v>220.26897288922069</v>
      </c>
      <c r="CD15" s="218">
        <f>MATCH(MIN(Таблица1[[#This Row],[1 ДА Мах]:[7_ДА_Мах]]),Таблица1[[#This Row],[1 ДА Мах]:[7_ДА_Мах]],0)</f>
        <v>2</v>
      </c>
      <c r="CE15" s="219">
        <f>IF(Таблица1[[#This Row],[ДА_Мах_Итог]]=Таблица1[[#This Row],[Train]],1,0)</f>
        <v>1</v>
      </c>
      <c r="CF15" s="219">
        <f>IF(Таблица1[[#This Row],[ДА_Мах_Итог]]=Таблица1[[#This Row],[К-средних]],1,0)</f>
        <v>1</v>
      </c>
      <c r="CG15" s="236">
        <v>6.2774905852368572E-6</v>
      </c>
      <c r="CH15" s="236">
        <v>0.99928720450866548</v>
      </c>
      <c r="CI15" s="236">
        <v>7.065180007455108E-4</v>
      </c>
      <c r="CJ15" s="236">
        <v>2.1159283650047895E-15</v>
      </c>
      <c r="CK15" s="236">
        <v>1.462071376024358E-15</v>
      </c>
      <c r="CL15" s="236">
        <v>0</v>
      </c>
      <c r="CM15" s="236">
        <v>0</v>
      </c>
      <c r="CN15" s="218">
        <f>MATCH(MAX(Таблица1[[#This Row],[1_ДА_Ап]:[7_ДА_Ап]]),Таблица1[[#This Row],[1_ДА_Ап]:[7_ДА_Ап]],0)</f>
        <v>2</v>
      </c>
      <c r="CO15" s="219">
        <f>IF(Таблица1[[#This Row],[ПДАсВ Итог Копия]]=Таблица1[[#This Row],[Train]],1,0)</f>
        <v>1</v>
      </c>
      <c r="CP15" s="219">
        <f>IF(Таблица1[[#This Row],[ПДАсВ Итог Копия]]=Таблица1[[#This Row],[К-средних]],1,0)</f>
        <v>1</v>
      </c>
      <c r="CQ15" s="234" t="s">
        <v>2587</v>
      </c>
      <c r="CR15" s="234" t="s">
        <v>2586</v>
      </c>
      <c r="CS15" s="234" t="s">
        <v>2588</v>
      </c>
      <c r="CT15" s="234" t="s">
        <v>2589</v>
      </c>
      <c r="CU15" s="234" t="s">
        <v>2590</v>
      </c>
      <c r="CV15" s="234" t="s">
        <v>2591</v>
      </c>
      <c r="CW15" s="234" t="s">
        <v>2592</v>
      </c>
      <c r="CX15" s="234" t="str">
        <f>RIGHT(Таблица1[[#This Row],[ПДАсИ 1]],1)</f>
        <v>2</v>
      </c>
      <c r="CY15" s="212">
        <v>2</v>
      </c>
      <c r="CZ15" s="212">
        <f>IF(Таблица1[[#This Row],[ПДАсИ Итог Копия]]=Таблица1[[#This Row],[Train]],1,0)</f>
        <v>1</v>
      </c>
      <c r="DA15" s="212">
        <f>IF(Таблица1[[#This Row],[ПДАсИ Итог Копия]]=Таблица1[[#This Row],[К-средних]],1,0)</f>
        <v>1</v>
      </c>
      <c r="DB15" s="237">
        <v>25.798885730141706</v>
      </c>
      <c r="DC15" s="237">
        <v>2.5033181300434579</v>
      </c>
      <c r="DD15" s="237">
        <v>18.491139616667258</v>
      </c>
      <c r="DE15" s="237">
        <v>58.479516079808967</v>
      </c>
      <c r="DF15" s="237">
        <v>77.803453878739219</v>
      </c>
      <c r="DG15" s="237">
        <v>442.39073615903504</v>
      </c>
      <c r="DH15" s="237">
        <v>304.94750581925473</v>
      </c>
      <c r="DI15" s="224">
        <f>MATCH(MIN(Таблица1[[#This Row],[ПДАсИ Мах 1]:[ПДАсИ Мах 7]]),Таблица1[[#This Row],[ПДАсИ Мах 1]:[ПДАсИ Мах 7]],0)</f>
        <v>2</v>
      </c>
      <c r="DJ15" s="212">
        <f>IF(Таблица1[[#This Row],[ПДАсИ Мах Итог]]=Таблица1[[#This Row],[Train]],1,0)</f>
        <v>1</v>
      </c>
      <c r="DK15" s="212">
        <f>IF(Таблица1[[#This Row],[ПДАсИ Мах Итог]]=Таблица1[[#This Row],[К-средних]],1,0)</f>
        <v>1</v>
      </c>
      <c r="DL15" s="238">
        <v>6.550990987133578E-6</v>
      </c>
      <c r="DM15" s="238">
        <v>0.99957174021474127</v>
      </c>
      <c r="DN15" s="238">
        <v>4.2170879409673067E-4</v>
      </c>
      <c r="DO15" s="238">
        <v>1.7485458880332868E-13</v>
      </c>
      <c r="DP15" s="238">
        <v>1.113107878994134E-17</v>
      </c>
      <c r="DQ15" s="238">
        <v>0</v>
      </c>
      <c r="DR15" s="238">
        <v>0</v>
      </c>
      <c r="DS15" s="224">
        <f>MATCH(MAX(Таблица1[[#This Row],[ПДАсИ Ап 1]:[ПДАсИ Ап 7]]),Таблица1[[#This Row],[ПДАсИ Ап 1]:[ПДАсИ Ап 7]],0)</f>
        <v>2</v>
      </c>
      <c r="DT15" s="212">
        <f>IF(Таблица1[[#This Row],[ПДАсИ Ап Итог]]=Таблица1[[#This Row],[Train]],1,0)</f>
        <v>1</v>
      </c>
      <c r="DU15" s="212">
        <f>IF(Таблица1[[#This Row],[ПДАсИ Ап Итог]]=Таблица1[[#This Row],[К-средних]],1,0)</f>
        <v>1</v>
      </c>
    </row>
    <row r="16" spans="1:125" ht="13.8">
      <c r="A16" s="205" t="s">
        <v>284</v>
      </c>
      <c r="B16" s="319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320">
        <v>-5.9032899405790804E-2</v>
      </c>
      <c r="K16" s="324">
        <v>-0.38826955751306025</v>
      </c>
      <c r="L16" s="325">
        <v>0.45112113830844014</v>
      </c>
      <c r="M16" s="328">
        <v>-0.25169636153207064</v>
      </c>
      <c r="N16" s="310">
        <v>-0.47547991455479416</v>
      </c>
      <c r="O16" s="329">
        <v>5.4542577828100874E-2</v>
      </c>
      <c r="P16" s="206">
        <v>5</v>
      </c>
      <c r="Q16" s="207">
        <v>5</v>
      </c>
      <c r="R16" s="206">
        <v>4</v>
      </c>
      <c r="S16" s="208">
        <v>3</v>
      </c>
      <c r="T16" s="271">
        <v>6</v>
      </c>
      <c r="U16" s="271">
        <v>7</v>
      </c>
      <c r="V16" s="272">
        <v>3</v>
      </c>
      <c r="W16" s="272">
        <v>6</v>
      </c>
      <c r="X16" s="312">
        <v>6</v>
      </c>
      <c r="Y16" s="313">
        <v>2</v>
      </c>
      <c r="Z16" s="271">
        <v>6</v>
      </c>
      <c r="AA16" s="314">
        <v>2</v>
      </c>
      <c r="AB16" s="314">
        <v>3</v>
      </c>
      <c r="AC16" s="314">
        <f>IF(Таблица1[[#This Row],[Train]]=Таблица1[[#This Row],[НС]],1,0)</f>
        <v>1</v>
      </c>
      <c r="AD16" s="314">
        <f>IF(Таблица1[[#This Row],[НС]]=Таблица1[[#This Row],[К-средних]],1,0)</f>
        <v>1</v>
      </c>
      <c r="AE16" s="208">
        <v>3</v>
      </c>
      <c r="AF16" s="209">
        <f>SUMXMY2(Таблица1[[#This Row],[X1]:[X9]],Таблица1[[#Totals],[X1]:[X9]])</f>
        <v>1.3235024480406261</v>
      </c>
      <c r="AG16" s="239" t="s">
        <v>2586</v>
      </c>
      <c r="AH16" s="239" t="s">
        <v>2587</v>
      </c>
      <c r="AI16" s="239" t="s">
        <v>2588</v>
      </c>
      <c r="AJ16" s="239" t="s">
        <v>2589</v>
      </c>
      <c r="AK16" s="239" t="s">
        <v>2590</v>
      </c>
      <c r="AL16" s="239" t="s">
        <v>2591</v>
      </c>
      <c r="AM16" s="239" t="s">
        <v>2592</v>
      </c>
      <c r="AN16" s="239" t="str">
        <f>RIGHT(Таблица1[[#This Row],[ДА1]],1)</f>
        <v>3</v>
      </c>
      <c r="AO16" s="214">
        <v>3</v>
      </c>
      <c r="AP16" s="213">
        <f>IF(Таблица1[[#This Row],[ДА Итог Копия]]=Таблица1[[#This Row],[Train]],1,0)</f>
        <v>1</v>
      </c>
      <c r="AQ16" s="213">
        <f>IF(Таблица1[[#This Row],[ДА Итог Копия]]=Таблица1[[#This Row],[К-средних]],1,0)</f>
        <v>1</v>
      </c>
      <c r="AR16" s="216">
        <v>22.912677144289901</v>
      </c>
      <c r="AS16" s="216">
        <v>20.522834936438681</v>
      </c>
      <c r="AT16" s="216">
        <v>7.5129346176686722</v>
      </c>
      <c r="AU16" s="216">
        <v>46.362225206396928</v>
      </c>
      <c r="AV16" s="216">
        <v>67.497700245889817</v>
      </c>
      <c r="AW16" s="216">
        <v>709.17338441979757</v>
      </c>
      <c r="AX16" s="217">
        <v>325.50021808713302</v>
      </c>
      <c r="AY16" s="218">
        <f>MATCH(MIN(Таблица1[[#This Row],[1 ДА Мах]:[7_ДА_Мах]]),Таблица1[[#This Row],[1 ДА Мах]:[7_ДА_Мах]],0)</f>
        <v>3</v>
      </c>
      <c r="AZ16" s="219">
        <f>IF(Таблица1[[#This Row],[ДА_Мах_Итог]]=Таблица1[[#This Row],[Train]],1,0)</f>
        <v>1</v>
      </c>
      <c r="BA16" s="219">
        <f>IF(Таблица1[[#This Row],[ДА_Мах_Итог]]=Таблица1[[#This Row],[К-средних]],1,0)</f>
        <v>1</v>
      </c>
      <c r="BB16" s="220">
        <v>2.7133282499959175E-4</v>
      </c>
      <c r="BC16" s="220">
        <v>1.1950572608467416E-3</v>
      </c>
      <c r="BD16" s="220">
        <v>0.99853360918236189</v>
      </c>
      <c r="BE16" s="220">
        <v>7.3177306258970473E-10</v>
      </c>
      <c r="BF16" s="220">
        <v>1.8830694061661579E-14</v>
      </c>
      <c r="BG16" s="220">
        <v>0</v>
      </c>
      <c r="BH16" s="220">
        <v>0</v>
      </c>
      <c r="BI16" s="218">
        <f>MATCH(MAX(Таблица1[[#This Row],[1_ДА_Ап]:[7_ДА_Ап]]),Таблица1[[#This Row],[1_ДА_Ап]:[7_ДА_Ап]],0)</f>
        <v>3</v>
      </c>
      <c r="BJ16" s="219">
        <f>IF(Таблица1[[#This Row],[ДА_Ап_Итог]]=Таблица1[[#This Row],[Train]],1,0)</f>
        <v>1</v>
      </c>
      <c r="BK16" s="219">
        <f>IF(Таблица1[[#This Row],[ДА_Ап_Итог]]=Таблица1[[#This Row],[К-средних]],1,0)</f>
        <v>1</v>
      </c>
      <c r="BL16" s="234" t="s">
        <v>2586</v>
      </c>
      <c r="BM16" s="234" t="s">
        <v>2587</v>
      </c>
      <c r="BN16" s="234" t="s">
        <v>2588</v>
      </c>
      <c r="BO16" s="234" t="s">
        <v>2589</v>
      </c>
      <c r="BP16" s="234" t="s">
        <v>2590</v>
      </c>
      <c r="BQ16" s="234" t="s">
        <v>2591</v>
      </c>
      <c r="BR16" s="234" t="s">
        <v>2592</v>
      </c>
      <c r="BS16" s="234" t="str">
        <f>RIGHT(Таблица1[[#This Row],[ПДАсВ 1]],1)</f>
        <v>3</v>
      </c>
      <c r="BT16" s="227">
        <v>3</v>
      </c>
      <c r="BU16" s="212">
        <f>IF(Таблица1[[#This Row],[ПДАсВ Итог Копия]]=Таблица1[[#This Row],[Train]],1,0)</f>
        <v>1</v>
      </c>
      <c r="BV16" s="212">
        <f>IF(Таблица1[[#This Row],[ПДАсВ Итог Копия]]=Таблица1[[#This Row],[К-средних]],1,0)</f>
        <v>1</v>
      </c>
      <c r="BW16" s="235">
        <v>20.990086561876762</v>
      </c>
      <c r="BX16" s="235">
        <v>11.988271257166959</v>
      </c>
      <c r="BY16" s="235">
        <v>4.5570091214721042</v>
      </c>
      <c r="BZ16" s="235">
        <v>36.23168914876991</v>
      </c>
      <c r="CA16" s="235">
        <v>39.887863651046324</v>
      </c>
      <c r="CB16" s="235">
        <v>684.1829926035133</v>
      </c>
      <c r="CC16" s="235">
        <v>246.04717359664639</v>
      </c>
      <c r="CD16" s="218">
        <f>MATCH(MIN(Таблица1[[#This Row],[1 ДА Мах]:[7_ДА_Мах]]),Таблица1[[#This Row],[1 ДА Мах]:[7_ДА_Мах]],0)</f>
        <v>3</v>
      </c>
      <c r="CE16" s="219">
        <f>IF(Таблица1[[#This Row],[ДА_Мах_Итог]]=Таблица1[[#This Row],[Train]],1,0)</f>
        <v>1</v>
      </c>
      <c r="CF16" s="219">
        <f>IF(Таблица1[[#This Row],[ДА_Мах_Итог]]=Таблица1[[#This Row],[К-средних]],1,0)</f>
        <v>1</v>
      </c>
      <c r="CG16" s="236">
        <v>1.5896790037971928E-4</v>
      </c>
      <c r="CH16" s="236">
        <v>1.9097104816192992E-2</v>
      </c>
      <c r="CI16" s="236">
        <v>0.98074389713643706</v>
      </c>
      <c r="CJ16" s="236">
        <v>2.5972648260269694E-8</v>
      </c>
      <c r="CK16" s="236">
        <v>4.1743420086506537E-9</v>
      </c>
      <c r="CL16" s="236">
        <v>0</v>
      </c>
      <c r="CM16" s="236">
        <v>0</v>
      </c>
      <c r="CN16" s="218">
        <f>MATCH(MAX(Таблица1[[#This Row],[1_ДА_Ап]:[7_ДА_Ап]]),Таблица1[[#This Row],[1_ДА_Ап]:[7_ДА_Ап]],0)</f>
        <v>3</v>
      </c>
      <c r="CO16" s="219">
        <f>IF(Таблица1[[#This Row],[ПДАсВ Итог Копия]]=Таблица1[[#This Row],[Train]],1,0)</f>
        <v>1</v>
      </c>
      <c r="CP16" s="219">
        <f>IF(Таблица1[[#This Row],[ПДАсВ Итог Копия]]=Таблица1[[#This Row],[К-средних]],1,0)</f>
        <v>1</v>
      </c>
      <c r="CQ16" s="234" t="s">
        <v>2586</v>
      </c>
      <c r="CR16" s="234" t="s">
        <v>2587</v>
      </c>
      <c r="CS16" s="234" t="s">
        <v>2588</v>
      </c>
      <c r="CT16" s="234" t="s">
        <v>2589</v>
      </c>
      <c r="CU16" s="234" t="s">
        <v>2590</v>
      </c>
      <c r="CV16" s="234" t="s">
        <v>2591</v>
      </c>
      <c r="CW16" s="234" t="s">
        <v>2592</v>
      </c>
      <c r="CX16" s="234" t="str">
        <f>RIGHT(Таблица1[[#This Row],[ПДАсИ 1]],1)</f>
        <v>3</v>
      </c>
      <c r="CY16" s="212">
        <v>3</v>
      </c>
      <c r="CZ16" s="212">
        <f>IF(Таблица1[[#This Row],[ПДАсИ Итог Копия]]=Таблица1[[#This Row],[Train]],1,0)</f>
        <v>1</v>
      </c>
      <c r="DA16" s="212">
        <f>IF(Таблица1[[#This Row],[ПДАсИ Итог Копия]]=Таблица1[[#This Row],[К-средних]],1,0)</f>
        <v>1</v>
      </c>
      <c r="DB16" s="237">
        <v>22.202485416155078</v>
      </c>
      <c r="DC16" s="237">
        <v>11.315728911984383</v>
      </c>
      <c r="DD16" s="237">
        <v>4.5550619444524649</v>
      </c>
      <c r="DE16" s="237">
        <v>21.309070079762318</v>
      </c>
      <c r="DF16" s="237">
        <v>55.477480868701178</v>
      </c>
      <c r="DG16" s="237">
        <v>523.26111141033789</v>
      </c>
      <c r="DH16" s="237">
        <v>310.6054400790851</v>
      </c>
      <c r="DI16" s="224">
        <f>MATCH(MIN(Таблица1[[#This Row],[ПДАсИ Мах 1]:[ПДАсИ Мах 7]]),Таблица1[[#This Row],[ПДАсИ Мах 1]:[ПДАсИ Мах 7]],0)</f>
        <v>3</v>
      </c>
      <c r="DJ16" s="212">
        <f>IF(Таблица1[[#This Row],[ПДАсИ Мах Итог]]=Таблица1[[#This Row],[Train]],1,0)</f>
        <v>1</v>
      </c>
      <c r="DK16" s="212">
        <f>IF(Таблица1[[#This Row],[ПДАсИ Мах Итог]]=Таблица1[[#This Row],[К-средних]],1,0)</f>
        <v>1</v>
      </c>
      <c r="DL16" s="238">
        <v>8.5968216896457E-5</v>
      </c>
      <c r="DM16" s="238">
        <v>2.6503656444956034E-2</v>
      </c>
      <c r="DN16" s="238">
        <v>0.97336558138864471</v>
      </c>
      <c r="DO16" s="238">
        <v>4.4793947798083218E-5</v>
      </c>
      <c r="DP16" s="238">
        <v>1.7046813469716691E-12</v>
      </c>
      <c r="DQ16" s="238">
        <v>0</v>
      </c>
      <c r="DR16" s="238">
        <v>0</v>
      </c>
      <c r="DS16" s="224">
        <f>MATCH(MAX(Таблица1[[#This Row],[ПДАсИ Ап 1]:[ПДАсИ Ап 7]]),Таблица1[[#This Row],[ПДАсИ Ап 1]:[ПДАсИ Ап 7]],0)</f>
        <v>3</v>
      </c>
      <c r="DT16" s="212">
        <f>IF(Таблица1[[#This Row],[ПДАсИ Ап Итог]]=Таблица1[[#This Row],[Train]],1,0)</f>
        <v>1</v>
      </c>
      <c r="DU16" s="212">
        <f>IF(Таблица1[[#This Row],[ПДАсИ Ап Итог]]=Таблица1[[#This Row],[К-средних]],1,0)</f>
        <v>1</v>
      </c>
    </row>
    <row r="17" spans="1:125" ht="13.8">
      <c r="A17" s="205" t="s">
        <v>285</v>
      </c>
      <c r="B17" s="319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320">
        <v>-0.90989085172689455</v>
      </c>
      <c r="K17" s="324">
        <v>2.1016928005327316</v>
      </c>
      <c r="L17" s="325">
        <v>-0.32784773230137498</v>
      </c>
      <c r="M17" s="328">
        <v>1.5314004872265308</v>
      </c>
      <c r="N17" s="310">
        <v>0.50608499206006508</v>
      </c>
      <c r="O17" s="329">
        <v>-1.2620965758464791</v>
      </c>
      <c r="P17" s="206">
        <v>2</v>
      </c>
      <c r="Q17" s="207">
        <v>2</v>
      </c>
      <c r="R17" s="206">
        <v>1</v>
      </c>
      <c r="S17" s="208">
        <v>7</v>
      </c>
      <c r="T17" s="271">
        <v>1</v>
      </c>
      <c r="U17" s="271">
        <v>4</v>
      </c>
      <c r="V17" s="272">
        <v>7</v>
      </c>
      <c r="W17" s="272">
        <v>2</v>
      </c>
      <c r="X17" s="312">
        <v>4</v>
      </c>
      <c r="Y17" s="313">
        <v>4</v>
      </c>
      <c r="Z17" s="271">
        <v>2</v>
      </c>
      <c r="AA17" s="314">
        <v>5</v>
      </c>
      <c r="AB17" s="343">
        <v>1</v>
      </c>
      <c r="AC17" s="343">
        <f>IF(Таблица1[[#This Row],[Train]]=Таблица1[[#This Row],[НС]],1,0)</f>
        <v>0</v>
      </c>
      <c r="AD17" s="343">
        <f>IF(Таблица1[[#This Row],[НС]]=Таблица1[[#This Row],[К-средних]],1,0)</f>
        <v>0</v>
      </c>
      <c r="AE17" s="208"/>
      <c r="AF17" s="209">
        <f>SUMXMY2(Таблица1[[#This Row],[X1]:[X9]],Таблица1[[#Totals],[X1]:[X9]])</f>
        <v>20.082337533180937</v>
      </c>
      <c r="AG17" s="239" t="s">
        <v>2592</v>
      </c>
      <c r="AH17" s="239" t="s">
        <v>2588</v>
      </c>
      <c r="AI17" s="239" t="s">
        <v>2589</v>
      </c>
      <c r="AJ17" s="239" t="s">
        <v>2587</v>
      </c>
      <c r="AK17" s="239" t="s">
        <v>2586</v>
      </c>
      <c r="AL17" s="239" t="s">
        <v>2590</v>
      </c>
      <c r="AM17" s="239" t="s">
        <v>2591</v>
      </c>
      <c r="AN17" s="239" t="str">
        <f>RIGHT(Таблица1[[#This Row],[ДА1]],1)</f>
        <v>7</v>
      </c>
      <c r="AO17" s="214">
        <v>7</v>
      </c>
      <c r="AP17" s="213">
        <f>IF(Таблица1[[#This Row],[ДА Итог Копия]]=Таблица1[[#This Row],[Train]],1,0)</f>
        <v>0</v>
      </c>
      <c r="AQ17" s="213">
        <f>IF(Таблица1[[#This Row],[ДА Итог Копия]]=Таблица1[[#This Row],[К-средних]],1,0)</f>
        <v>1</v>
      </c>
      <c r="AR17" s="216">
        <v>196.12006723915292</v>
      </c>
      <c r="AS17" s="216">
        <v>217.13455287274192</v>
      </c>
      <c r="AT17" s="216">
        <v>248.47586070929037</v>
      </c>
      <c r="AU17" s="216">
        <v>212.96818381104691</v>
      </c>
      <c r="AV17" s="216">
        <v>297.2906871994644</v>
      </c>
      <c r="AW17" s="216">
        <v>719.12255076941744</v>
      </c>
      <c r="AX17" s="217">
        <v>110.37661674390095</v>
      </c>
      <c r="AY17" s="218">
        <f>MATCH(MIN(Таблица1[[#This Row],[1 ДА Мах]:[7_ДА_Мах]]),Таблица1[[#This Row],[1 ДА Мах]:[7_ДА_Мах]],0)</f>
        <v>7</v>
      </c>
      <c r="AZ17" s="219">
        <f>IF(Таблица1[[#This Row],[ДА_Мах_Итог]]=Таблица1[[#This Row],[Train]],1,0)</f>
        <v>0</v>
      </c>
      <c r="BA17" s="219">
        <f>IF(Таблица1[[#This Row],[ДА_Мах_Итог]]=Таблица1[[#This Row],[К-средних]],1,0)</f>
        <v>1</v>
      </c>
      <c r="BB17" s="220">
        <v>7.2138573477897861E-19</v>
      </c>
      <c r="BC17" s="220">
        <v>2.6294729728631069E-23</v>
      </c>
      <c r="BD17" s="220">
        <v>5.1416226461542106E-30</v>
      </c>
      <c r="BE17" s="220">
        <v>5.2786670082718777E-23</v>
      </c>
      <c r="BF17" s="220">
        <v>0</v>
      </c>
      <c r="BG17" s="220">
        <v>0</v>
      </c>
      <c r="BH17" s="220">
        <v>1</v>
      </c>
      <c r="BI17" s="218">
        <f>MATCH(MAX(Таблица1[[#This Row],[1_ДА_Ап]:[7_ДА_Ап]]),Таблица1[[#This Row],[1_ДА_Ап]:[7_ДА_Ап]],0)</f>
        <v>7</v>
      </c>
      <c r="BJ17" s="219">
        <f>IF(Таблица1[[#This Row],[ДА_Ап_Итог]]=Таблица1[[#This Row],[Train]],1,0)</f>
        <v>0</v>
      </c>
      <c r="BK17" s="219">
        <f>IF(Таблица1[[#This Row],[ДА_Ап_Итог]]=Таблица1[[#This Row],[К-средних]],1,0)</f>
        <v>1</v>
      </c>
      <c r="BL17" s="234" t="s">
        <v>2592</v>
      </c>
      <c r="BM17" s="234" t="s">
        <v>2589</v>
      </c>
      <c r="BN17" s="234" t="s">
        <v>2588</v>
      </c>
      <c r="BO17" s="234" t="s">
        <v>2587</v>
      </c>
      <c r="BP17" s="234" t="s">
        <v>2586</v>
      </c>
      <c r="BQ17" s="234" t="s">
        <v>2590</v>
      </c>
      <c r="BR17" s="234" t="s">
        <v>2591</v>
      </c>
      <c r="BS17" s="234" t="str">
        <f>RIGHT(Таблица1[[#This Row],[ПДАсВ 1]],1)</f>
        <v>7</v>
      </c>
      <c r="BT17" s="227">
        <v>7</v>
      </c>
      <c r="BU17" s="212">
        <f>IF(Таблица1[[#This Row],[ПДАсВ Итог Копия]]=Таблица1[[#This Row],[Train]],1,0)</f>
        <v>0</v>
      </c>
      <c r="BV17" s="212">
        <f>IF(Таблица1[[#This Row],[ПДАсВ Итог Копия]]=Таблица1[[#This Row],[К-средних]],1,0)</f>
        <v>1</v>
      </c>
      <c r="BW17" s="235">
        <v>153.73125542351343</v>
      </c>
      <c r="BX17" s="235">
        <v>158.55791017539059</v>
      </c>
      <c r="BY17" s="235">
        <v>197.42619826083188</v>
      </c>
      <c r="BZ17" s="235">
        <v>147.95303124477232</v>
      </c>
      <c r="CA17" s="235">
        <v>231.13832945436096</v>
      </c>
      <c r="CB17" s="235">
        <v>619.12219867040983</v>
      </c>
      <c r="CC17" s="235">
        <v>33.348806897006561</v>
      </c>
      <c r="CD17" s="218">
        <f>MATCH(MIN(Таблица1[[#This Row],[1 ДА Мах]:[7_ДА_Мах]]),Таблица1[[#This Row],[1 ДА Мах]:[7_ДА_Мах]],0)</f>
        <v>7</v>
      </c>
      <c r="CE17" s="219">
        <f>IF(Таблица1[[#This Row],[ДА_Мах_Итог]]=Таблица1[[#This Row],[Train]],1,0)</f>
        <v>0</v>
      </c>
      <c r="CF17" s="219">
        <f>IF(Таблица1[[#This Row],[ДА_Мах_Итог]]=Таблица1[[#This Row],[К-средних]],1,0)</f>
        <v>1</v>
      </c>
      <c r="CG17" s="236">
        <v>2.1697250257085995E-26</v>
      </c>
      <c r="CH17" s="236">
        <v>2.5896953226960975E-27</v>
      </c>
      <c r="CI17" s="236">
        <v>0</v>
      </c>
      <c r="CJ17" s="236">
        <v>1.3001961672501312E-25</v>
      </c>
      <c r="CK17" s="236">
        <v>0</v>
      </c>
      <c r="CL17" s="236">
        <v>0</v>
      </c>
      <c r="CM17" s="236">
        <v>1</v>
      </c>
      <c r="CN17" s="218">
        <f>MATCH(MAX(Таблица1[[#This Row],[1_ДА_Ап]:[7_ДА_Ап]]),Таблица1[[#This Row],[1_ДА_Ап]:[7_ДА_Ап]],0)</f>
        <v>7</v>
      </c>
      <c r="CO17" s="219">
        <f>IF(Таблица1[[#This Row],[ПДАсВ Итог Копия]]=Таблица1[[#This Row],[Train]],1,0)</f>
        <v>0</v>
      </c>
      <c r="CP17" s="219">
        <f>IF(Таблица1[[#This Row],[ПДАсВ Итог Копия]]=Таблица1[[#This Row],[К-средних]],1,0)</f>
        <v>1</v>
      </c>
      <c r="CQ17" s="234" t="s">
        <v>2592</v>
      </c>
      <c r="CR17" s="234" t="s">
        <v>2588</v>
      </c>
      <c r="CS17" s="234" t="s">
        <v>2589</v>
      </c>
      <c r="CT17" s="234" t="s">
        <v>2587</v>
      </c>
      <c r="CU17" s="234" t="s">
        <v>2586</v>
      </c>
      <c r="CV17" s="234" t="s">
        <v>2590</v>
      </c>
      <c r="CW17" s="234" t="s">
        <v>2591</v>
      </c>
      <c r="CX17" s="234" t="str">
        <f>RIGHT(Таблица1[[#This Row],[ПДАсИ 1]],1)</f>
        <v>7</v>
      </c>
      <c r="CY17" s="212">
        <v>7</v>
      </c>
      <c r="CZ17" s="212">
        <f>IF(Таблица1[[#This Row],[ПДАсИ Итог Копия]]=Таблица1[[#This Row],[Train]],1,0)</f>
        <v>0</v>
      </c>
      <c r="DA17" s="212">
        <f>IF(Таблица1[[#This Row],[ПДАсИ Итог Копия]]=Таблица1[[#This Row],[К-средних]],1,0)</f>
        <v>1</v>
      </c>
      <c r="DB17" s="237">
        <v>149.29643383973371</v>
      </c>
      <c r="DC17" s="237">
        <v>157.46085961131783</v>
      </c>
      <c r="DD17" s="237">
        <v>182.87853424506116</v>
      </c>
      <c r="DE17" s="237">
        <v>150.31916368738393</v>
      </c>
      <c r="DF17" s="237">
        <v>283.663134610177</v>
      </c>
      <c r="DG17" s="237">
        <v>575.16993543370381</v>
      </c>
      <c r="DH17" s="237">
        <v>71.673367022727589</v>
      </c>
      <c r="DI17" s="224">
        <f>MATCH(MIN(Таблица1[[#This Row],[ПДАсИ Мах 1]:[ПДАсИ Мах 7]]),Таблица1[[#This Row],[ПДАсИ Мах 1]:[ПДАсИ Мах 7]],0)</f>
        <v>7</v>
      </c>
      <c r="DJ17" s="212">
        <f>IF(Таблица1[[#This Row],[ПДАсИ Мах Итог]]=Таблица1[[#This Row],[Train]],1,0)</f>
        <v>0</v>
      </c>
      <c r="DK17" s="212">
        <f>IF(Таблица1[[#This Row],[ПДАсИ Мах Итог]]=Таблица1[[#This Row],[К-средних]],1,0)</f>
        <v>1</v>
      </c>
      <c r="DL17" s="238">
        <v>4.1829864830913895E-17</v>
      </c>
      <c r="DM17" s="238">
        <v>9.408982646875079E-19</v>
      </c>
      <c r="DN17" s="238">
        <v>3.5569254466236528E-24</v>
      </c>
      <c r="DO17" s="238">
        <v>8.361462412847666E-18</v>
      </c>
      <c r="DP17" s="238">
        <v>0</v>
      </c>
      <c r="DQ17" s="238">
        <v>0</v>
      </c>
      <c r="DR17" s="238">
        <v>1</v>
      </c>
      <c r="DS17" s="224">
        <f>MATCH(MAX(Таблица1[[#This Row],[ПДАсИ Ап 1]:[ПДАсИ Ап 7]]),Таблица1[[#This Row],[ПДАсИ Ап 1]:[ПДАсИ Ап 7]],0)</f>
        <v>7</v>
      </c>
      <c r="DT17" s="212">
        <f>IF(Таблица1[[#This Row],[ПДАсИ Ап Итог]]=Таблица1[[#This Row],[Train]],1,0)</f>
        <v>0</v>
      </c>
      <c r="DU17" s="212">
        <f>IF(Таблица1[[#This Row],[ПДАсИ Ап Итог]]=Таблица1[[#This Row],[К-средних]],1,0)</f>
        <v>1</v>
      </c>
    </row>
    <row r="18" spans="1:125" ht="13.8">
      <c r="A18" s="205" t="s">
        <v>286</v>
      </c>
      <c r="B18" s="319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320">
        <v>-0.11087729076585773</v>
      </c>
      <c r="K18" s="324">
        <v>0.29307343975629818</v>
      </c>
      <c r="L18" s="325">
        <v>-0.17038645980682604</v>
      </c>
      <c r="M18" s="328">
        <v>0.26428763600936983</v>
      </c>
      <c r="N18" s="310">
        <v>0.14426221208058923</v>
      </c>
      <c r="O18" s="329">
        <v>-0.23470260462867004</v>
      </c>
      <c r="P18" s="206">
        <v>5</v>
      </c>
      <c r="Q18" s="207">
        <v>5</v>
      </c>
      <c r="R18" s="206">
        <v>7</v>
      </c>
      <c r="S18" s="208">
        <v>3</v>
      </c>
      <c r="T18" s="271">
        <v>2</v>
      </c>
      <c r="U18" s="271">
        <v>4</v>
      </c>
      <c r="V18" s="272">
        <v>4</v>
      </c>
      <c r="W18" s="272">
        <v>2</v>
      </c>
      <c r="X18" s="312">
        <v>4</v>
      </c>
      <c r="Y18" s="313">
        <v>4</v>
      </c>
      <c r="Z18" s="271">
        <v>5</v>
      </c>
      <c r="AA18" s="314">
        <v>1</v>
      </c>
      <c r="AB18" s="343">
        <v>1</v>
      </c>
      <c r="AC18" s="343">
        <f>IF(Таблица1[[#This Row],[Train]]=Таблица1[[#This Row],[НС]],1,0)</f>
        <v>0</v>
      </c>
      <c r="AD18" s="343">
        <f>IF(Таблица1[[#This Row],[НС]]=Таблица1[[#This Row],[К-средних]],1,0)</f>
        <v>0</v>
      </c>
      <c r="AE18" s="208"/>
      <c r="AF18" s="209">
        <f>SUMXMY2(Таблица1[[#This Row],[X1]:[X9]],Таблица1[[#Totals],[X1]:[X9]])</f>
        <v>0.67793425309656608</v>
      </c>
      <c r="AG18" s="239" t="s">
        <v>2588</v>
      </c>
      <c r="AH18" s="239" t="s">
        <v>2587</v>
      </c>
      <c r="AI18" s="239" t="s">
        <v>2586</v>
      </c>
      <c r="AJ18" s="239" t="s">
        <v>2590</v>
      </c>
      <c r="AK18" s="239" t="s">
        <v>2589</v>
      </c>
      <c r="AL18" s="239" t="s">
        <v>2591</v>
      </c>
      <c r="AM18" s="239" t="s">
        <v>2592</v>
      </c>
      <c r="AN18" s="239" t="str">
        <f>RIGHT(Таблица1[[#This Row],[ДА1]],1)</f>
        <v>1</v>
      </c>
      <c r="AO18" s="214">
        <v>1</v>
      </c>
      <c r="AP18" s="213">
        <f>IF(Таблица1[[#This Row],[ДА Итог Копия]]=Таблица1[[#This Row],[Train]],1,0)</f>
        <v>0</v>
      </c>
      <c r="AQ18" s="213">
        <f>IF(Таблица1[[#This Row],[ДА Итог Копия]]=Таблица1[[#This Row],[К-средних]],1,0)</f>
        <v>0</v>
      </c>
      <c r="AR18" s="216">
        <v>5.4837701178776133</v>
      </c>
      <c r="AS18" s="216">
        <v>13.896712497038271</v>
      </c>
      <c r="AT18" s="216">
        <v>16.602981598190464</v>
      </c>
      <c r="AU18" s="216">
        <v>74.842270659970282</v>
      </c>
      <c r="AV18" s="216">
        <v>72.309205346220082</v>
      </c>
      <c r="AW18" s="216">
        <v>519.86560642864981</v>
      </c>
      <c r="AX18" s="217">
        <v>333.06276356206752</v>
      </c>
      <c r="AY18" s="218">
        <f>MATCH(MIN(Таблица1[[#This Row],[1 ДА Мах]:[7_ДА_Мах]]),Таблица1[[#This Row],[1 ДА Мах]:[7_ДА_Мах]],0)</f>
        <v>1</v>
      </c>
      <c r="AZ18" s="219">
        <f>IF(Таблица1[[#This Row],[ДА_Мах_Итог]]=Таблица1[[#This Row],[Train]],1,0)</f>
        <v>0</v>
      </c>
      <c r="BA18" s="219">
        <f>IF(Таблица1[[#This Row],[ДА_Мах_Итог]]=Таблица1[[#This Row],[К-средних]],1,0)</f>
        <v>0</v>
      </c>
      <c r="BB18" s="220">
        <v>0.97439077764843474</v>
      </c>
      <c r="BC18" s="220">
        <v>1.9356403890472114E-2</v>
      </c>
      <c r="BD18" s="220">
        <v>6.2528184610917302E-3</v>
      </c>
      <c r="BE18" s="220">
        <v>2.8223110806787015E-16</v>
      </c>
      <c r="BF18" s="220">
        <v>1.0015047763950283E-15</v>
      </c>
      <c r="BG18" s="220">
        <v>0</v>
      </c>
      <c r="BH18" s="220">
        <v>0</v>
      </c>
      <c r="BI18" s="218">
        <f>MATCH(MAX(Таблица1[[#This Row],[1_ДА_Ап]:[7_ДА_Ап]]),Таблица1[[#This Row],[1_ДА_Ап]:[7_ДА_Ап]],0)</f>
        <v>1</v>
      </c>
      <c r="BJ18" s="219">
        <f>IF(Таблица1[[#This Row],[ДА_Ап_Итог]]=Таблица1[[#This Row],[Train]],1,0)</f>
        <v>0</v>
      </c>
      <c r="BK18" s="219">
        <f>IF(Таблица1[[#This Row],[ДА_Ап_Итог]]=Таблица1[[#This Row],[К-средних]],1,0)</f>
        <v>0</v>
      </c>
      <c r="BL18" s="234" t="s">
        <v>2588</v>
      </c>
      <c r="BM18" s="234" t="s">
        <v>2587</v>
      </c>
      <c r="BN18" s="234" t="s">
        <v>2586</v>
      </c>
      <c r="BO18" s="234" t="s">
        <v>2590</v>
      </c>
      <c r="BP18" s="234" t="s">
        <v>2589</v>
      </c>
      <c r="BQ18" s="234" t="s">
        <v>2591</v>
      </c>
      <c r="BR18" s="234" t="s">
        <v>2592</v>
      </c>
      <c r="BS18" s="234" t="str">
        <f>RIGHT(Таблица1[[#This Row],[ПДАсВ 1]],1)</f>
        <v>1</v>
      </c>
      <c r="BT18" s="227">
        <v>1</v>
      </c>
      <c r="BU18" s="212">
        <f>IF(Таблица1[[#This Row],[ПДАсВ Итог Копия]]=Таблица1[[#This Row],[Train]],1,0)</f>
        <v>0</v>
      </c>
      <c r="BV18" s="212">
        <f>IF(Таблица1[[#This Row],[ПДАсВ Итог Копия]]=Таблица1[[#This Row],[К-средних]],1,0)</f>
        <v>0</v>
      </c>
      <c r="BW18" s="235">
        <v>5.2085473260756556</v>
      </c>
      <c r="BX18" s="235">
        <v>9.9105712309461822</v>
      </c>
      <c r="BY18" s="235">
        <v>12.234611215276395</v>
      </c>
      <c r="BZ18" s="235">
        <v>59.004059029388962</v>
      </c>
      <c r="CA18" s="235">
        <v>50.559410418455208</v>
      </c>
      <c r="CB18" s="235">
        <v>502.68620623099514</v>
      </c>
      <c r="CC18" s="235">
        <v>235.07201639272935</v>
      </c>
      <c r="CD18" s="218">
        <f>MATCH(MIN(Таблица1[[#This Row],[1 ДА Мах]:[7_ДА_Мах]]),Таблица1[[#This Row],[1 ДА Мах]:[7_ДА_Мах]],0)</f>
        <v>1</v>
      </c>
      <c r="CE18" s="219">
        <f>IF(Таблица1[[#This Row],[ДА_Мах_Итог]]=Таблица1[[#This Row],[Train]],1,0)</f>
        <v>0</v>
      </c>
      <c r="CF18" s="219">
        <f>IF(Таблица1[[#This Row],[ДА_Мах_Итог]]=Таблица1[[#This Row],[К-средних]],1,0)</f>
        <v>0</v>
      </c>
      <c r="CG18" s="236">
        <v>0.84982878442187881</v>
      </c>
      <c r="CH18" s="236">
        <v>0.10795397934334139</v>
      </c>
      <c r="CI18" s="236">
        <v>4.2217236193974383E-2</v>
      </c>
      <c r="CJ18" s="236">
        <v>5.8974360503259394E-13</v>
      </c>
      <c r="CK18" s="236">
        <v>4.0215677259889592E-11</v>
      </c>
      <c r="CL18" s="236">
        <v>0</v>
      </c>
      <c r="CM18" s="236">
        <v>0</v>
      </c>
      <c r="CN18" s="218">
        <f>MATCH(MAX(Таблица1[[#This Row],[1_ДА_Ап]:[7_ДА_Ап]]),Таблица1[[#This Row],[1_ДА_Ап]:[7_ДА_Ап]],0)</f>
        <v>1</v>
      </c>
      <c r="CO18" s="219">
        <f>IF(Таблица1[[#This Row],[ПДАсВ Итог Копия]]=Таблица1[[#This Row],[Train]],1,0)</f>
        <v>0</v>
      </c>
      <c r="CP18" s="219">
        <f>IF(Таблица1[[#This Row],[ПДАсВ Итог Копия]]=Таблица1[[#This Row],[К-средних]],1,0)</f>
        <v>0</v>
      </c>
      <c r="CQ18" s="234" t="s">
        <v>2588</v>
      </c>
      <c r="CR18" s="234" t="s">
        <v>2587</v>
      </c>
      <c r="CS18" s="234" t="s">
        <v>2586</v>
      </c>
      <c r="CT18" s="234" t="s">
        <v>2589</v>
      </c>
      <c r="CU18" s="234" t="s">
        <v>2590</v>
      </c>
      <c r="CV18" s="234" t="s">
        <v>2591</v>
      </c>
      <c r="CW18" s="234" t="s">
        <v>2592</v>
      </c>
      <c r="CX18" s="234" t="str">
        <f>RIGHT(Таблица1[[#This Row],[ПДАсИ 1]],1)</f>
        <v>1</v>
      </c>
      <c r="CY18" s="212">
        <v>1</v>
      </c>
      <c r="CZ18" s="212">
        <f>IF(Таблица1[[#This Row],[ПДАсИ Итог Копия]]=Таблица1[[#This Row],[Train]],1,0)</f>
        <v>0</v>
      </c>
      <c r="DA18" s="212">
        <f>IF(Таблица1[[#This Row],[ПДАсИ Итог Копия]]=Таблица1[[#This Row],[К-средних]],1,0)</f>
        <v>0</v>
      </c>
      <c r="DB18" s="237">
        <v>3.7049029736990269</v>
      </c>
      <c r="DC18" s="237">
        <v>9.8263203562484396</v>
      </c>
      <c r="DD18" s="237">
        <v>10.657796153518616</v>
      </c>
      <c r="DE18" s="237">
        <v>54.378347785345291</v>
      </c>
      <c r="DF18" s="237">
        <v>65.855353441982004</v>
      </c>
      <c r="DG18" s="237">
        <v>369.83844129984385</v>
      </c>
      <c r="DH18" s="237">
        <v>318.74399361378431</v>
      </c>
      <c r="DI18" s="224">
        <f>MATCH(MIN(Таблица1[[#This Row],[ПДАсИ Мах 1]:[ПДАсИ Мах 7]]),Таблица1[[#This Row],[ПДАсИ Мах 1]:[ПДАсИ Мах 7]],0)</f>
        <v>1</v>
      </c>
      <c r="DJ18" s="212">
        <f>IF(Таблица1[[#This Row],[ПДАсИ Мах Итог]]=Таблица1[[#This Row],[Train]],1,0)</f>
        <v>0</v>
      </c>
      <c r="DK18" s="212">
        <f>IF(Таблица1[[#This Row],[ПДАсИ Мах Итог]]=Таблица1[[#This Row],[К-средних]],1,0)</f>
        <v>0</v>
      </c>
      <c r="DL18" s="238">
        <v>0.89766518237340553</v>
      </c>
      <c r="DM18" s="238">
        <v>5.6079511494366178E-2</v>
      </c>
      <c r="DN18" s="238">
        <v>4.6255306129251265E-2</v>
      </c>
      <c r="DO18" s="238">
        <v>2.9675250624060746E-12</v>
      </c>
      <c r="DP18" s="238">
        <v>9.5541990003484768E-15</v>
      </c>
      <c r="DQ18" s="238">
        <v>0</v>
      </c>
      <c r="DR18" s="238">
        <v>0</v>
      </c>
      <c r="DS18" s="224">
        <f>MATCH(MAX(Таблица1[[#This Row],[ПДАсИ Ап 1]:[ПДАсИ Ап 7]]),Таблица1[[#This Row],[ПДАсИ Ап 1]:[ПДАсИ Ап 7]],0)</f>
        <v>1</v>
      </c>
      <c r="DT18" s="212">
        <f>IF(Таблица1[[#This Row],[ПДАсИ Ап Итог]]=Таблица1[[#This Row],[Train]],1,0)</f>
        <v>0</v>
      </c>
      <c r="DU18" s="212">
        <f>IF(Таблица1[[#This Row],[ПДАсИ Ап Итог]]=Таблица1[[#This Row],[К-средних]],1,0)</f>
        <v>0</v>
      </c>
    </row>
    <row r="19" spans="1:125" ht="13.8">
      <c r="A19" s="205" t="s">
        <v>287</v>
      </c>
      <c r="B19" s="319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320">
        <v>0.23373542827458932</v>
      </c>
      <c r="K19" s="324">
        <v>-0.318374362849288</v>
      </c>
      <c r="L19" s="325">
        <v>-4.1097720157032044E-2</v>
      </c>
      <c r="M19" s="328">
        <v>-2.8982736666782846E-2</v>
      </c>
      <c r="N19" s="310">
        <v>0.14739157799046526</v>
      </c>
      <c r="O19" s="329">
        <v>0.92044557897393164</v>
      </c>
      <c r="P19" s="206">
        <v>5</v>
      </c>
      <c r="Q19" s="207">
        <v>5</v>
      </c>
      <c r="R19" s="206">
        <v>5</v>
      </c>
      <c r="S19" s="208">
        <v>3</v>
      </c>
      <c r="T19" s="271">
        <v>2</v>
      </c>
      <c r="U19" s="271">
        <v>6</v>
      </c>
      <c r="V19" s="272">
        <v>1</v>
      </c>
      <c r="W19" s="272">
        <v>1</v>
      </c>
      <c r="X19" s="312">
        <v>3</v>
      </c>
      <c r="Y19" s="313">
        <v>1</v>
      </c>
      <c r="Z19" s="271">
        <v>1</v>
      </c>
      <c r="AA19" s="314">
        <v>2</v>
      </c>
      <c r="AB19" s="343">
        <v>3</v>
      </c>
      <c r="AC19" s="343">
        <f>IF(Таблица1[[#This Row],[Train]]=Таблица1[[#This Row],[НС]],1,0)</f>
        <v>0</v>
      </c>
      <c r="AD19" s="343">
        <f>IF(Таблица1[[#This Row],[НС]]=Таблица1[[#This Row],[К-средних]],1,0)</f>
        <v>1</v>
      </c>
      <c r="AE19" s="208"/>
      <c r="AF19" s="209">
        <f>SUMXMY2(Таблица1[[#This Row],[X1]:[X9]],Таблица1[[#Totals],[X1]:[X9]])</f>
        <v>6.7928439896535355</v>
      </c>
      <c r="AG19" s="239" t="s">
        <v>2586</v>
      </c>
      <c r="AH19" s="239" t="s">
        <v>2587</v>
      </c>
      <c r="AI19" s="239" t="s">
        <v>2588</v>
      </c>
      <c r="AJ19" s="239" t="s">
        <v>2589</v>
      </c>
      <c r="AK19" s="239" t="s">
        <v>2590</v>
      </c>
      <c r="AL19" s="239" t="s">
        <v>2591</v>
      </c>
      <c r="AM19" s="239" t="s">
        <v>2592</v>
      </c>
      <c r="AN19" s="239" t="str">
        <f>RIGHT(Таблица1[[#This Row],[ДА1]],1)</f>
        <v>3</v>
      </c>
      <c r="AO19" s="214">
        <v>3</v>
      </c>
      <c r="AP19" s="213">
        <f>IF(Таблица1[[#This Row],[ДА Итог Копия]]=Таблица1[[#This Row],[Train]],1,0)</f>
        <v>0</v>
      </c>
      <c r="AQ19" s="213">
        <f>IF(Таблица1[[#This Row],[ДА Итог Копия]]=Таблица1[[#This Row],[К-средних]],1,0)</f>
        <v>1</v>
      </c>
      <c r="AR19" s="216">
        <v>65.0110495787292</v>
      </c>
      <c r="AS19" s="216">
        <v>45.818487055842823</v>
      </c>
      <c r="AT19" s="216">
        <v>33.024889633057462</v>
      </c>
      <c r="AU19" s="216">
        <v>83.113058825925449</v>
      </c>
      <c r="AV19" s="216">
        <v>121.24925314629431</v>
      </c>
      <c r="AW19" s="216">
        <v>635.49388719076626</v>
      </c>
      <c r="AX19" s="217">
        <v>360.61082356741923</v>
      </c>
      <c r="AY19" s="218">
        <f>MATCH(MIN(Таблица1[[#This Row],[1 ДА Мах]:[7_ДА_Мах]]),Таблица1[[#This Row],[1 ДА Мах]:[7_ДА_Мах]],0)</f>
        <v>3</v>
      </c>
      <c r="AZ19" s="219">
        <f>IF(Таблица1[[#This Row],[ДА_Мах_Итог]]=Таблица1[[#This Row],[Train]],1,0)</f>
        <v>0</v>
      </c>
      <c r="BA19" s="219">
        <f>IF(Таблица1[[#This Row],[ДА_Мах_Итог]]=Таблица1[[#This Row],[К-средних]],1,0)</f>
        <v>1</v>
      </c>
      <c r="BB19" s="220">
        <v>6.7899424093203198E-8</v>
      </c>
      <c r="BC19" s="220">
        <v>1.3317319708289197E-3</v>
      </c>
      <c r="BD19" s="220">
        <v>0.99866820012709279</v>
      </c>
      <c r="BE19" s="220">
        <v>2.6542600613315618E-12</v>
      </c>
      <c r="BF19" s="220">
        <v>1.3892298145441259E-20</v>
      </c>
      <c r="BG19" s="220">
        <v>0</v>
      </c>
      <c r="BH19" s="220">
        <v>0</v>
      </c>
      <c r="BI19" s="218">
        <f>MATCH(MAX(Таблица1[[#This Row],[1_ДА_Ап]:[7_ДА_Ап]]),Таблица1[[#This Row],[1_ДА_Ап]:[7_ДА_Ап]],0)</f>
        <v>3</v>
      </c>
      <c r="BJ19" s="219">
        <f>IF(Таблица1[[#This Row],[ДА_Ап_Итог]]=Таблица1[[#This Row],[Train]],1,0)</f>
        <v>0</v>
      </c>
      <c r="BK19" s="219">
        <f>IF(Таблица1[[#This Row],[ДА_Ап_Итог]]=Таблица1[[#This Row],[К-средних]],1,0)</f>
        <v>1</v>
      </c>
      <c r="BL19" s="234" t="s">
        <v>2586</v>
      </c>
      <c r="BM19" s="234" t="s">
        <v>2587</v>
      </c>
      <c r="BN19" s="234" t="s">
        <v>2588</v>
      </c>
      <c r="BO19" s="234" t="s">
        <v>2590</v>
      </c>
      <c r="BP19" s="234" t="s">
        <v>2589</v>
      </c>
      <c r="BQ19" s="234" t="s">
        <v>2591</v>
      </c>
      <c r="BR19" s="234" t="s">
        <v>2592</v>
      </c>
      <c r="BS19" s="234" t="str">
        <f>RIGHT(Таблица1[[#This Row],[ПДАсВ 1]],1)</f>
        <v>3</v>
      </c>
      <c r="BT19" s="227">
        <v>3</v>
      </c>
      <c r="BU19" s="212">
        <f>IF(Таблица1[[#This Row],[ПДАсВ Итог Копия]]=Таблица1[[#This Row],[Train]],1,0)</f>
        <v>0</v>
      </c>
      <c r="BV19" s="212">
        <f>IF(Таблица1[[#This Row],[ПДАсВ Итог Копия]]=Таблица1[[#This Row],[К-средних]],1,0)</f>
        <v>1</v>
      </c>
      <c r="BW19" s="235">
        <v>49.03899333028432</v>
      </c>
      <c r="BX19" s="235">
        <v>32.566531184434837</v>
      </c>
      <c r="BY19" s="235">
        <v>25.028468727787249</v>
      </c>
      <c r="BZ19" s="235">
        <v>68.467791172501379</v>
      </c>
      <c r="CA19" s="235">
        <v>52.600586425243499</v>
      </c>
      <c r="CB19" s="235">
        <v>584.42230664692204</v>
      </c>
      <c r="CC19" s="235">
        <v>315.03813658904949</v>
      </c>
      <c r="CD19" s="218">
        <f>MATCH(MIN(Таблица1[[#This Row],[1 ДА Мах]:[7_ДА_Мах]]),Таблица1[[#This Row],[1 ДА Мах]:[7_ДА_Мах]],0)</f>
        <v>3</v>
      </c>
      <c r="CE19" s="219">
        <f>IF(Таблица1[[#This Row],[ДА_Мах_Итог]]=Таблица1[[#This Row],[Train]],1,0)</f>
        <v>0</v>
      </c>
      <c r="CF19" s="219">
        <f>IF(Таблица1[[#This Row],[ДА_Мах_Итог]]=Таблица1[[#This Row],[К-средних]],1,0)</f>
        <v>1</v>
      </c>
      <c r="CG19" s="236">
        <v>3.6006976336482499E-6</v>
      </c>
      <c r="CH19" s="236">
        <v>1.8124878190729225E-2</v>
      </c>
      <c r="CI19" s="236">
        <v>0.98187131879530265</v>
      </c>
      <c r="CJ19" s="236">
        <v>7.250292906926517E-11</v>
      </c>
      <c r="CK19" s="236">
        <v>2.0224383161228265E-7</v>
      </c>
      <c r="CL19" s="236">
        <v>0</v>
      </c>
      <c r="CM19" s="236">
        <v>0</v>
      </c>
      <c r="CN19" s="218">
        <f>MATCH(MAX(Таблица1[[#This Row],[1_ДА_Ап]:[7_ДА_Ап]]),Таблица1[[#This Row],[1_ДА_Ап]:[7_ДА_Ап]],0)</f>
        <v>3</v>
      </c>
      <c r="CO19" s="219">
        <f>IF(Таблица1[[#This Row],[ПДАсВ Итог Копия]]=Таблица1[[#This Row],[Train]],1,0)</f>
        <v>0</v>
      </c>
      <c r="CP19" s="219">
        <f>IF(Таблица1[[#This Row],[ПДАсВ Итог Копия]]=Таблица1[[#This Row],[К-средних]],1,0)</f>
        <v>1</v>
      </c>
      <c r="CQ19" s="234" t="s">
        <v>2586</v>
      </c>
      <c r="CR19" s="234" t="s">
        <v>2587</v>
      </c>
      <c r="CS19" s="234" t="s">
        <v>2589</v>
      </c>
      <c r="CT19" s="234" t="s">
        <v>2588</v>
      </c>
      <c r="CU19" s="234" t="s">
        <v>2590</v>
      </c>
      <c r="CV19" s="234" t="s">
        <v>2591</v>
      </c>
      <c r="CW19" s="234" t="s">
        <v>2592</v>
      </c>
      <c r="CX19" s="234" t="str">
        <f>RIGHT(Таблица1[[#This Row],[ПДАсИ 1]],1)</f>
        <v>3</v>
      </c>
      <c r="CY19" s="212">
        <v>3</v>
      </c>
      <c r="CZ19" s="212">
        <f>IF(Таблица1[[#This Row],[ПДАсИ Итог Копия]]=Таблица1[[#This Row],[Train]],1,0)</f>
        <v>0</v>
      </c>
      <c r="DA19" s="212">
        <f>IF(Таблица1[[#This Row],[ПДАсИ Итог Копия]]=Таблица1[[#This Row],[К-средних]],1,0)</f>
        <v>1</v>
      </c>
      <c r="DB19" s="237">
        <v>63.793336272811572</v>
      </c>
      <c r="DC19" s="237">
        <v>40.970735979914707</v>
      </c>
      <c r="DD19" s="237">
        <v>31.292428460031228</v>
      </c>
      <c r="DE19" s="237">
        <v>50.771322915639551</v>
      </c>
      <c r="DF19" s="237">
        <v>99.22195608148138</v>
      </c>
      <c r="DG19" s="237">
        <v>435.0561389100427</v>
      </c>
      <c r="DH19" s="237">
        <v>334.1238333443643</v>
      </c>
      <c r="DI19" s="224">
        <f>MATCH(MIN(Таблица1[[#This Row],[ПДАсИ Мах 1]:[ПДАсИ Мах 7]]),Таблица1[[#This Row],[ПДАсИ Мах 1]:[ПДАсИ Мах 7]],0)</f>
        <v>3</v>
      </c>
      <c r="DJ19" s="212">
        <f>IF(Таблица1[[#This Row],[ПДАсИ Мах Итог]]=Таблица1[[#This Row],[Train]],1,0)</f>
        <v>0</v>
      </c>
      <c r="DK19" s="212">
        <f>IF(Таблица1[[#This Row],[ПДАсИ Мах Итог]]=Таблица1[[#This Row],[К-средних]],1,0)</f>
        <v>1</v>
      </c>
      <c r="DL19" s="238">
        <v>5.2230337498511001E-8</v>
      </c>
      <c r="DM19" s="238">
        <v>6.2910951492662851E-3</v>
      </c>
      <c r="DN19" s="238">
        <v>0.99369714426626665</v>
      </c>
      <c r="DO19" s="238">
        <v>1.1708354129135504E-5</v>
      </c>
      <c r="DP19" s="238">
        <v>3.5283733668736141E-16</v>
      </c>
      <c r="DQ19" s="238">
        <v>0</v>
      </c>
      <c r="DR19" s="238">
        <v>0</v>
      </c>
      <c r="DS19" s="224">
        <f>MATCH(MAX(Таблица1[[#This Row],[ПДАсИ Ап 1]:[ПДАсИ Ап 7]]),Таблица1[[#This Row],[ПДАсИ Ап 1]:[ПДАсИ Ап 7]],0)</f>
        <v>3</v>
      </c>
      <c r="DT19" s="212">
        <f>IF(Таблица1[[#This Row],[ПДАсИ Ап Итог]]=Таблица1[[#This Row],[Train]],1,0)</f>
        <v>0</v>
      </c>
      <c r="DU19" s="212">
        <f>IF(Таблица1[[#This Row],[ПДАсИ Ап Итог]]=Таблица1[[#This Row],[К-средних]],1,0)</f>
        <v>1</v>
      </c>
    </row>
    <row r="20" spans="1:125" ht="13.8">
      <c r="A20" s="205" t="s">
        <v>288</v>
      </c>
      <c r="B20" s="319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320">
        <v>0.90466284587545942</v>
      </c>
      <c r="K20" s="324">
        <v>-1.4449780679126303</v>
      </c>
      <c r="L20" s="325">
        <v>9.2604128562096821E-2</v>
      </c>
      <c r="M20" s="328">
        <v>-1.3952007596711113</v>
      </c>
      <c r="N20" s="310">
        <v>-0.13050851953146525</v>
      </c>
      <c r="O20" s="329">
        <v>-1.4104524085576096</v>
      </c>
      <c r="P20" s="206">
        <v>6</v>
      </c>
      <c r="Q20" s="207">
        <v>5</v>
      </c>
      <c r="R20" s="206">
        <v>6</v>
      </c>
      <c r="S20" s="208">
        <v>5</v>
      </c>
      <c r="T20" s="271">
        <v>4</v>
      </c>
      <c r="U20" s="271">
        <v>5</v>
      </c>
      <c r="V20" s="272">
        <v>1</v>
      </c>
      <c r="W20" s="272">
        <v>4</v>
      </c>
      <c r="X20" s="312">
        <v>5</v>
      </c>
      <c r="Y20" s="313">
        <v>5</v>
      </c>
      <c r="Z20" s="271">
        <v>3</v>
      </c>
      <c r="AA20" s="314">
        <v>6</v>
      </c>
      <c r="AB20" s="314">
        <v>5</v>
      </c>
      <c r="AC20" s="314">
        <f>IF(Таблица1[[#This Row],[Train]]=Таблица1[[#This Row],[НС]],1,0)</f>
        <v>1</v>
      </c>
      <c r="AD20" s="314">
        <f>IF(Таблица1[[#This Row],[НС]]=Таблица1[[#This Row],[К-средних]],1,0)</f>
        <v>1</v>
      </c>
      <c r="AE20" s="208">
        <v>5</v>
      </c>
      <c r="AF20" s="209">
        <f>SUMXMY2(Таблица1[[#This Row],[X1]:[X9]],Таблица1[[#Totals],[X1]:[X9]])</f>
        <v>13.236477108135198</v>
      </c>
      <c r="AG20" s="239" t="s">
        <v>2590</v>
      </c>
      <c r="AH20" s="239" t="s">
        <v>2588</v>
      </c>
      <c r="AI20" s="239" t="s">
        <v>2587</v>
      </c>
      <c r="AJ20" s="239" t="s">
        <v>2586</v>
      </c>
      <c r="AK20" s="239" t="s">
        <v>2589</v>
      </c>
      <c r="AL20" s="239" t="s">
        <v>2591</v>
      </c>
      <c r="AM20" s="239" t="s">
        <v>2592</v>
      </c>
      <c r="AN20" s="239" t="str">
        <f>RIGHT(Таблица1[[#This Row],[ДА1]],1)</f>
        <v>5</v>
      </c>
      <c r="AO20" s="214">
        <v>5</v>
      </c>
      <c r="AP20" s="213">
        <f>IF(Таблица1[[#This Row],[ДА Итог Копия]]=Таблица1[[#This Row],[Train]],1,0)</f>
        <v>1</v>
      </c>
      <c r="AQ20" s="213">
        <f>IF(Таблица1[[#This Row],[ДА Итог Копия]]=Таблица1[[#This Row],[К-средних]],1,0)</f>
        <v>1</v>
      </c>
      <c r="AR20" s="216">
        <v>106.43794688305725</v>
      </c>
      <c r="AS20" s="216">
        <v>112.41803277788244</v>
      </c>
      <c r="AT20" s="216">
        <v>117.83714531284835</v>
      </c>
      <c r="AU20" s="216">
        <v>123.17568352119612</v>
      </c>
      <c r="AV20" s="216">
        <v>5.077672588320282</v>
      </c>
      <c r="AW20" s="216">
        <v>554.50495561543926</v>
      </c>
      <c r="AX20" s="217">
        <v>609.78977044204544</v>
      </c>
      <c r="AY20" s="218">
        <f>MATCH(MIN(Таблица1[[#This Row],[1 ДА Мах]:[7_ДА_Мах]]),Таблица1[[#This Row],[1 ДА Мах]:[7_ДА_Мах]],0)</f>
        <v>5</v>
      </c>
      <c r="AZ20" s="219">
        <f>IF(Таблица1[[#This Row],[ДА_Мах_Итог]]=Таблица1[[#This Row],[Train]],1,0)</f>
        <v>1</v>
      </c>
      <c r="BA20" s="219">
        <f>IF(Таблица1[[#This Row],[ДА_Мах_Итог]]=Таблица1[[#This Row],[К-средних]],1,0)</f>
        <v>1</v>
      </c>
      <c r="BB20" s="220">
        <v>2.9310103330824895E-22</v>
      </c>
      <c r="BC20" s="220">
        <v>1.9651555553222387E-23</v>
      </c>
      <c r="BD20" s="220">
        <v>1.6351651068393554E-24</v>
      </c>
      <c r="BE20" s="220">
        <v>2.2664323686683344E-26</v>
      </c>
      <c r="BF20" s="220">
        <v>1</v>
      </c>
      <c r="BG20" s="220">
        <v>0</v>
      </c>
      <c r="BH20" s="220">
        <v>0</v>
      </c>
      <c r="BI20" s="218">
        <f>MATCH(MAX(Таблица1[[#This Row],[1_ДА_Ап]:[7_ДА_Ап]]),Таблица1[[#This Row],[1_ДА_Ап]:[7_ДА_Ап]],0)</f>
        <v>5</v>
      </c>
      <c r="BJ20" s="219">
        <f>IF(Таблица1[[#This Row],[ДА_Ап_Итог]]=Таблица1[[#This Row],[Train]],1,0)</f>
        <v>1</v>
      </c>
      <c r="BK20" s="219">
        <f>IF(Таблица1[[#This Row],[ДА_Ап_Итог]]=Таблица1[[#This Row],[К-средних]],1,0)</f>
        <v>1</v>
      </c>
      <c r="BL20" s="234" t="s">
        <v>2590</v>
      </c>
      <c r="BM20" s="234" t="s">
        <v>2589</v>
      </c>
      <c r="BN20" s="234" t="s">
        <v>2586</v>
      </c>
      <c r="BO20" s="234" t="s">
        <v>2587</v>
      </c>
      <c r="BP20" s="234" t="s">
        <v>2588</v>
      </c>
      <c r="BQ20" s="234" t="s">
        <v>2591</v>
      </c>
      <c r="BR20" s="234" t="s">
        <v>2592</v>
      </c>
      <c r="BS20" s="234" t="str">
        <f>RIGHT(Таблица1[[#This Row],[ПДАсВ 1]],1)</f>
        <v>5</v>
      </c>
      <c r="BT20" s="227">
        <v>5</v>
      </c>
      <c r="BU20" s="212">
        <f>IF(Таблица1[[#This Row],[ПДАсВ Итог Копия]]=Таблица1[[#This Row],[Train]],1,0)</f>
        <v>1</v>
      </c>
      <c r="BV20" s="212">
        <f>IF(Таблица1[[#This Row],[ПДАсВ Итог Копия]]=Таблица1[[#This Row],[К-средних]],1,0)</f>
        <v>1</v>
      </c>
      <c r="BW20" s="235">
        <v>74.06128153453939</v>
      </c>
      <c r="BX20" s="235">
        <v>65.028086945816028</v>
      </c>
      <c r="BY20" s="235">
        <v>59.48481768949253</v>
      </c>
      <c r="BZ20" s="235">
        <v>42.650694637890162</v>
      </c>
      <c r="CA20" s="235">
        <v>2.3863183172735423</v>
      </c>
      <c r="CB20" s="235">
        <v>528.19252034693727</v>
      </c>
      <c r="CC20" s="235">
        <v>374.89436387164011</v>
      </c>
      <c r="CD20" s="218">
        <f>MATCH(MIN(Таблица1[[#This Row],[1 ДА Мах]:[7_ДА_Мах]]),Таблица1[[#This Row],[1 ДА Мах]:[7_ДА_Мах]],0)</f>
        <v>5</v>
      </c>
      <c r="CE20" s="219">
        <f>IF(Таблица1[[#This Row],[ДА_Мах_Итог]]=Таблица1[[#This Row],[Train]],1,0)</f>
        <v>1</v>
      </c>
      <c r="CF20" s="219">
        <f>IF(Таблица1[[#This Row],[ДА_Мах_Итог]]=Таблица1[[#This Row],[К-средних]],1,0)</f>
        <v>1</v>
      </c>
      <c r="CG20" s="236">
        <v>8.1865467453307278E-16</v>
      </c>
      <c r="CH20" s="236">
        <v>9.9901673768271122E-14</v>
      </c>
      <c r="CI20" s="236">
        <v>1.9961280725701679E-12</v>
      </c>
      <c r="CJ20" s="236">
        <v>1.8059335762440564E-9</v>
      </c>
      <c r="CK20" s="236">
        <v>0.99999999819196961</v>
      </c>
      <c r="CL20" s="236">
        <v>0</v>
      </c>
      <c r="CM20" s="236">
        <v>0</v>
      </c>
      <c r="CN20" s="218">
        <f>MATCH(MAX(Таблица1[[#This Row],[1_ДА_Ап]:[7_ДА_Ап]]),Таблица1[[#This Row],[1_ДА_Ап]:[7_ДА_Ап]],0)</f>
        <v>5</v>
      </c>
      <c r="CO20" s="219">
        <f>IF(Таблица1[[#This Row],[ПДАсВ Итог Копия]]=Таблица1[[#This Row],[Train]],1,0)</f>
        <v>1</v>
      </c>
      <c r="CP20" s="219">
        <f>IF(Таблица1[[#This Row],[ПДАсВ Итог Копия]]=Таблица1[[#This Row],[К-средних]],1,0)</f>
        <v>1</v>
      </c>
      <c r="CQ20" s="234" t="s">
        <v>2590</v>
      </c>
      <c r="CR20" s="234" t="s">
        <v>2586</v>
      </c>
      <c r="CS20" s="234" t="s">
        <v>2588</v>
      </c>
      <c r="CT20" s="234" t="s">
        <v>2587</v>
      </c>
      <c r="CU20" s="234" t="s">
        <v>2589</v>
      </c>
      <c r="CV20" s="234" t="s">
        <v>2591</v>
      </c>
      <c r="CW20" s="234" t="s">
        <v>2592</v>
      </c>
      <c r="CX20" s="234" t="str">
        <f>RIGHT(Таблица1[[#This Row],[ПДАсИ 1]],1)</f>
        <v>5</v>
      </c>
      <c r="CY20" s="212">
        <v>5</v>
      </c>
      <c r="CZ20" s="212">
        <f>IF(Таблица1[[#This Row],[ПДАсИ Итог Копия]]=Таблица1[[#This Row],[Train]],1,0)</f>
        <v>1</v>
      </c>
      <c r="DA20" s="212">
        <f>IF(Таблица1[[#This Row],[ПДАсИ Итог Копия]]=Таблица1[[#This Row],[К-средних]],1,0)</f>
        <v>1</v>
      </c>
      <c r="DB20" s="237">
        <v>84.197870137983401</v>
      </c>
      <c r="DC20" s="237">
        <v>87.012301523473937</v>
      </c>
      <c r="DD20" s="237">
        <v>82.555460526795358</v>
      </c>
      <c r="DE20" s="237">
        <v>88.651817228512257</v>
      </c>
      <c r="DF20" s="237">
        <v>2.908130405973858</v>
      </c>
      <c r="DG20" s="237">
        <v>439.16363122425685</v>
      </c>
      <c r="DH20" s="237">
        <v>587.51601523601892</v>
      </c>
      <c r="DI20" s="224">
        <f>MATCH(MIN(Таблица1[[#This Row],[ПДАсИ Мах 1]:[ПДАсИ Мах 7]]),Таблица1[[#This Row],[ПДАсИ Мах 1]:[ПДАсИ Мах 7]],0)</f>
        <v>5</v>
      </c>
      <c r="DJ20" s="212">
        <f>IF(Таблица1[[#This Row],[ПДАсИ Мах Итог]]=Таблица1[[#This Row],[Train]],1,0)</f>
        <v>1</v>
      </c>
      <c r="DK20" s="212">
        <f>IF(Таблица1[[#This Row],[ПДАсИ Мах Итог]]=Таблица1[[#This Row],[К-средних]],1,0)</f>
        <v>1</v>
      </c>
      <c r="DL20" s="238">
        <v>6.6877272740957421E-18</v>
      </c>
      <c r="DM20" s="238">
        <v>2.183088192132312E-18</v>
      </c>
      <c r="DN20" s="238">
        <v>2.5337981775303289E-17</v>
      </c>
      <c r="DO20" s="238">
        <v>2.4043349941614076E-19</v>
      </c>
      <c r="DP20" s="238">
        <v>1</v>
      </c>
      <c r="DQ20" s="238">
        <v>0</v>
      </c>
      <c r="DR20" s="238">
        <v>0</v>
      </c>
      <c r="DS20" s="224">
        <f>MATCH(MAX(Таблица1[[#This Row],[ПДАсИ Ап 1]:[ПДАсИ Ап 7]]),Таблица1[[#This Row],[ПДАсИ Ап 1]:[ПДАсИ Ап 7]],0)</f>
        <v>5</v>
      </c>
      <c r="DT20" s="212">
        <f>IF(Таблица1[[#This Row],[ПДАсИ Ап Итог]]=Таблица1[[#This Row],[Train]],1,0)</f>
        <v>1</v>
      </c>
      <c r="DU20" s="212">
        <f>IF(Таблица1[[#This Row],[ПДАсИ Ап Итог]]=Таблица1[[#This Row],[К-средних]],1,0)</f>
        <v>1</v>
      </c>
    </row>
    <row r="21" spans="1:125" ht="13.8">
      <c r="A21" s="205" t="s">
        <v>289</v>
      </c>
      <c r="B21" s="319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320">
        <v>-0.37619858772620207</v>
      </c>
      <c r="K21" s="324">
        <v>1.729940374128673</v>
      </c>
      <c r="L21" s="325">
        <v>-0.49850143467973385</v>
      </c>
      <c r="M21" s="328">
        <v>1.3457201179637039</v>
      </c>
      <c r="N21" s="310">
        <v>0.49576540847560024</v>
      </c>
      <c r="O21" s="329">
        <v>0.74649414699022709</v>
      </c>
      <c r="P21" s="206">
        <v>5</v>
      </c>
      <c r="Q21" s="207">
        <v>3</v>
      </c>
      <c r="R21" s="206">
        <v>7</v>
      </c>
      <c r="S21" s="208">
        <v>1</v>
      </c>
      <c r="T21" s="271">
        <v>1</v>
      </c>
      <c r="U21" s="271">
        <v>3</v>
      </c>
      <c r="V21" s="272">
        <v>7</v>
      </c>
      <c r="W21" s="272">
        <v>7</v>
      </c>
      <c r="X21" s="312">
        <v>1</v>
      </c>
      <c r="Y21" s="313">
        <v>3</v>
      </c>
      <c r="Z21" s="271">
        <v>2</v>
      </c>
      <c r="AA21" s="314">
        <v>5</v>
      </c>
      <c r="AB21" s="343">
        <v>3</v>
      </c>
      <c r="AC21" s="343">
        <f>IF(Таблица1[[#This Row],[Train]]=Таблица1[[#This Row],[НС]],1,0)</f>
        <v>0</v>
      </c>
      <c r="AD21" s="343">
        <f>IF(Таблица1[[#This Row],[НС]]=Таблица1[[#This Row],[К-средних]],1,0)</f>
        <v>0</v>
      </c>
      <c r="AE21" s="208"/>
      <c r="AF21" s="209">
        <f>SUMXMY2(Таблица1[[#This Row],[X1]:[X9]],Таблица1[[#Totals],[X1]:[X9]])</f>
        <v>15.358521955944628</v>
      </c>
      <c r="AG21" s="239" t="s">
        <v>2588</v>
      </c>
      <c r="AH21" s="239" t="s">
        <v>2586</v>
      </c>
      <c r="AI21" s="239" t="s">
        <v>2589</v>
      </c>
      <c r="AJ21" s="239" t="s">
        <v>2587</v>
      </c>
      <c r="AK21" s="239" t="s">
        <v>2592</v>
      </c>
      <c r="AL21" s="239" t="s">
        <v>2590</v>
      </c>
      <c r="AM21" s="239" t="s">
        <v>2591</v>
      </c>
      <c r="AN21" s="239" t="str">
        <f>RIGHT(Таблица1[[#This Row],[ДА1]],1)</f>
        <v>1</v>
      </c>
      <c r="AO21" s="214">
        <v>1</v>
      </c>
      <c r="AP21" s="213">
        <f>IF(Таблица1[[#This Row],[ДА Итог Копия]]=Таблица1[[#This Row],[Train]],1,0)</f>
        <v>0</v>
      </c>
      <c r="AQ21" s="213">
        <f>IF(Таблица1[[#This Row],[ДА Итог Копия]]=Таблица1[[#This Row],[К-средних]],1,0)</f>
        <v>1</v>
      </c>
      <c r="AR21" s="216">
        <v>104.785478914617</v>
      </c>
      <c r="AS21" s="216">
        <v>130.53172652358049</v>
      </c>
      <c r="AT21" s="216">
        <v>108.95327915966935</v>
      </c>
      <c r="AU21" s="216">
        <v>106.95106812320918</v>
      </c>
      <c r="AV21" s="216">
        <v>248.5165475414108</v>
      </c>
      <c r="AW21" s="216">
        <v>780.16107137089216</v>
      </c>
      <c r="AX21" s="217">
        <v>168.87309748419003</v>
      </c>
      <c r="AY21" s="218">
        <f>MATCH(MIN(Таблица1[[#This Row],[1 ДА Мах]:[7_ДА_Мах]]),Таблица1[[#This Row],[1 ДА Мах]:[7_ДА_Мах]],0)</f>
        <v>1</v>
      </c>
      <c r="AZ21" s="219">
        <f>IF(Таблица1[[#This Row],[ДА_Мах_Итог]]=Таблица1[[#This Row],[Train]],1,0)</f>
        <v>0</v>
      </c>
      <c r="BA21" s="219">
        <f>IF(Таблица1[[#This Row],[ДА_Мах_Итог]]=Таблица1[[#This Row],[К-средних]],1,0)</f>
        <v>1</v>
      </c>
      <c r="BB21" s="220">
        <v>0.75740789041553813</v>
      </c>
      <c r="BC21" s="220">
        <v>2.59144459816647E-6</v>
      </c>
      <c r="BD21" s="220">
        <v>0.15709134232514896</v>
      </c>
      <c r="BE21" s="220">
        <v>8.5498175814711724E-2</v>
      </c>
      <c r="BF21" s="220">
        <v>1.5538302751665441E-32</v>
      </c>
      <c r="BG21" s="220">
        <v>0</v>
      </c>
      <c r="BH21" s="220">
        <v>3.0602648841107838E-15</v>
      </c>
      <c r="BI21" s="218">
        <f>MATCH(MAX(Таблица1[[#This Row],[1_ДА_Ап]:[7_ДА_Ап]]),Таблица1[[#This Row],[1_ДА_Ап]:[7_ДА_Ап]],0)</f>
        <v>1</v>
      </c>
      <c r="BJ21" s="219">
        <f>IF(Таблица1[[#This Row],[ДА_Ап_Итог]]=Таблица1[[#This Row],[Train]],1,0)</f>
        <v>0</v>
      </c>
      <c r="BK21" s="219">
        <f>IF(Таблица1[[#This Row],[ДА_Ап_Итог]]=Таблица1[[#This Row],[К-средних]],1,0)</f>
        <v>1</v>
      </c>
      <c r="BL21" s="234" t="s">
        <v>2588</v>
      </c>
      <c r="BM21" s="234" t="s">
        <v>2589</v>
      </c>
      <c r="BN21" s="234" t="s">
        <v>2586</v>
      </c>
      <c r="BO21" s="234" t="s">
        <v>2587</v>
      </c>
      <c r="BP21" s="234" t="s">
        <v>2592</v>
      </c>
      <c r="BQ21" s="234" t="s">
        <v>2590</v>
      </c>
      <c r="BR21" s="234" t="s">
        <v>2591</v>
      </c>
      <c r="BS21" s="234" t="str">
        <f>RIGHT(Таблица1[[#This Row],[ПДАсВ 1]],1)</f>
        <v>1</v>
      </c>
      <c r="BT21" s="227">
        <v>1</v>
      </c>
      <c r="BU21" s="212">
        <f>IF(Таблица1[[#This Row],[ПДАсВ Итог Копия]]=Таблица1[[#This Row],[Train]],1,0)</f>
        <v>0</v>
      </c>
      <c r="BV21" s="212">
        <f>IF(Таблица1[[#This Row],[ПДАсВ Итог Копия]]=Таблица1[[#This Row],[К-средних]],1,0)</f>
        <v>1</v>
      </c>
      <c r="BW21" s="235">
        <v>70.367160940660412</v>
      </c>
      <c r="BX21" s="235">
        <v>101.75175874056829</v>
      </c>
      <c r="BY21" s="235">
        <v>90.749523081394983</v>
      </c>
      <c r="BZ21" s="235">
        <v>87.47464195843915</v>
      </c>
      <c r="CA21" s="235">
        <v>144.56105020223379</v>
      </c>
      <c r="CB21" s="235">
        <v>704.13320029261604</v>
      </c>
      <c r="CC21" s="235">
        <v>140.33116337323662</v>
      </c>
      <c r="CD21" s="218">
        <f>MATCH(MIN(Таблица1[[#This Row],[1 ДА Мах]:[7_ДА_Мах]]),Таблица1[[#This Row],[1 ДА Мах]:[7_ДА_Мах]],0)</f>
        <v>1</v>
      </c>
      <c r="CE21" s="219">
        <f>IF(Таблица1[[#This Row],[ДА_Мах_Итог]]=Таблица1[[#This Row],[Train]],1,0)</f>
        <v>0</v>
      </c>
      <c r="CF21" s="219">
        <f>IF(Таблица1[[#This Row],[ДА_Мах_Итог]]=Таблица1[[#This Row],[К-средних]],1,0)</f>
        <v>1</v>
      </c>
      <c r="CG21" s="236">
        <v>0.99987303856374055</v>
      </c>
      <c r="CH21" s="236">
        <v>2.04082033894711E-7</v>
      </c>
      <c r="CI21" s="236">
        <v>6.2491349668935959E-5</v>
      </c>
      <c r="CJ21" s="236">
        <v>6.4266004556440455E-5</v>
      </c>
      <c r="CK21" s="236">
        <v>2.5812213849895758E-17</v>
      </c>
      <c r="CL21" s="236">
        <v>0</v>
      </c>
      <c r="CM21" s="236">
        <v>2.1396045312004977E-16</v>
      </c>
      <c r="CN21" s="218">
        <f>MATCH(MAX(Таблица1[[#This Row],[1_ДА_Ап]:[7_ДА_Ап]]),Таблица1[[#This Row],[1_ДА_Ап]:[7_ДА_Ап]],0)</f>
        <v>1</v>
      </c>
      <c r="CO21" s="219">
        <f>IF(Таблица1[[#This Row],[ПДАсВ Итог Копия]]=Таблица1[[#This Row],[Train]],1,0)</f>
        <v>0</v>
      </c>
      <c r="CP21" s="219">
        <f>IF(Таблица1[[#This Row],[ПДАсВ Итог Копия]]=Таблица1[[#This Row],[К-средних]],1,0)</f>
        <v>1</v>
      </c>
      <c r="CQ21" s="234" t="s">
        <v>2589</v>
      </c>
      <c r="CR21" s="234" t="s">
        <v>2588</v>
      </c>
      <c r="CS21" s="234" t="s">
        <v>2586</v>
      </c>
      <c r="CT21" s="234" t="s">
        <v>2587</v>
      </c>
      <c r="CU21" s="234" t="s">
        <v>2592</v>
      </c>
      <c r="CV21" s="234" t="s">
        <v>2590</v>
      </c>
      <c r="CW21" s="234" t="s">
        <v>2591</v>
      </c>
      <c r="CX21" s="234" t="str">
        <f>RIGHT(Таблица1[[#This Row],[ПДАсИ 1]],1)</f>
        <v>4</v>
      </c>
      <c r="CY21" s="212">
        <v>4</v>
      </c>
      <c r="CZ21" s="212">
        <f>IF(Таблица1[[#This Row],[ПДАсИ Итог Копия]]=Таблица1[[#This Row],[Train]],1,0)</f>
        <v>0</v>
      </c>
      <c r="DA21" s="212">
        <f>IF(Таблица1[[#This Row],[ПДАсИ Итог Копия]]=Таблица1[[#This Row],[К-средних]],1,0)</f>
        <v>0</v>
      </c>
      <c r="DB21" s="237">
        <v>101.02857713076996</v>
      </c>
      <c r="DC21" s="237">
        <v>126.96078954672456</v>
      </c>
      <c r="DD21" s="237">
        <v>107.4900413767873</v>
      </c>
      <c r="DE21" s="237">
        <v>90.490993086890924</v>
      </c>
      <c r="DF21" s="237">
        <v>228.53475272667137</v>
      </c>
      <c r="DG21" s="237">
        <v>618.70611425246159</v>
      </c>
      <c r="DH21" s="237">
        <v>151.70518070941904</v>
      </c>
      <c r="DI21" s="224">
        <f>MATCH(MIN(Таблица1[[#This Row],[ПДАсИ Мах 1]:[ПДАсИ Мах 7]]),Таблица1[[#This Row],[ПДАсИ Мах 1]:[ПДАсИ Мах 7]],0)</f>
        <v>4</v>
      </c>
      <c r="DJ21" s="212">
        <f>IF(Таблица1[[#This Row],[ПДАсИ Мах Итог]]=Таблица1[[#This Row],[Train]],1,0)</f>
        <v>0</v>
      </c>
      <c r="DK21" s="212">
        <f>IF(Таблица1[[#This Row],[ПДАсИ Мах Итог]]=Таблица1[[#This Row],[К-средних]],1,0)</f>
        <v>0</v>
      </c>
      <c r="DL21" s="238">
        <v>1.519919255343097E-2</v>
      </c>
      <c r="DM21" s="238">
        <v>4.7386090079492799E-8</v>
      </c>
      <c r="DN21" s="238">
        <v>1.0013366982995979E-3</v>
      </c>
      <c r="DO21" s="238">
        <v>0.98379942336212911</v>
      </c>
      <c r="DP21" s="238">
        <v>1.0401237840305128E-30</v>
      </c>
      <c r="DQ21" s="238">
        <v>0</v>
      </c>
      <c r="DR21" s="238">
        <v>5.0166593793190266E-14</v>
      </c>
      <c r="DS21" s="224">
        <f>MATCH(MAX(Таблица1[[#This Row],[ПДАсИ Ап 1]:[ПДАсИ Ап 7]]),Таблица1[[#This Row],[ПДАсИ Ап 1]:[ПДАсИ Ап 7]],0)</f>
        <v>4</v>
      </c>
      <c r="DT21" s="212">
        <f>IF(Таблица1[[#This Row],[ПДАсИ Ап Итог]]=Таблица1[[#This Row],[Train]],1,0)</f>
        <v>0</v>
      </c>
      <c r="DU21" s="212">
        <f>IF(Таблица1[[#This Row],[ПДАсИ Ап Итог]]=Таблица1[[#This Row],[К-средних]],1,0)</f>
        <v>0</v>
      </c>
    </row>
    <row r="22" spans="1:125" ht="13.8">
      <c r="A22" s="205" t="s">
        <v>290</v>
      </c>
      <c r="B22" s="319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320">
        <v>-8.0380589965818164E-2</v>
      </c>
      <c r="K22" s="324">
        <v>5.4112778576927596E-2</v>
      </c>
      <c r="L22" s="325">
        <v>0.54066044290843662</v>
      </c>
      <c r="M22" s="328">
        <v>9.7175482193731372E-2</v>
      </c>
      <c r="N22" s="310">
        <v>-0.54360148958037136</v>
      </c>
      <c r="O22" s="329">
        <v>0.14129008778141675</v>
      </c>
      <c r="P22" s="206">
        <v>5</v>
      </c>
      <c r="Q22" s="207">
        <v>5</v>
      </c>
      <c r="R22" s="206">
        <v>7</v>
      </c>
      <c r="S22" s="208">
        <v>3</v>
      </c>
      <c r="T22" s="271">
        <v>6</v>
      </c>
      <c r="U22" s="271">
        <v>7</v>
      </c>
      <c r="V22" s="272">
        <v>2</v>
      </c>
      <c r="W22" s="272">
        <v>6</v>
      </c>
      <c r="X22" s="312">
        <v>6</v>
      </c>
      <c r="Y22" s="313">
        <v>2</v>
      </c>
      <c r="Z22" s="271">
        <v>6</v>
      </c>
      <c r="AA22" s="314">
        <v>3</v>
      </c>
      <c r="AB22" s="314">
        <v>3</v>
      </c>
      <c r="AC22" s="314">
        <f>IF(Таблица1[[#This Row],[Train]]=Таблица1[[#This Row],[НС]],1,0)</f>
        <v>1</v>
      </c>
      <c r="AD22" s="314">
        <f>IF(Таблица1[[#This Row],[НС]]=Таблица1[[#This Row],[К-средних]],1,0)</f>
        <v>1</v>
      </c>
      <c r="AE22" s="208">
        <v>3</v>
      </c>
      <c r="AF22" s="209">
        <f>SUMXMY2(Таблица1[[#This Row],[X1]:[X9]],Таблица1[[#Totals],[X1]:[X9]])</f>
        <v>1.3157414404492302</v>
      </c>
      <c r="AG22" s="239" t="s">
        <v>2586</v>
      </c>
      <c r="AH22" s="239" t="s">
        <v>2587</v>
      </c>
      <c r="AI22" s="239" t="s">
        <v>2588</v>
      </c>
      <c r="AJ22" s="239" t="s">
        <v>2589</v>
      </c>
      <c r="AK22" s="239" t="s">
        <v>2590</v>
      </c>
      <c r="AL22" s="239" t="s">
        <v>2591</v>
      </c>
      <c r="AM22" s="239" t="s">
        <v>2592</v>
      </c>
      <c r="AN22" s="239" t="str">
        <f>RIGHT(Таблица1[[#This Row],[ДА1]],1)</f>
        <v>3</v>
      </c>
      <c r="AO22" s="214">
        <v>3</v>
      </c>
      <c r="AP22" s="213">
        <f>IF(Таблица1[[#This Row],[ДА Итог Копия]]=Таблица1[[#This Row],[Train]],1,0)</f>
        <v>1</v>
      </c>
      <c r="AQ22" s="213">
        <f>IF(Таблица1[[#This Row],[ДА Итог Копия]]=Таблица1[[#This Row],[К-средних]],1,0)</f>
        <v>1</v>
      </c>
      <c r="AR22" s="216">
        <v>14.785788478152744</v>
      </c>
      <c r="AS22" s="216">
        <v>8.0833166421578735</v>
      </c>
      <c r="AT22" s="216">
        <v>7.9239896466916191</v>
      </c>
      <c r="AU22" s="216">
        <v>72.008840146493085</v>
      </c>
      <c r="AV22" s="216">
        <v>88.653470215342921</v>
      </c>
      <c r="AW22" s="216">
        <v>686.6449692853231</v>
      </c>
      <c r="AX22" s="217">
        <v>332.4367542016754</v>
      </c>
      <c r="AY22" s="218">
        <f>MATCH(MIN(Таблица1[[#This Row],[1 ДА Мах]:[7_ДА_Мах]]),Таблица1[[#This Row],[1 ДА Мах]:[7_ДА_Мах]],0)</f>
        <v>3</v>
      </c>
      <c r="AZ22" s="219">
        <f>IF(Таблица1[[#This Row],[ДА_Мах_Итог]]=Таблица1[[#This Row],[Train]],1,0)</f>
        <v>1</v>
      </c>
      <c r="BA22" s="219">
        <f>IF(Таблица1[[#This Row],[ДА_Мах_Итог]]=Таблица1[[#This Row],[К-средних]],1,0)</f>
        <v>1</v>
      </c>
      <c r="BB22" s="220">
        <v>1.1042644232092917E-2</v>
      </c>
      <c r="BC22" s="220">
        <v>0.42017971658884151</v>
      </c>
      <c r="BD22" s="220">
        <v>0.5687776391790641</v>
      </c>
      <c r="BE22" s="220">
        <v>1.3807785669605315E-15</v>
      </c>
      <c r="BF22" s="220">
        <v>3.3557418260827055E-19</v>
      </c>
      <c r="BG22" s="220">
        <v>0</v>
      </c>
      <c r="BH22" s="220">
        <v>0</v>
      </c>
      <c r="BI22" s="218">
        <f>MATCH(MAX(Таблица1[[#This Row],[1_ДА_Ап]:[7_ДА_Ап]]),Таблица1[[#This Row],[1_ДА_Ап]:[7_ДА_Ап]],0)</f>
        <v>3</v>
      </c>
      <c r="BJ22" s="219">
        <f>IF(Таблица1[[#This Row],[ДА_Ап_Итог]]=Таблица1[[#This Row],[Train]],1,0)</f>
        <v>1</v>
      </c>
      <c r="BK22" s="219">
        <f>IF(Таблица1[[#This Row],[ДА_Ап_Итог]]=Таблица1[[#This Row],[К-средних]],1,0)</f>
        <v>1</v>
      </c>
      <c r="BL22" s="234" t="s">
        <v>2586</v>
      </c>
      <c r="BM22" s="234" t="s">
        <v>2587</v>
      </c>
      <c r="BN22" s="234" t="s">
        <v>2588</v>
      </c>
      <c r="BO22" s="234" t="s">
        <v>2589</v>
      </c>
      <c r="BP22" s="234" t="s">
        <v>2590</v>
      </c>
      <c r="BQ22" s="234" t="s">
        <v>2591</v>
      </c>
      <c r="BR22" s="234" t="s">
        <v>2592</v>
      </c>
      <c r="BS22" s="234" t="str">
        <f>RIGHT(Таблица1[[#This Row],[ПДАсВ 1]],1)</f>
        <v>3</v>
      </c>
      <c r="BT22" s="227">
        <v>3</v>
      </c>
      <c r="BU22" s="212">
        <f>IF(Таблица1[[#This Row],[ПДАсВ Итог Копия]]=Таблица1[[#This Row],[Train]],1,0)</f>
        <v>1</v>
      </c>
      <c r="BV22" s="212">
        <f>IF(Таблица1[[#This Row],[ПДАсВ Итог Копия]]=Таблица1[[#This Row],[К-средних]],1,0)</f>
        <v>1</v>
      </c>
      <c r="BW22" s="235">
        <v>12.537131426362844</v>
      </c>
      <c r="BX22" s="235">
        <v>5.2520768573213719</v>
      </c>
      <c r="BY22" s="235">
        <v>5.4094256910218546</v>
      </c>
      <c r="BZ22" s="235">
        <v>61.258046484003479</v>
      </c>
      <c r="CA22" s="235">
        <v>61.427330804490374</v>
      </c>
      <c r="CB22" s="235">
        <v>676.51515703028554</v>
      </c>
      <c r="CC22" s="235">
        <v>226.46498303299606</v>
      </c>
      <c r="CD22" s="218">
        <f>MATCH(MIN(Таблица1[[#This Row],[1 ДА Мах]:[7_ДА_Мах]]),Таблица1[[#This Row],[1 ДА Мах]:[7_ДА_Мах]],0)</f>
        <v>3</v>
      </c>
      <c r="CE22" s="219">
        <f>IF(Таблица1[[#This Row],[ДА_Мах_Итог]]=Таблица1[[#This Row],[Train]],1,0)</f>
        <v>1</v>
      </c>
      <c r="CF22" s="219">
        <f>IF(Таблица1[[#This Row],[ДА_Мах_Итог]]=Таблица1[[#This Row],[К-средних]],1,0)</f>
        <v>1</v>
      </c>
      <c r="CG22" s="236">
        <v>9.0294106604542363E-3</v>
      </c>
      <c r="CH22" s="236">
        <v>0.45975624995944669</v>
      </c>
      <c r="CI22" s="236">
        <v>0.53121433937994689</v>
      </c>
      <c r="CJ22" s="236">
        <v>7.9236606800782491E-14</v>
      </c>
      <c r="CK22" s="236">
        <v>7.2805844885803843E-14</v>
      </c>
      <c r="CL22" s="236">
        <v>0</v>
      </c>
      <c r="CM22" s="236">
        <v>0</v>
      </c>
      <c r="CN22" s="218">
        <f>MATCH(MAX(Таблица1[[#This Row],[1_ДА_Ап]:[7_ДА_Ап]]),Таблица1[[#This Row],[1_ДА_Ап]:[7_ДА_Ап]],0)</f>
        <v>3</v>
      </c>
      <c r="CO22" s="219">
        <f>IF(Таблица1[[#This Row],[ПДАсВ Итог Копия]]=Таблица1[[#This Row],[Train]],1,0)</f>
        <v>1</v>
      </c>
      <c r="CP22" s="219">
        <f>IF(Таблица1[[#This Row],[ПДАсВ Итог Копия]]=Таблица1[[#This Row],[К-средних]],1,0)</f>
        <v>1</v>
      </c>
      <c r="CQ22" s="234" t="s">
        <v>2587</v>
      </c>
      <c r="CR22" s="234" t="s">
        <v>2586</v>
      </c>
      <c r="CS22" s="234" t="s">
        <v>2588</v>
      </c>
      <c r="CT22" s="234" t="s">
        <v>2589</v>
      </c>
      <c r="CU22" s="234" t="s">
        <v>2590</v>
      </c>
      <c r="CV22" s="234" t="s">
        <v>2591</v>
      </c>
      <c r="CW22" s="234" t="s">
        <v>2592</v>
      </c>
      <c r="CX22" s="234" t="str">
        <f>RIGHT(Таблица1[[#This Row],[ПДАсИ 1]],1)</f>
        <v>2</v>
      </c>
      <c r="CY22" s="212">
        <v>2</v>
      </c>
      <c r="CZ22" s="212">
        <f>IF(Таблица1[[#This Row],[ПДАсИ Итог Копия]]=Таблица1[[#This Row],[Train]],1,0)</f>
        <v>0</v>
      </c>
      <c r="DA22" s="212">
        <f>IF(Таблица1[[#This Row],[ПДАсИ Итог Копия]]=Таблица1[[#This Row],[К-средних]],1,0)</f>
        <v>0</v>
      </c>
      <c r="DB22" s="237">
        <v>11.698846261906258</v>
      </c>
      <c r="DC22" s="237">
        <v>2.0568021302227479</v>
      </c>
      <c r="DD22" s="237">
        <v>6.9531002468120162</v>
      </c>
      <c r="DE22" s="237">
        <v>41.593887418095434</v>
      </c>
      <c r="DF22" s="237">
        <v>61.007306618150459</v>
      </c>
      <c r="DG22" s="237">
        <v>483.16742216776674</v>
      </c>
      <c r="DH22" s="237">
        <v>305.20526925266921</v>
      </c>
      <c r="DI22" s="224">
        <f>MATCH(MIN(Таблица1[[#This Row],[ПДАсИ Мах 1]:[ПДАсИ Мах 7]]),Таблица1[[#This Row],[ПДАсИ Мах 1]:[ПДАсИ Мах 7]],0)</f>
        <v>2</v>
      </c>
      <c r="DJ22" s="212">
        <f>IF(Таблица1[[#This Row],[ПДАсИ Мах Итог]]=Таблица1[[#This Row],[Train]],1,0)</f>
        <v>0</v>
      </c>
      <c r="DK22" s="212">
        <f>IF(Таблица1[[#This Row],[ПДАсИ Мах Итог]]=Таблица1[[#This Row],[К-средних]],1,0)</f>
        <v>0</v>
      </c>
      <c r="DL22" s="238">
        <v>5.4248736123599945E-3</v>
      </c>
      <c r="DM22" s="238">
        <v>0.89757684708307528</v>
      </c>
      <c r="DN22" s="238">
        <v>9.6998278721563899E-2</v>
      </c>
      <c r="DO22" s="238">
        <v>5.8296524591507963E-10</v>
      </c>
      <c r="DP22" s="238">
        <v>3.5487241979613859E-14</v>
      </c>
      <c r="DQ22" s="238">
        <v>0</v>
      </c>
      <c r="DR22" s="238">
        <v>0</v>
      </c>
      <c r="DS22" s="224">
        <f>MATCH(MAX(Таблица1[[#This Row],[ПДАсИ Ап 1]:[ПДАсИ Ап 7]]),Таблица1[[#This Row],[ПДАсИ Ап 1]:[ПДАсИ Ап 7]],0)</f>
        <v>2</v>
      </c>
      <c r="DT22" s="212">
        <f>IF(Таблица1[[#This Row],[ПДАсИ Ап Итог]]=Таблица1[[#This Row],[Train]],1,0)</f>
        <v>0</v>
      </c>
      <c r="DU22" s="212">
        <f>IF(Таблица1[[#This Row],[ПДАсИ Ап Итог]]=Таблица1[[#This Row],[К-средних]],1,0)</f>
        <v>0</v>
      </c>
    </row>
    <row r="23" spans="1:125" ht="13.8">
      <c r="A23" s="205" t="s">
        <v>291</v>
      </c>
      <c r="B23" s="319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320">
        <v>1.185232493235824</v>
      </c>
      <c r="K23" s="324">
        <v>-0.68467341977940421</v>
      </c>
      <c r="L23" s="325">
        <v>0.96444080885915162</v>
      </c>
      <c r="M23" s="328">
        <v>-0.5165065102805112</v>
      </c>
      <c r="N23" s="310">
        <v>-0.82338897129206801</v>
      </c>
      <c r="O23" s="329">
        <v>-0.24850552001657239</v>
      </c>
      <c r="P23" s="206">
        <v>4</v>
      </c>
      <c r="Q23" s="207">
        <v>5</v>
      </c>
      <c r="R23" s="206">
        <v>4</v>
      </c>
      <c r="S23" s="208">
        <v>2</v>
      </c>
      <c r="T23" s="271">
        <v>3</v>
      </c>
      <c r="U23" s="271">
        <v>7</v>
      </c>
      <c r="V23" s="272">
        <v>3</v>
      </c>
      <c r="W23" s="272">
        <v>6</v>
      </c>
      <c r="X23" s="312">
        <v>6</v>
      </c>
      <c r="Y23" s="313">
        <v>2</v>
      </c>
      <c r="Z23" s="271">
        <v>6</v>
      </c>
      <c r="AA23" s="314">
        <v>3</v>
      </c>
      <c r="AB23" s="314">
        <v>2</v>
      </c>
      <c r="AC23" s="314">
        <f>IF(Таблица1[[#This Row],[Train]]=Таблица1[[#This Row],[НС]],1,0)</f>
        <v>1</v>
      </c>
      <c r="AD23" s="314">
        <f>IF(Таблица1[[#This Row],[НС]]=Таблица1[[#This Row],[К-средних]],1,0)</f>
        <v>1</v>
      </c>
      <c r="AE23" s="208">
        <v>2</v>
      </c>
      <c r="AF23" s="209">
        <f>SUMXMY2(Таблица1[[#This Row],[X1]:[X9]],Таблица1[[#Totals],[X1]:[X9]])</f>
        <v>3.937616215061758</v>
      </c>
      <c r="AG23" s="239" t="s">
        <v>2587</v>
      </c>
      <c r="AH23" s="239" t="s">
        <v>2586</v>
      </c>
      <c r="AI23" s="239" t="s">
        <v>2588</v>
      </c>
      <c r="AJ23" s="239" t="s">
        <v>2589</v>
      </c>
      <c r="AK23" s="239" t="s">
        <v>2590</v>
      </c>
      <c r="AL23" s="239" t="s">
        <v>2591</v>
      </c>
      <c r="AM23" s="239" t="s">
        <v>2592</v>
      </c>
      <c r="AN23" s="239" t="str">
        <f>RIGHT(Таблица1[[#This Row],[ДА1]],1)</f>
        <v>2</v>
      </c>
      <c r="AO23" s="214">
        <v>2</v>
      </c>
      <c r="AP23" s="213">
        <f>IF(Таблица1[[#This Row],[ДА Итог Копия]]=Таблица1[[#This Row],[Train]],1,0)</f>
        <v>1</v>
      </c>
      <c r="AQ23" s="213">
        <f>IF(Таблица1[[#This Row],[ДА Итог Копия]]=Таблица1[[#This Row],[К-средних]],1,0)</f>
        <v>1</v>
      </c>
      <c r="AR23" s="216">
        <v>34.896290646631755</v>
      </c>
      <c r="AS23" s="216">
        <v>4.9157449113058114</v>
      </c>
      <c r="AT23" s="216">
        <v>21.361540087001419</v>
      </c>
      <c r="AU23" s="216">
        <v>72.284349008634734</v>
      </c>
      <c r="AV23" s="216">
        <v>89.916770944431093</v>
      </c>
      <c r="AW23" s="216">
        <v>647.64039672034278</v>
      </c>
      <c r="AX23" s="217">
        <v>369.92753898497273</v>
      </c>
      <c r="AY23" s="218">
        <f>MATCH(MIN(Таблица1[[#This Row],[1 ДА Мах]:[7_ДА_Мах]]),Таблица1[[#This Row],[1 ДА Мах]:[7_ДА_Мах]],0)</f>
        <v>2</v>
      </c>
      <c r="AZ23" s="219">
        <f>IF(Таблица1[[#This Row],[ДА_Мах_Итог]]=Таблица1[[#This Row],[Train]],1,0)</f>
        <v>1</v>
      </c>
      <c r="BA23" s="219">
        <f>IF(Таблица1[[#This Row],[ДА_Мах_Итог]]=Таблица1[[#This Row],[К-средних]],1,0)</f>
        <v>1</v>
      </c>
      <c r="BB23" s="220">
        <v>2.315915306990369E-7</v>
      </c>
      <c r="BC23" s="220">
        <v>0.99966433588933123</v>
      </c>
      <c r="BD23" s="220">
        <v>3.354325191373357E-4</v>
      </c>
      <c r="BE23" s="220">
        <v>5.8733745984727067E-16</v>
      </c>
      <c r="BF23" s="220">
        <v>8.7107575492674291E-20</v>
      </c>
      <c r="BG23" s="220">
        <v>0</v>
      </c>
      <c r="BH23" s="220">
        <v>0</v>
      </c>
      <c r="BI23" s="218">
        <f>MATCH(MAX(Таблица1[[#This Row],[1_ДА_Ап]:[7_ДА_Ап]]),Таблица1[[#This Row],[1_ДА_Ап]:[7_ДА_Ап]],0)</f>
        <v>2</v>
      </c>
      <c r="BJ23" s="219">
        <f>IF(Таблица1[[#This Row],[ДА_Ап_Итог]]=Таблица1[[#This Row],[Train]],1,0)</f>
        <v>1</v>
      </c>
      <c r="BK23" s="219">
        <f>IF(Таблица1[[#This Row],[ДА_Ап_Итог]]=Таблица1[[#This Row],[К-средних]],1,0)</f>
        <v>1</v>
      </c>
      <c r="BL23" s="234" t="s">
        <v>2587</v>
      </c>
      <c r="BM23" s="234" t="s">
        <v>2586</v>
      </c>
      <c r="BN23" s="234" t="s">
        <v>2588</v>
      </c>
      <c r="BO23" s="234" t="s">
        <v>2590</v>
      </c>
      <c r="BP23" s="234" t="s">
        <v>2589</v>
      </c>
      <c r="BQ23" s="234" t="s">
        <v>2591</v>
      </c>
      <c r="BR23" s="234" t="s">
        <v>2592</v>
      </c>
      <c r="BS23" s="234" t="str">
        <f>RIGHT(Таблица1[[#This Row],[ПДАсВ 1]],1)</f>
        <v>2</v>
      </c>
      <c r="BT23" s="227">
        <v>2</v>
      </c>
      <c r="BU23" s="212">
        <f>IF(Таблица1[[#This Row],[ПДАсВ Итог Копия]]=Таблица1[[#This Row],[Train]],1,0)</f>
        <v>1</v>
      </c>
      <c r="BV23" s="212">
        <f>IF(Таблица1[[#This Row],[ПДАсВ Итог Копия]]=Таблица1[[#This Row],[К-средних]],1,0)</f>
        <v>1</v>
      </c>
      <c r="BW23" s="235">
        <v>21.595703939832628</v>
      </c>
      <c r="BX23" s="235">
        <v>1.6637274848690242</v>
      </c>
      <c r="BY23" s="235">
        <v>8.2364850439669741</v>
      </c>
      <c r="BZ23" s="235">
        <v>44.840618924304778</v>
      </c>
      <c r="CA23" s="235">
        <v>44.370769781133639</v>
      </c>
      <c r="CB23" s="235">
        <v>634.01898301090625</v>
      </c>
      <c r="CC23" s="235">
        <v>239.99455490265626</v>
      </c>
      <c r="CD23" s="218">
        <f>MATCH(MIN(Таблица1[[#This Row],[1 ДА Мах]:[7_ДА_Мах]]),Таблица1[[#This Row],[1 ДА Мах]:[7_ДА_Мах]],0)</f>
        <v>2</v>
      </c>
      <c r="CE23" s="219">
        <f>IF(Таблица1[[#This Row],[ДА_Мах_Итог]]=Таблица1[[#This Row],[Train]],1,0)</f>
        <v>1</v>
      </c>
      <c r="CF23" s="219">
        <f>IF(Таблица1[[#This Row],[ДА_Мах_Итог]]=Таблица1[[#This Row],[К-средних]],1,0)</f>
        <v>1</v>
      </c>
      <c r="CG23" s="236">
        <v>3.3653922447612054E-5</v>
      </c>
      <c r="CH23" s="236">
        <v>0.95531835055668712</v>
      </c>
      <c r="CI23" s="236">
        <v>4.4647995293157584E-2</v>
      </c>
      <c r="CJ23" s="236">
        <v>1.005414813817491E-10</v>
      </c>
      <c r="CK23" s="236">
        <v>1.2716620911388492E-10</v>
      </c>
      <c r="CL23" s="236">
        <v>0</v>
      </c>
      <c r="CM23" s="236">
        <v>0</v>
      </c>
      <c r="CN23" s="218">
        <f>MATCH(MAX(Таблица1[[#This Row],[1_ДА_Ап]:[7_ДА_Ап]]),Таблица1[[#This Row],[1_ДА_Ап]:[7_ДА_Ап]],0)</f>
        <v>2</v>
      </c>
      <c r="CO23" s="219">
        <f>IF(Таблица1[[#This Row],[ПДАсВ Итог Копия]]=Таблица1[[#This Row],[Train]],1,0)</f>
        <v>1</v>
      </c>
      <c r="CP23" s="219">
        <f>IF(Таблица1[[#This Row],[ПДАсВ Итог Копия]]=Таблица1[[#This Row],[К-средних]],1,0)</f>
        <v>1</v>
      </c>
      <c r="CQ23" s="234" t="s">
        <v>2587</v>
      </c>
      <c r="CR23" s="234" t="s">
        <v>2586</v>
      </c>
      <c r="CS23" s="234" t="s">
        <v>2588</v>
      </c>
      <c r="CT23" s="234" t="s">
        <v>2589</v>
      </c>
      <c r="CU23" s="234" t="s">
        <v>2590</v>
      </c>
      <c r="CV23" s="234" t="s">
        <v>2591</v>
      </c>
      <c r="CW23" s="234" t="s">
        <v>2592</v>
      </c>
      <c r="CX23" s="234" t="str">
        <f>RIGHT(Таблица1[[#This Row],[ПДАсИ 1]],1)</f>
        <v>2</v>
      </c>
      <c r="CY23" s="212">
        <v>2</v>
      </c>
      <c r="CZ23" s="212">
        <f>IF(Таблица1[[#This Row],[ПДАсИ Итог Копия]]=Таблица1[[#This Row],[Train]],1,0)</f>
        <v>1</v>
      </c>
      <c r="DA23" s="212">
        <f>IF(Таблица1[[#This Row],[ПДАсИ Итог Копия]]=Таблица1[[#This Row],[К-средних]],1,0)</f>
        <v>1</v>
      </c>
      <c r="DB23" s="237">
        <v>20.181831557735798</v>
      </c>
      <c r="DC23" s="237">
        <v>1.8746286822791984</v>
      </c>
      <c r="DD23" s="237">
        <v>7.7919719135534278</v>
      </c>
      <c r="DE23" s="237">
        <v>40.898501659575224</v>
      </c>
      <c r="DF23" s="237">
        <v>56.388786349509623</v>
      </c>
      <c r="DG23" s="237">
        <v>496.46109051616543</v>
      </c>
      <c r="DH23" s="237">
        <v>330.11446315994772</v>
      </c>
      <c r="DI23" s="224">
        <f>MATCH(MIN(Таблица1[[#This Row],[ПДАсИ Мах 1]:[ПДАсИ Мах 7]]),Таблица1[[#This Row],[ПДАсИ Мах 1]:[ПДАсИ Мах 7]],0)</f>
        <v>2</v>
      </c>
      <c r="DJ23" s="212">
        <f>IF(Таблица1[[#This Row],[ПДАсИ Мах Итог]]=Таблица1[[#This Row],[Train]],1,0)</f>
        <v>1</v>
      </c>
      <c r="DK23" s="212">
        <f>IF(Таблица1[[#This Row],[ПДАсИ Мах Итог]]=Таблица1[[#This Row],[К-средних]],1,0)</f>
        <v>1</v>
      </c>
      <c r="DL23" s="238">
        <v>7.4538025739295945E-5</v>
      </c>
      <c r="DM23" s="238">
        <v>0.93902080825175216</v>
      </c>
      <c r="DN23" s="238">
        <v>6.0904652933872087E-2</v>
      </c>
      <c r="DO23" s="238">
        <v>7.8829518987736369E-10</v>
      </c>
      <c r="DP23" s="238">
        <v>3.41205713288693E-13</v>
      </c>
      <c r="DQ23" s="238">
        <v>0</v>
      </c>
      <c r="DR23" s="238">
        <v>0</v>
      </c>
      <c r="DS23" s="224">
        <f>MATCH(MAX(Таблица1[[#This Row],[ПДАсИ Ап 1]:[ПДАсИ Ап 7]]),Таблица1[[#This Row],[ПДАсИ Ап 1]:[ПДАсИ Ап 7]],0)</f>
        <v>2</v>
      </c>
      <c r="DT23" s="212">
        <f>IF(Таблица1[[#This Row],[ПДАсИ Ап Итог]]=Таблица1[[#This Row],[Train]],1,0)</f>
        <v>1</v>
      </c>
      <c r="DU23" s="212">
        <f>IF(Таблица1[[#This Row],[ПДАсИ Ап Итог]]=Таблица1[[#This Row],[К-средних]],1,0)</f>
        <v>1</v>
      </c>
    </row>
    <row r="24" spans="1:125" ht="13.8">
      <c r="A24" s="205" t="s">
        <v>292</v>
      </c>
      <c r="B24" s="319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320">
        <v>1.2157291940358637</v>
      </c>
      <c r="K24" s="324">
        <v>-0.16729151751754429</v>
      </c>
      <c r="L24" s="325">
        <v>1.2610593447827485</v>
      </c>
      <c r="M24" s="328">
        <v>-4.8020989514150916E-2</v>
      </c>
      <c r="N24" s="310">
        <v>-1.0877371364267503</v>
      </c>
      <c r="O24" s="329">
        <v>-0.7950658551497134</v>
      </c>
      <c r="P24" s="206">
        <v>5</v>
      </c>
      <c r="Q24" s="207">
        <v>5</v>
      </c>
      <c r="R24" s="206">
        <v>4</v>
      </c>
      <c r="S24" s="208">
        <v>2</v>
      </c>
      <c r="T24" s="271">
        <v>3</v>
      </c>
      <c r="U24" s="271">
        <v>7</v>
      </c>
      <c r="V24" s="272">
        <v>3</v>
      </c>
      <c r="W24" s="272">
        <v>6</v>
      </c>
      <c r="X24" s="312">
        <v>2</v>
      </c>
      <c r="Y24" s="313">
        <v>2</v>
      </c>
      <c r="Z24" s="271">
        <v>6</v>
      </c>
      <c r="AA24" s="314">
        <v>3</v>
      </c>
      <c r="AB24" s="343">
        <v>2</v>
      </c>
      <c r="AC24" s="343">
        <f>IF(Таблица1[[#This Row],[Train]]=Таблица1[[#This Row],[НС]],1,0)</f>
        <v>0</v>
      </c>
      <c r="AD24" s="343">
        <f>IF(Таблица1[[#This Row],[НС]]=Таблица1[[#This Row],[К-средних]],1,0)</f>
        <v>1</v>
      </c>
      <c r="AE24" s="208"/>
      <c r="AF24" s="209">
        <f>SUMXMY2(Таблица1[[#This Row],[X1]:[X9]],Таблица1[[#Totals],[X1]:[X9]])</f>
        <v>7.8630306852687335</v>
      </c>
      <c r="AG24" s="239" t="s">
        <v>2588</v>
      </c>
      <c r="AH24" s="239" t="s">
        <v>2587</v>
      </c>
      <c r="AI24" s="239" t="s">
        <v>2586</v>
      </c>
      <c r="AJ24" s="239" t="s">
        <v>2590</v>
      </c>
      <c r="AK24" s="239" t="s">
        <v>2589</v>
      </c>
      <c r="AL24" s="239" t="s">
        <v>2591</v>
      </c>
      <c r="AM24" s="239" t="s">
        <v>2592</v>
      </c>
      <c r="AN24" s="239" t="str">
        <f>RIGHT(Таблица1[[#This Row],[ДА1]],1)</f>
        <v>1</v>
      </c>
      <c r="AO24" s="214">
        <v>1</v>
      </c>
      <c r="AP24" s="213">
        <f>IF(Таблица1[[#This Row],[ДА Итог Копия]]=Таблица1[[#This Row],[Train]],1,0)</f>
        <v>0</v>
      </c>
      <c r="AQ24" s="213">
        <f>IF(Таблица1[[#This Row],[ДА Итог Копия]]=Таблица1[[#This Row],[К-средних]],1,0)</f>
        <v>0</v>
      </c>
      <c r="AR24" s="216">
        <v>32.783045905828061</v>
      </c>
      <c r="AS24" s="216">
        <v>35.362206864162381</v>
      </c>
      <c r="AT24" s="216">
        <v>42.24983642255895</v>
      </c>
      <c r="AU24" s="216">
        <v>132.9825683431151</v>
      </c>
      <c r="AV24" s="216">
        <v>74.694716650496886</v>
      </c>
      <c r="AW24" s="216">
        <v>737.02543162582913</v>
      </c>
      <c r="AX24" s="217">
        <v>436.70516141230536</v>
      </c>
      <c r="AY24" s="218">
        <f>MATCH(MIN(Таблица1[[#This Row],[1 ДА Мах]:[7_ДА_Мах]]),Таблица1[[#This Row],[1 ДА Мах]:[7_ДА_Мах]],0)</f>
        <v>1</v>
      </c>
      <c r="AZ24" s="219">
        <f>IF(Таблица1[[#This Row],[ДА_Мах_Итог]]=Таблица1[[#This Row],[Train]],1,0)</f>
        <v>0</v>
      </c>
      <c r="BA24" s="219">
        <f>IF(Таблица1[[#This Row],[ДА_Мах_Итог]]=Таблица1[[#This Row],[К-средних]],1,0)</f>
        <v>0</v>
      </c>
      <c r="BB24" s="220">
        <v>0.72367140051105017</v>
      </c>
      <c r="BC24" s="220">
        <v>0.26571890872931142</v>
      </c>
      <c r="BD24" s="220">
        <v>1.0609690568469754E-2</v>
      </c>
      <c r="BE24" s="220">
        <v>4.2108552537805166E-23</v>
      </c>
      <c r="BF24" s="220">
        <v>1.9116856891869778E-10</v>
      </c>
      <c r="BG24" s="220">
        <v>0</v>
      </c>
      <c r="BH24" s="220">
        <v>0</v>
      </c>
      <c r="BI24" s="218">
        <f>MATCH(MAX(Таблица1[[#This Row],[1_ДА_Ап]:[7_ДА_Ап]]),Таблица1[[#This Row],[1_ДА_Ап]:[7_ДА_Ап]],0)</f>
        <v>1</v>
      </c>
      <c r="BJ24" s="219">
        <f>IF(Таблица1[[#This Row],[ДА_Ап_Итог]]=Таблица1[[#This Row],[Train]],1,0)</f>
        <v>0</v>
      </c>
      <c r="BK24" s="219">
        <f>IF(Таблица1[[#This Row],[ДА_Ап_Итог]]=Таблица1[[#This Row],[К-средних]],1,0)</f>
        <v>0</v>
      </c>
      <c r="BL24" s="234" t="s">
        <v>2586</v>
      </c>
      <c r="BM24" s="234" t="s">
        <v>2587</v>
      </c>
      <c r="BN24" s="234" t="s">
        <v>2588</v>
      </c>
      <c r="BO24" s="234" t="s">
        <v>2590</v>
      </c>
      <c r="BP24" s="234" t="s">
        <v>2589</v>
      </c>
      <c r="BQ24" s="234" t="s">
        <v>2591</v>
      </c>
      <c r="BR24" s="234" t="s">
        <v>2592</v>
      </c>
      <c r="BS24" s="234" t="str">
        <f>RIGHT(Таблица1[[#This Row],[ПДАсВ 1]],1)</f>
        <v>3</v>
      </c>
      <c r="BT24" s="227">
        <v>3</v>
      </c>
      <c r="BU24" s="212">
        <f>IF(Таблица1[[#This Row],[ПДАсВ Итог Копия]]=Таблица1[[#This Row],[Train]],1,0)</f>
        <v>0</v>
      </c>
      <c r="BV24" s="212">
        <f>IF(Таблица1[[#This Row],[ПДАсВ Итог Копия]]=Таблица1[[#This Row],[К-средних]],1,0)</f>
        <v>0</v>
      </c>
      <c r="BW24" s="235">
        <v>14.926147397034301</v>
      </c>
      <c r="BX24" s="235">
        <v>12.98698024072654</v>
      </c>
      <c r="BY24" s="235">
        <v>3.9823413312764897</v>
      </c>
      <c r="BZ24" s="235">
        <v>68.177815994172732</v>
      </c>
      <c r="CA24" s="235">
        <v>61.575863965783249</v>
      </c>
      <c r="CB24" s="235">
        <v>710.67414727257733</v>
      </c>
      <c r="CC24" s="235">
        <v>259.21042091520371</v>
      </c>
      <c r="CD24" s="218">
        <f>MATCH(MIN(Таблица1[[#This Row],[1 ДА Мах]:[7_ДА_Мах]]),Таблица1[[#This Row],[1 ДА Мах]:[7_ДА_Мах]],0)</f>
        <v>1</v>
      </c>
      <c r="CE24" s="219">
        <f>IF(Таблица1[[#This Row],[ДА_Мах_Итог]]=Таблица1[[#This Row],[Train]],1,0)</f>
        <v>0</v>
      </c>
      <c r="CF24" s="219">
        <f>IF(Таблица1[[#This Row],[ДА_Мах_Итог]]=Таблица1[[#This Row],[К-средних]],1,0)</f>
        <v>0</v>
      </c>
      <c r="CG24" s="236">
        <v>2.4935376384968293E-3</v>
      </c>
      <c r="CH24" s="236">
        <v>8.7667669633860312E-3</v>
      </c>
      <c r="CI24" s="236">
        <v>0.98873969539805329</v>
      </c>
      <c r="CJ24" s="236">
        <v>2.2711287832106526E-15</v>
      </c>
      <c r="CK24" s="236">
        <v>6.1636423317580693E-14</v>
      </c>
      <c r="CL24" s="236">
        <v>0</v>
      </c>
      <c r="CM24" s="236">
        <v>0</v>
      </c>
      <c r="CN24" s="218">
        <f>MATCH(MAX(Таблица1[[#This Row],[1_ДА_Ап]:[7_ДА_Ап]]),Таблица1[[#This Row],[1_ДА_Ап]:[7_ДА_Ап]],0)</f>
        <v>1</v>
      </c>
      <c r="CO24" s="219">
        <f>IF(Таблица1[[#This Row],[ПДАсВ Итог Копия]]=Таблица1[[#This Row],[Train]],1,0)</f>
        <v>0</v>
      </c>
      <c r="CP24" s="219">
        <f>IF(Таблица1[[#This Row],[ПДАсВ Итог Копия]]=Таблица1[[#This Row],[К-средних]],1,0)</f>
        <v>0</v>
      </c>
      <c r="CQ24" s="234" t="s">
        <v>2587</v>
      </c>
      <c r="CR24" s="234" t="s">
        <v>2586</v>
      </c>
      <c r="CS24" s="234" t="s">
        <v>2588</v>
      </c>
      <c r="CT24" s="234" t="s">
        <v>2590</v>
      </c>
      <c r="CU24" s="234" t="s">
        <v>2589</v>
      </c>
      <c r="CV24" s="234" t="s">
        <v>2591</v>
      </c>
      <c r="CW24" s="234" t="s">
        <v>2592</v>
      </c>
      <c r="CX24" s="234" t="str">
        <f>RIGHT(Таблица1[[#This Row],[ПДАсИ 1]],1)</f>
        <v>2</v>
      </c>
      <c r="CY24" s="212">
        <v>2</v>
      </c>
      <c r="CZ24" s="212">
        <f>IF(Таблица1[[#This Row],[ПДАсИ Итог Копия]]=Таблица1[[#This Row],[Train]],1,0)</f>
        <v>0</v>
      </c>
      <c r="DA24" s="212">
        <f>IF(Таблица1[[#This Row],[ПДАсИ Итог Копия]]=Таблица1[[#This Row],[К-средних]],1,0)</f>
        <v>1</v>
      </c>
      <c r="DB24" s="237">
        <v>13.343411069033115</v>
      </c>
      <c r="DC24" s="237">
        <v>8.4337687747535988</v>
      </c>
      <c r="DD24" s="237">
        <v>11.244597548029121</v>
      </c>
      <c r="DE24" s="237">
        <v>43.876194441289286</v>
      </c>
      <c r="DF24" s="237">
        <v>35.791169499156425</v>
      </c>
      <c r="DG24" s="237">
        <v>464.74256709713541</v>
      </c>
      <c r="DH24" s="237">
        <v>367.51255098680423</v>
      </c>
      <c r="DI24" s="224">
        <f>MATCH(MIN(Таблица1[[#This Row],[ПДАсИ Мах 1]:[ПДАсИ Мах 7]]),Таблица1[[#This Row],[ПДАсИ Мах 1]:[ПДАсИ Мах 7]],0)</f>
        <v>2</v>
      </c>
      <c r="DJ24" s="212">
        <f>IF(Таблица1[[#This Row],[ПДАсИ Мах Итог]]=Таблица1[[#This Row],[Train]],1,0)</f>
        <v>0</v>
      </c>
      <c r="DK24" s="212">
        <f>IF(Таблица1[[#This Row],[ПДАсИ Мах Итог]]=Таблица1[[#This Row],[К-средних]],1,0)</f>
        <v>1</v>
      </c>
      <c r="DL24" s="238">
        <v>4.6979824996250585E-2</v>
      </c>
      <c r="DM24" s="238">
        <v>0.72939941310429701</v>
      </c>
      <c r="DN24" s="238">
        <v>0.22362054914507487</v>
      </c>
      <c r="DO24" s="238">
        <v>3.6701217552101095E-9</v>
      </c>
      <c r="DP24" s="238">
        <v>2.0908425577146582E-7</v>
      </c>
      <c r="DQ24" s="238">
        <v>0</v>
      </c>
      <c r="DR24" s="238">
        <v>0</v>
      </c>
      <c r="DS24" s="224">
        <f>MATCH(MAX(Таблица1[[#This Row],[ПДАсИ Ап 1]:[ПДАсИ Ап 7]]),Таблица1[[#This Row],[ПДАсИ Ап 1]:[ПДАсИ Ап 7]],0)</f>
        <v>2</v>
      </c>
      <c r="DT24" s="212">
        <f>IF(Таблица1[[#This Row],[ПДАсИ Ап Итог]]=Таблица1[[#This Row],[Train]],1,0)</f>
        <v>0</v>
      </c>
      <c r="DU24" s="212">
        <f>IF(Таблица1[[#This Row],[ПДАсИ Ап Итог]]=Таблица1[[#This Row],[К-средних]],1,0)</f>
        <v>1</v>
      </c>
    </row>
    <row r="25" spans="1:125" ht="13.8">
      <c r="A25" s="205" t="s">
        <v>293</v>
      </c>
      <c r="B25" s="319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320">
        <v>0.15444400619448617</v>
      </c>
      <c r="K25" s="324">
        <v>0.57679327393605218</v>
      </c>
      <c r="L25" s="325">
        <v>-0.30231808885321471</v>
      </c>
      <c r="M25" s="328">
        <v>0.50579632892815884</v>
      </c>
      <c r="N25" s="310">
        <v>0.33602757261203414</v>
      </c>
      <c r="O25" s="329">
        <v>4.9814181370716075E-2</v>
      </c>
      <c r="P25" s="206">
        <v>5</v>
      </c>
      <c r="Q25" s="207">
        <v>5</v>
      </c>
      <c r="R25" s="206">
        <v>7</v>
      </c>
      <c r="S25" s="208">
        <v>1</v>
      </c>
      <c r="T25" s="271">
        <v>5</v>
      </c>
      <c r="U25" s="271">
        <v>4</v>
      </c>
      <c r="V25" s="272">
        <v>4</v>
      </c>
      <c r="W25" s="272">
        <v>2</v>
      </c>
      <c r="X25" s="312">
        <v>4</v>
      </c>
      <c r="Y25" s="313">
        <v>3</v>
      </c>
      <c r="Z25" s="271">
        <v>5</v>
      </c>
      <c r="AA25" s="314">
        <v>1</v>
      </c>
      <c r="AB25" s="314">
        <v>1</v>
      </c>
      <c r="AC25" s="314">
        <f>IF(Таблица1[[#This Row],[Train]]=Таблица1[[#This Row],[НС]],1,0)</f>
        <v>1</v>
      </c>
      <c r="AD25" s="314">
        <f>IF(Таблица1[[#This Row],[НС]]=Таблица1[[#This Row],[К-средних]],1,0)</f>
        <v>1</v>
      </c>
      <c r="AE25" s="208">
        <v>1</v>
      </c>
      <c r="AF25" s="209">
        <f>SUMXMY2(Таблица1[[#This Row],[X1]:[X9]],Таблица1[[#Totals],[X1]:[X9]])</f>
        <v>2.4375948038397319</v>
      </c>
      <c r="AG25" s="239" t="s">
        <v>2588</v>
      </c>
      <c r="AH25" s="239" t="s">
        <v>2586</v>
      </c>
      <c r="AI25" s="239" t="s">
        <v>2587</v>
      </c>
      <c r="AJ25" s="239" t="s">
        <v>2590</v>
      </c>
      <c r="AK25" s="239" t="s">
        <v>2589</v>
      </c>
      <c r="AL25" s="239" t="s">
        <v>2591</v>
      </c>
      <c r="AM25" s="239" t="s">
        <v>2592</v>
      </c>
      <c r="AN25" s="239" t="str">
        <f>RIGHT(Таблица1[[#This Row],[ДА1]],1)</f>
        <v>1</v>
      </c>
      <c r="AO25" s="214">
        <v>1</v>
      </c>
      <c r="AP25" s="213">
        <f>IF(Таблица1[[#This Row],[ДА Итог Копия]]=Таблица1[[#This Row],[Train]],1,0)</f>
        <v>1</v>
      </c>
      <c r="AQ25" s="213">
        <f>IF(Таблица1[[#This Row],[ДА Итог Копия]]=Таблица1[[#This Row],[К-средних]],1,0)</f>
        <v>1</v>
      </c>
      <c r="AR25" s="216">
        <v>7.1596717507397463</v>
      </c>
      <c r="AS25" s="216">
        <v>16.425112351332992</v>
      </c>
      <c r="AT25" s="216">
        <v>16.244477784648758</v>
      </c>
      <c r="AU25" s="216">
        <v>92.769364887865493</v>
      </c>
      <c r="AV25" s="216">
        <v>74.009566722655649</v>
      </c>
      <c r="AW25" s="216">
        <v>535.28249267377305</v>
      </c>
      <c r="AX25" s="217">
        <v>393.70610712072039</v>
      </c>
      <c r="AY25" s="218">
        <f>MATCH(MIN(Таблица1[[#This Row],[1 ДА Мах]:[7_ДА_Мах]]),Таблица1[[#This Row],[1 ДА Мах]:[7_ДА_Мах]],0)</f>
        <v>1</v>
      </c>
      <c r="AZ25" s="219">
        <f>IF(Таблица1[[#This Row],[ДА_Мах_Итог]]=Таблица1[[#This Row],[Train]],1,0)</f>
        <v>1</v>
      </c>
      <c r="BA25" s="219">
        <f>IF(Таблица1[[#This Row],[ДА_Мах_Итог]]=Таблица1[[#This Row],[К-средних]],1,0)</f>
        <v>1</v>
      </c>
      <c r="BB25" s="220">
        <v>0.97019810716508004</v>
      </c>
      <c r="BC25" s="220">
        <v>1.2584451663399669E-2</v>
      </c>
      <c r="BD25" s="220">
        <v>1.721744117151934E-2</v>
      </c>
      <c r="BE25" s="220">
        <v>8.3143921612787417E-20</v>
      </c>
      <c r="BF25" s="220">
        <v>9.8507413777850428E-16</v>
      </c>
      <c r="BG25" s="220">
        <v>0</v>
      </c>
      <c r="BH25" s="220">
        <v>0</v>
      </c>
      <c r="BI25" s="218">
        <f>MATCH(MAX(Таблица1[[#This Row],[1_ДА_Ап]:[7_ДА_Ап]]),Таблица1[[#This Row],[1_ДА_Ап]:[7_ДА_Ап]],0)</f>
        <v>1</v>
      </c>
      <c r="BJ25" s="219">
        <f>IF(Таблица1[[#This Row],[ДА_Ап_Итог]]=Таблица1[[#This Row],[Train]],1,0)</f>
        <v>1</v>
      </c>
      <c r="BK25" s="219">
        <f>IF(Таблица1[[#This Row],[ДА_Ап_Итог]]=Таблица1[[#This Row],[К-средних]],1,0)</f>
        <v>1</v>
      </c>
      <c r="BL25" s="234" t="s">
        <v>2588</v>
      </c>
      <c r="BM25" s="234" t="s">
        <v>2586</v>
      </c>
      <c r="BN25" s="234" t="s">
        <v>2587</v>
      </c>
      <c r="BO25" s="234" t="s">
        <v>2590</v>
      </c>
      <c r="BP25" s="234" t="s">
        <v>2589</v>
      </c>
      <c r="BQ25" s="234" t="s">
        <v>2591</v>
      </c>
      <c r="BR25" s="234" t="s">
        <v>2592</v>
      </c>
      <c r="BS25" s="234" t="str">
        <f>RIGHT(Таблица1[[#This Row],[ПДАсВ 1]],1)</f>
        <v>1</v>
      </c>
      <c r="BT25" s="227">
        <v>1</v>
      </c>
      <c r="BU25" s="212">
        <f>IF(Таблица1[[#This Row],[ПДАсВ Итог Копия]]=Таблица1[[#This Row],[Train]],1,0)</f>
        <v>1</v>
      </c>
      <c r="BV25" s="212">
        <f>IF(Таблица1[[#This Row],[ПДАсВ Итог Копия]]=Таблица1[[#This Row],[К-средних]],1,0)</f>
        <v>1</v>
      </c>
      <c r="BW25" s="235">
        <v>5.2335466299281164</v>
      </c>
      <c r="BX25" s="235">
        <v>15.861359849489565</v>
      </c>
      <c r="BY25" s="235">
        <v>12.004692065945783</v>
      </c>
      <c r="BZ25" s="235">
        <v>76.222609963502975</v>
      </c>
      <c r="CA25" s="235">
        <v>46.364908916647551</v>
      </c>
      <c r="CB25" s="235">
        <v>522.55492247151608</v>
      </c>
      <c r="CC25" s="235">
        <v>287.69397972796412</v>
      </c>
      <c r="CD25" s="218">
        <f>MATCH(MIN(Таблица1[[#This Row],[1 ДА Мах]:[7_ДА_Мах]]),Таблица1[[#This Row],[1 ДА Мах]:[7_ДА_Мах]],0)</f>
        <v>1</v>
      </c>
      <c r="CE25" s="219">
        <f>IF(Таблица1[[#This Row],[ДА_Мах_Итог]]=Таблица1[[#This Row],[Train]],1,0)</f>
        <v>1</v>
      </c>
      <c r="CF25" s="219">
        <f>IF(Таблица1[[#This Row],[ДА_Мах_Итог]]=Таблица1[[#This Row],[К-средних]],1,0)</f>
        <v>1</v>
      </c>
      <c r="CG25" s="236">
        <v>0.94073912302245866</v>
      </c>
      <c r="CH25" s="236">
        <v>6.1745828776240252E-3</v>
      </c>
      <c r="CI25" s="236">
        <v>5.3086293732815724E-2</v>
      </c>
      <c r="CJ25" s="236">
        <v>1.2057817609333187E-16</v>
      </c>
      <c r="CK25" s="236">
        <v>3.6710146171978816E-10</v>
      </c>
      <c r="CL25" s="236">
        <v>0</v>
      </c>
      <c r="CM25" s="236">
        <v>0</v>
      </c>
      <c r="CN25" s="218">
        <f>MATCH(MAX(Таблица1[[#This Row],[1_ДА_Ап]:[7_ДА_Ап]]),Таблица1[[#This Row],[1_ДА_Ап]:[7_ДА_Ап]],0)</f>
        <v>1</v>
      </c>
      <c r="CO25" s="219">
        <f>IF(Таблица1[[#This Row],[ПДАсВ Итог Копия]]=Таблица1[[#This Row],[Train]],1,0)</f>
        <v>1</v>
      </c>
      <c r="CP25" s="219">
        <f>IF(Таблица1[[#This Row],[ПДАсВ Итог Копия]]=Таблица1[[#This Row],[К-средних]],1,0)</f>
        <v>1</v>
      </c>
      <c r="CQ25" s="234" t="s">
        <v>2588</v>
      </c>
      <c r="CR25" s="234" t="s">
        <v>2586</v>
      </c>
      <c r="CS25" s="234" t="s">
        <v>2587</v>
      </c>
      <c r="CT25" s="234" t="s">
        <v>2590</v>
      </c>
      <c r="CU25" s="234" t="s">
        <v>2589</v>
      </c>
      <c r="CV25" s="234" t="s">
        <v>2591</v>
      </c>
      <c r="CW25" s="234" t="s">
        <v>2592</v>
      </c>
      <c r="CX25" s="234" t="str">
        <f>RIGHT(Таблица1[[#This Row],[ПДАсИ 1]],1)</f>
        <v>1</v>
      </c>
      <c r="CY25" s="212">
        <v>1</v>
      </c>
      <c r="CZ25" s="212">
        <f>IF(Таблица1[[#This Row],[ПДАсИ Итог Копия]]=Таблица1[[#This Row],[Train]],1,0)</f>
        <v>1</v>
      </c>
      <c r="DA25" s="212">
        <f>IF(Таблица1[[#This Row],[ПДАсИ Итог Копия]]=Таблица1[[#This Row],[К-средних]],1,0)</f>
        <v>1</v>
      </c>
      <c r="DB25" s="237">
        <v>5.0424438558357672</v>
      </c>
      <c r="DC25" s="237">
        <v>15.741137112499997</v>
      </c>
      <c r="DD25" s="237">
        <v>12.527303100743167</v>
      </c>
      <c r="DE25" s="237">
        <v>67.321623333466846</v>
      </c>
      <c r="DF25" s="237">
        <v>57.449015877755684</v>
      </c>
      <c r="DG25" s="237">
        <v>369.79874802674578</v>
      </c>
      <c r="DH25" s="237">
        <v>370.21748431874954</v>
      </c>
      <c r="DI25" s="224">
        <f>MATCH(MIN(Таблица1[[#This Row],[ПДАсИ Мах 1]:[ПДАсИ Мах 7]]),Таблица1[[#This Row],[ПДАсИ Мах 1]:[ПДАсИ Мах 7]],0)</f>
        <v>1</v>
      </c>
      <c r="DJ25" s="212">
        <f>IF(Таблица1[[#This Row],[ПДАсИ Мах Итог]]=Таблица1[[#This Row],[Train]],1,0)</f>
        <v>1</v>
      </c>
      <c r="DK25" s="212">
        <f>IF(Таблица1[[#This Row],[ПДАсИ Мах Итог]]=Таблица1[[#This Row],[К-средних]],1,0)</f>
        <v>1</v>
      </c>
      <c r="DL25" s="238">
        <v>0.95617916444981776</v>
      </c>
      <c r="DM25" s="238">
        <v>6.0574005149552313E-3</v>
      </c>
      <c r="DN25" s="238">
        <v>3.7763435033888557E-2</v>
      </c>
      <c r="DO25" s="238">
        <v>9.5425848218679734E-15</v>
      </c>
      <c r="DP25" s="238">
        <v>1.3288485871394421E-12</v>
      </c>
      <c r="DQ25" s="238">
        <v>0</v>
      </c>
      <c r="DR25" s="238">
        <v>0</v>
      </c>
      <c r="DS25" s="224">
        <f>MATCH(MAX(Таблица1[[#This Row],[ПДАсИ Ап 1]:[ПДАсИ Ап 7]]),Таблица1[[#This Row],[ПДАсИ Ап 1]:[ПДАсИ Ап 7]],0)</f>
        <v>1</v>
      </c>
      <c r="DT25" s="212">
        <f>IF(Таблица1[[#This Row],[ПДАсИ Ап Итог]]=Таблица1[[#This Row],[Train]],1,0)</f>
        <v>1</v>
      </c>
      <c r="DU25" s="212">
        <f>IF(Таблица1[[#This Row],[ПДАсИ Ап Итог]]=Таблица1[[#This Row],[К-средних]],1,0)</f>
        <v>1</v>
      </c>
    </row>
    <row r="26" spans="1:125" ht="13.8">
      <c r="A26" s="205" t="s">
        <v>294</v>
      </c>
      <c r="B26" s="319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320">
        <v>0.10564928491442305</v>
      </c>
      <c r="K26" s="324">
        <v>-0.1854355341492282</v>
      </c>
      <c r="L26" s="325">
        <v>0.17904171901853597</v>
      </c>
      <c r="M26" s="328">
        <v>-4.9811720710334795E-2</v>
      </c>
      <c r="N26" s="310">
        <v>-0.1502561849748151</v>
      </c>
      <c r="O26" s="329">
        <v>0.19265519303103598</v>
      </c>
      <c r="P26" s="206">
        <v>5</v>
      </c>
      <c r="Q26" s="207">
        <v>5</v>
      </c>
      <c r="R26" s="206">
        <v>5</v>
      </c>
      <c r="S26" s="208">
        <v>3</v>
      </c>
      <c r="T26" s="271">
        <v>2</v>
      </c>
      <c r="U26" s="271">
        <v>7</v>
      </c>
      <c r="V26" s="272">
        <v>2</v>
      </c>
      <c r="W26" s="272">
        <v>1</v>
      </c>
      <c r="X26" s="312">
        <v>3</v>
      </c>
      <c r="Y26" s="313">
        <v>2</v>
      </c>
      <c r="Z26" s="271">
        <v>1</v>
      </c>
      <c r="AA26" s="314">
        <v>2</v>
      </c>
      <c r="AB26" s="314">
        <v>3</v>
      </c>
      <c r="AC26" s="314">
        <f>IF(Таблица1[[#This Row],[Train]]=Таблица1[[#This Row],[НС]],1,0)</f>
        <v>1</v>
      </c>
      <c r="AD26" s="314">
        <f>IF(Таблица1[[#This Row],[НС]]=Таблица1[[#This Row],[К-средних]],1,0)</f>
        <v>1</v>
      </c>
      <c r="AE26" s="208">
        <v>3</v>
      </c>
      <c r="AF26" s="209">
        <f>SUMXMY2(Таблица1[[#This Row],[X1]:[X9]],Таблица1[[#Totals],[X1]:[X9]])</f>
        <v>1.2266782728345682</v>
      </c>
      <c r="AG26" s="239" t="s">
        <v>2586</v>
      </c>
      <c r="AH26" s="239" t="s">
        <v>2587</v>
      </c>
      <c r="AI26" s="239" t="s">
        <v>2588</v>
      </c>
      <c r="AJ26" s="239" t="s">
        <v>2590</v>
      </c>
      <c r="AK26" s="239" t="s">
        <v>2589</v>
      </c>
      <c r="AL26" s="239" t="s">
        <v>2591</v>
      </c>
      <c r="AM26" s="239" t="s">
        <v>2592</v>
      </c>
      <c r="AN26" s="239" t="str">
        <f>RIGHT(Таблица1[[#This Row],[ДА1]],1)</f>
        <v>3</v>
      </c>
      <c r="AO26" s="214">
        <v>3</v>
      </c>
      <c r="AP26" s="213">
        <f>IF(Таблица1[[#This Row],[ДА Итог Копия]]=Таблица1[[#This Row],[Train]],1,0)</f>
        <v>1</v>
      </c>
      <c r="AQ26" s="213">
        <f>IF(Таблица1[[#This Row],[ДА Итог Копия]]=Таблица1[[#This Row],[К-средних]],1,0)</f>
        <v>1</v>
      </c>
      <c r="AR26" s="216">
        <v>22.765490913376716</v>
      </c>
      <c r="AS26" s="216">
        <v>21.464722766613296</v>
      </c>
      <c r="AT26" s="216">
        <v>6.0989261027862591</v>
      </c>
      <c r="AU26" s="216">
        <v>69.183048204350598</v>
      </c>
      <c r="AV26" s="216">
        <v>65.794546732501061</v>
      </c>
      <c r="AW26" s="216">
        <v>698.85363165771116</v>
      </c>
      <c r="AX26" s="217">
        <v>404.8653640681124</v>
      </c>
      <c r="AY26" s="218">
        <f>MATCH(MIN(Таблица1[[#This Row],[1 ДА Мах]:[7_ДА_Мах]]),Таблица1[[#This Row],[1 ДА Мах]:[7_ДА_Мах]],0)</f>
        <v>3</v>
      </c>
      <c r="AZ26" s="219">
        <f>IF(Таблица1[[#This Row],[ДА_Мах_Итог]]=Таблица1[[#This Row],[Train]],1,0)</f>
        <v>1</v>
      </c>
      <c r="BA26" s="219">
        <f>IF(Таблица1[[#This Row],[ДА_Мах_Итог]]=Таблица1[[#This Row],[К-средних]],1,0)</f>
        <v>1</v>
      </c>
      <c r="BB26" s="220">
        <v>1.4415511696736689E-4</v>
      </c>
      <c r="BC26" s="220">
        <v>3.6832145165267339E-4</v>
      </c>
      <c r="BD26" s="220">
        <v>0.99948752343135405</v>
      </c>
      <c r="BE26" s="220">
        <v>4.0018822933191495E-15</v>
      </c>
      <c r="BF26" s="220">
        <v>2.1780510576767803E-14</v>
      </c>
      <c r="BG26" s="220">
        <v>0</v>
      </c>
      <c r="BH26" s="220">
        <v>0</v>
      </c>
      <c r="BI26" s="218">
        <f>MATCH(MAX(Таблица1[[#This Row],[1_ДА_Ап]:[7_ДА_Ап]]),Таблица1[[#This Row],[1_ДА_Ап]:[7_ДА_Ап]],0)</f>
        <v>3</v>
      </c>
      <c r="BJ26" s="219">
        <f>IF(Таблица1[[#This Row],[ДА_Ап_Итог]]=Таблица1[[#This Row],[Train]],1,0)</f>
        <v>1</v>
      </c>
      <c r="BK26" s="219">
        <f>IF(Таблица1[[#This Row],[ДА_Ап_Итог]]=Таблица1[[#This Row],[К-средних]],1,0)</f>
        <v>1</v>
      </c>
      <c r="BL26" s="234" t="s">
        <v>2586</v>
      </c>
      <c r="BM26" s="234" t="s">
        <v>2587</v>
      </c>
      <c r="BN26" s="234" t="s">
        <v>2588</v>
      </c>
      <c r="BO26" s="234" t="s">
        <v>2590</v>
      </c>
      <c r="BP26" s="234" t="s">
        <v>2589</v>
      </c>
      <c r="BQ26" s="234" t="s">
        <v>2591</v>
      </c>
      <c r="BR26" s="234" t="s">
        <v>2592</v>
      </c>
      <c r="BS26" s="234" t="str">
        <f>RIGHT(Таблица1[[#This Row],[ПДАсВ 1]],1)</f>
        <v>3</v>
      </c>
      <c r="BT26" s="227">
        <v>3</v>
      </c>
      <c r="BU26" s="212">
        <f>IF(Таблица1[[#This Row],[ПДАсВ Итог Копия]]=Таблица1[[#This Row],[Train]],1,0)</f>
        <v>1</v>
      </c>
      <c r="BV26" s="212">
        <f>IF(Таблица1[[#This Row],[ПДАсВ Итог Копия]]=Таблица1[[#This Row],[К-средних]],1,0)</f>
        <v>1</v>
      </c>
      <c r="BW26" s="235">
        <v>20.720509970012341</v>
      </c>
      <c r="BX26" s="235">
        <v>16.01318009080855</v>
      </c>
      <c r="BY26" s="235">
        <v>5.061369770947115</v>
      </c>
      <c r="BZ26" s="235">
        <v>61.069700522043249</v>
      </c>
      <c r="CA26" s="235">
        <v>33.202971568077203</v>
      </c>
      <c r="CB26" s="235">
        <v>675.6376899885347</v>
      </c>
      <c r="CC26" s="235">
        <v>327.51691973578528</v>
      </c>
      <c r="CD26" s="218">
        <f>MATCH(MIN(Таблица1[[#This Row],[1 ДА Мах]:[7_ДА_Мах]]),Таблица1[[#This Row],[1 ДА Мах]:[7_ДА_Мах]],0)</f>
        <v>3</v>
      </c>
      <c r="CE26" s="219">
        <f>IF(Таблица1[[#This Row],[ДА_Мах_Итог]]=Таблица1[[#This Row],[Train]],1,0)</f>
        <v>1</v>
      </c>
      <c r="CF26" s="219">
        <f>IF(Таблица1[[#This Row],[ДА_Мах_Итог]]=Таблица1[[#This Row],[К-средних]],1,0)</f>
        <v>1</v>
      </c>
      <c r="CG26" s="236">
        <v>2.3782456341656138E-4</v>
      </c>
      <c r="CH26" s="236">
        <v>3.3371762204743084E-3</v>
      </c>
      <c r="CI26" s="236">
        <v>0.99642484483159222</v>
      </c>
      <c r="CJ26" s="236">
        <v>1.3722083270246571E-13</v>
      </c>
      <c r="CK26" s="236">
        <v>1.5438437968636359E-7</v>
      </c>
      <c r="CL26" s="236">
        <v>0</v>
      </c>
      <c r="CM26" s="236">
        <v>0</v>
      </c>
      <c r="CN26" s="218">
        <f>MATCH(MAX(Таблица1[[#This Row],[1_ДА_Ап]:[7_ДА_Ап]]),Таблица1[[#This Row],[1_ДА_Ап]:[7_ДА_Ап]],0)</f>
        <v>3</v>
      </c>
      <c r="CO26" s="219">
        <f>IF(Таблица1[[#This Row],[ПДАсВ Итог Копия]]=Таблица1[[#This Row],[Train]],1,0)</f>
        <v>1</v>
      </c>
      <c r="CP26" s="219">
        <f>IF(Таблица1[[#This Row],[ПДАсВ Итог Копия]]=Таблица1[[#This Row],[К-средних]],1,0)</f>
        <v>1</v>
      </c>
      <c r="CQ26" s="234" t="s">
        <v>2586</v>
      </c>
      <c r="CR26" s="234" t="s">
        <v>2587</v>
      </c>
      <c r="CS26" s="234" t="s">
        <v>2588</v>
      </c>
      <c r="CT26" s="234" t="s">
        <v>2589</v>
      </c>
      <c r="CU26" s="234" t="s">
        <v>2590</v>
      </c>
      <c r="CV26" s="234" t="s">
        <v>2591</v>
      </c>
      <c r="CW26" s="234" t="s">
        <v>2592</v>
      </c>
      <c r="CX26" s="234" t="str">
        <f>RIGHT(Таблица1[[#This Row],[ПДАсИ 1]],1)</f>
        <v>3</v>
      </c>
      <c r="CY26" s="212">
        <v>3</v>
      </c>
      <c r="CZ26" s="212">
        <f>IF(Таблица1[[#This Row],[ПДАсИ Итог Копия]]=Таблица1[[#This Row],[Train]],1,0)</f>
        <v>1</v>
      </c>
      <c r="DA26" s="212">
        <f>IF(Таблица1[[#This Row],[ПДАсИ Итог Копия]]=Таблица1[[#This Row],[К-средних]],1,0)</f>
        <v>1</v>
      </c>
      <c r="DB26" s="237">
        <v>22.406288716771599</v>
      </c>
      <c r="DC26" s="237">
        <v>16.132056390718386</v>
      </c>
      <c r="DD26" s="237">
        <v>4.7415797013687557</v>
      </c>
      <c r="DE26" s="237">
        <v>48.072329800154996</v>
      </c>
      <c r="DF26" s="237">
        <v>52.761944292845286</v>
      </c>
      <c r="DG26" s="237">
        <v>524.37893441259257</v>
      </c>
      <c r="DH26" s="237">
        <v>390.0114312340466</v>
      </c>
      <c r="DI26" s="224">
        <f>MATCH(MIN(Таблица1[[#This Row],[ПДАсИ Мах 1]:[ПДАсИ Мах 7]]),Таблица1[[#This Row],[ПДАсИ Мах 1]:[ПДАсИ Мах 7]],0)</f>
        <v>3</v>
      </c>
      <c r="DJ26" s="212">
        <f>IF(Таблица1[[#This Row],[ПДАсИ Мах Итог]]=Таблица1[[#This Row],[Train]],1,0)</f>
        <v>1</v>
      </c>
      <c r="DK26" s="212">
        <f>IF(Таблица1[[#This Row],[ПДАсИ Мах Итог]]=Таблица1[[#This Row],[К-средних]],1,0)</f>
        <v>1</v>
      </c>
      <c r="DL26" s="238">
        <v>8.731804707571791E-5</v>
      </c>
      <c r="DM26" s="238">
        <v>2.6821001421856133E-3</v>
      </c>
      <c r="DN26" s="238">
        <v>0.99723058172554047</v>
      </c>
      <c r="DO26" s="238">
        <v>7.7745050812856405E-11</v>
      </c>
      <c r="DP26" s="238">
        <v>7.4530820702678148E-12</v>
      </c>
      <c r="DQ26" s="238">
        <v>0</v>
      </c>
      <c r="DR26" s="238">
        <v>0</v>
      </c>
      <c r="DS26" s="224">
        <f>MATCH(MAX(Таблица1[[#This Row],[ПДАсИ Ап 1]:[ПДАсИ Ап 7]]),Таблица1[[#This Row],[ПДАсИ Ап 1]:[ПДАсИ Ап 7]],0)</f>
        <v>3</v>
      </c>
      <c r="DT26" s="212">
        <f>IF(Таблица1[[#This Row],[ПДАсИ Ап Итог]]=Таблица1[[#This Row],[Train]],1,0)</f>
        <v>1</v>
      </c>
      <c r="DU26" s="212">
        <f>IF(Таблица1[[#This Row],[ПДАсИ Ап Итог]]=Таблица1[[#This Row],[К-средних]],1,0)</f>
        <v>1</v>
      </c>
    </row>
    <row r="27" spans="1:125" ht="13.8">
      <c r="A27" s="205" t="s">
        <v>295</v>
      </c>
      <c r="B27" s="319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320">
        <v>0.21543740779456533</v>
      </c>
      <c r="K27" s="324">
        <v>-0.34986602269780964</v>
      </c>
      <c r="L27" s="325">
        <v>1.1177608079990411</v>
      </c>
      <c r="M27" s="328">
        <v>-0.10005471187497249</v>
      </c>
      <c r="N27" s="310">
        <v>-1.1227651568860582</v>
      </c>
      <c r="O27" s="329">
        <v>1.1509265247532874</v>
      </c>
      <c r="P27" s="206">
        <v>4</v>
      </c>
      <c r="Q27" s="207">
        <v>5</v>
      </c>
      <c r="R27" s="206">
        <v>5</v>
      </c>
      <c r="S27" s="208">
        <v>3</v>
      </c>
      <c r="T27" s="271">
        <v>3</v>
      </c>
      <c r="U27" s="271">
        <v>6</v>
      </c>
      <c r="V27" s="272">
        <v>3</v>
      </c>
      <c r="W27" s="272">
        <v>1</v>
      </c>
      <c r="X27" s="312">
        <v>3</v>
      </c>
      <c r="Y27" s="313">
        <v>1</v>
      </c>
      <c r="Z27" s="271">
        <v>6</v>
      </c>
      <c r="AA27" s="314">
        <v>3</v>
      </c>
      <c r="AB27" s="343">
        <v>2</v>
      </c>
      <c r="AC27" s="343">
        <f>IF(Таблица1[[#This Row],[Train]]=Таблица1[[#This Row],[НС]],1,0)</f>
        <v>0</v>
      </c>
      <c r="AD27" s="343">
        <f>IF(Таблица1[[#This Row],[НС]]=Таблица1[[#This Row],[К-средних]],1,0)</f>
        <v>0</v>
      </c>
      <c r="AE27" s="208"/>
      <c r="AF27" s="209">
        <f>SUMXMY2(Таблица1[[#This Row],[X1]:[X9]],Таблица1[[#Totals],[X1]:[X9]])</f>
        <v>8.3140344630641678</v>
      </c>
      <c r="AG27" s="239" t="s">
        <v>2586</v>
      </c>
      <c r="AH27" s="239" t="s">
        <v>2587</v>
      </c>
      <c r="AI27" s="239" t="s">
        <v>2588</v>
      </c>
      <c r="AJ27" s="239" t="s">
        <v>2589</v>
      </c>
      <c r="AK27" s="239" t="s">
        <v>2590</v>
      </c>
      <c r="AL27" s="239" t="s">
        <v>2591</v>
      </c>
      <c r="AM27" s="239" t="s">
        <v>2592</v>
      </c>
      <c r="AN27" s="239" t="str">
        <f>RIGHT(Таблица1[[#This Row],[ДА1]],1)</f>
        <v>3</v>
      </c>
      <c r="AO27" s="214">
        <v>3</v>
      </c>
      <c r="AP27" s="213">
        <f>IF(Таблица1[[#This Row],[ДА Итог Копия]]=Таблица1[[#This Row],[Train]],1,0)</f>
        <v>0</v>
      </c>
      <c r="AQ27" s="213">
        <f>IF(Таблица1[[#This Row],[ДА Итог Копия]]=Таблица1[[#This Row],[К-средних]],1,0)</f>
        <v>1</v>
      </c>
      <c r="AR27" s="216">
        <v>78.951294845097095</v>
      </c>
      <c r="AS27" s="216">
        <v>58.300476882807608</v>
      </c>
      <c r="AT27" s="216">
        <v>42.795771710827651</v>
      </c>
      <c r="AU27" s="216">
        <v>103.86425619951289</v>
      </c>
      <c r="AV27" s="216">
        <v>182.25448537342677</v>
      </c>
      <c r="AW27" s="216">
        <v>855.14598705983167</v>
      </c>
      <c r="AX27" s="217">
        <v>329.66796799124324</v>
      </c>
      <c r="AY27" s="218">
        <f>MATCH(MIN(Таблица1[[#This Row],[1 ДА Мах]:[7_ДА_Мах]]),Таблица1[[#This Row],[1 ДА Мах]:[7_ДА_Мах]],0)</f>
        <v>3</v>
      </c>
      <c r="AZ27" s="219">
        <f>IF(Таблица1[[#This Row],[ДА_Мах_Итог]]=Таблица1[[#This Row],[Train]],1,0)</f>
        <v>0</v>
      </c>
      <c r="BA27" s="219">
        <f>IF(Таблица1[[#This Row],[ДА_Мах_Итог]]=Таблица1[[#This Row],[К-средних]],1,0)</f>
        <v>1</v>
      </c>
      <c r="BB27" s="220">
        <v>8.4514236999338687E-9</v>
      </c>
      <c r="BC27" s="220">
        <v>3.4366614829464242E-4</v>
      </c>
      <c r="BD27" s="220">
        <v>0.99965632540027061</v>
      </c>
      <c r="BE27" s="220">
        <v>1.0965483814924755E-14</v>
      </c>
      <c r="BF27" s="220">
        <v>1.0418514860733023E-31</v>
      </c>
      <c r="BG27" s="220">
        <v>0</v>
      </c>
      <c r="BH27" s="220">
        <v>0</v>
      </c>
      <c r="BI27" s="218">
        <f>MATCH(MAX(Таблица1[[#This Row],[1_ДА_Ап]:[7_ДА_Ап]]),Таблица1[[#This Row],[1_ДА_Ап]:[7_ДА_Ап]],0)</f>
        <v>3</v>
      </c>
      <c r="BJ27" s="219">
        <f>IF(Таблица1[[#This Row],[ДА_Ап_Итог]]=Таблица1[[#This Row],[Train]],1,0)</f>
        <v>0</v>
      </c>
      <c r="BK27" s="219">
        <f>IF(Таблица1[[#This Row],[ДА_Ап_Итог]]=Таблица1[[#This Row],[К-средних]],1,0)</f>
        <v>1</v>
      </c>
      <c r="BL27" s="234" t="s">
        <v>2586</v>
      </c>
      <c r="BM27" s="234" t="s">
        <v>2587</v>
      </c>
      <c r="BN27" s="234" t="s">
        <v>2588</v>
      </c>
      <c r="BO27" s="234" t="s">
        <v>2589</v>
      </c>
      <c r="BP27" s="234" t="s">
        <v>2590</v>
      </c>
      <c r="BQ27" s="234" t="s">
        <v>2591</v>
      </c>
      <c r="BR27" s="234" t="s">
        <v>2592</v>
      </c>
      <c r="BS27" s="234" t="str">
        <f>RIGHT(Таблица1[[#This Row],[ПДАсВ 1]],1)</f>
        <v>3</v>
      </c>
      <c r="BT27" s="227">
        <v>3</v>
      </c>
      <c r="BU27" s="212">
        <f>IF(Таблица1[[#This Row],[ПДАсВ Итог Копия]]=Таблица1[[#This Row],[Train]],1,0)</f>
        <v>0</v>
      </c>
      <c r="BV27" s="212">
        <f>IF(Таблица1[[#This Row],[ПДАсВ Итог Копия]]=Таблица1[[#This Row],[К-средних]],1,0)</f>
        <v>1</v>
      </c>
      <c r="BW27" s="235">
        <v>65.368683615780213</v>
      </c>
      <c r="BX27" s="235">
        <v>52.037943441598024</v>
      </c>
      <c r="BY27" s="235">
        <v>37.524751543925817</v>
      </c>
      <c r="BZ27" s="235">
        <v>92.850064210942307</v>
      </c>
      <c r="CA27" s="235">
        <v>122.75141390643887</v>
      </c>
      <c r="CB27" s="235">
        <v>829.71834366176984</v>
      </c>
      <c r="CC27" s="235">
        <v>244.02275798287047</v>
      </c>
      <c r="CD27" s="218">
        <f>MATCH(MIN(Таблица1[[#This Row],[1 ДА Мах]:[7_ДА_Мах]]),Таблица1[[#This Row],[1 ДА Мах]:[7_ДА_Мах]],0)</f>
        <v>3</v>
      </c>
      <c r="CE27" s="219">
        <f>IF(Таблица1[[#This Row],[ДА_Мах_Итог]]=Таблица1[[#This Row],[Train]],1,0)</f>
        <v>0</v>
      </c>
      <c r="CF27" s="219">
        <f>IF(Таблица1[[#This Row],[ДА_Мах_Итог]]=Таблица1[[#This Row],[К-средних]],1,0)</f>
        <v>1</v>
      </c>
      <c r="CG27" s="236">
        <v>5.3910448020019539E-7</v>
      </c>
      <c r="CH27" s="236">
        <v>5.6408574692761023E-4</v>
      </c>
      <c r="CI27" s="236">
        <v>0.99943537514839853</v>
      </c>
      <c r="CJ27" s="236">
        <v>1.9366257965992716E-13</v>
      </c>
      <c r="CK27" s="236">
        <v>6.2237211399393869E-20</v>
      </c>
      <c r="CL27" s="236">
        <v>0</v>
      </c>
      <c r="CM27" s="236">
        <v>0</v>
      </c>
      <c r="CN27" s="218">
        <f>MATCH(MAX(Таблица1[[#This Row],[1_ДА_Ап]:[7_ДА_Ап]]),Таблица1[[#This Row],[1_ДА_Ап]:[7_ДА_Ап]],0)</f>
        <v>3</v>
      </c>
      <c r="CO27" s="219">
        <f>IF(Таблица1[[#This Row],[ПДАсВ Итог Копия]]=Таблица1[[#This Row],[Train]],1,0)</f>
        <v>0</v>
      </c>
      <c r="CP27" s="219">
        <f>IF(Таблица1[[#This Row],[ПДАсВ Итог Копия]]=Таблица1[[#This Row],[К-средних]],1,0)</f>
        <v>1</v>
      </c>
      <c r="CQ27" s="234" t="s">
        <v>2586</v>
      </c>
      <c r="CR27" s="234" t="s">
        <v>2587</v>
      </c>
      <c r="CS27" s="234" t="s">
        <v>2589</v>
      </c>
      <c r="CT27" s="234" t="s">
        <v>2588</v>
      </c>
      <c r="CU27" s="234" t="s">
        <v>2590</v>
      </c>
      <c r="CV27" s="234" t="s">
        <v>2591</v>
      </c>
      <c r="CW27" s="234" t="s">
        <v>2592</v>
      </c>
      <c r="CX27" s="234" t="str">
        <f>RIGHT(Таблица1[[#This Row],[ПДАсИ 1]],1)</f>
        <v>3</v>
      </c>
      <c r="CY27" s="212">
        <v>3</v>
      </c>
      <c r="CZ27" s="212">
        <f>IF(Таблица1[[#This Row],[ПДАсИ Итог Копия]]=Таблица1[[#This Row],[Train]],1,0)</f>
        <v>0</v>
      </c>
      <c r="DA27" s="212">
        <f>IF(Таблица1[[#This Row],[ПДАсИ Итог Копия]]=Таблица1[[#This Row],[К-средних]],1,0)</f>
        <v>1</v>
      </c>
      <c r="DB27" s="237">
        <v>46.591190008999646</v>
      </c>
      <c r="DC27" s="237">
        <v>21.739934759374155</v>
      </c>
      <c r="DD27" s="237">
        <v>18.542371172692807</v>
      </c>
      <c r="DE27" s="237">
        <v>19.031534909401998</v>
      </c>
      <c r="DF27" s="237">
        <v>95.582086694777459</v>
      </c>
      <c r="DG27" s="237">
        <v>529.05182230140565</v>
      </c>
      <c r="DH27" s="237">
        <v>247.2603822073491</v>
      </c>
      <c r="DI27" s="224">
        <f>MATCH(MIN(Таблица1[[#This Row],[ПДАсИ Мах 1]:[ПДАсИ Мах 7]]),Таблица1[[#This Row],[ПДАсИ Мах 1]:[ПДАсИ Мах 7]],0)</f>
        <v>3</v>
      </c>
      <c r="DJ27" s="212">
        <f>IF(Таблица1[[#This Row],[ПДАсИ Мах Итог]]=Таблица1[[#This Row],[Train]],1,0)</f>
        <v>0</v>
      </c>
      <c r="DK27" s="212">
        <f>IF(Таблица1[[#This Row],[ПДАсИ Мах Итог]]=Таблица1[[#This Row],[К-средних]],1,0)</f>
        <v>1</v>
      </c>
      <c r="DL27" s="238">
        <v>3.6932309945357322E-7</v>
      </c>
      <c r="DM27" s="238">
        <v>0.12266671070326277</v>
      </c>
      <c r="DN27" s="238">
        <v>0.75854062207058615</v>
      </c>
      <c r="DO27" s="238">
        <v>0.11879229790305168</v>
      </c>
      <c r="DP27" s="238">
        <v>2.8316995372068672E-18</v>
      </c>
      <c r="DQ27" s="238">
        <v>0</v>
      </c>
      <c r="DR27" s="238">
        <v>0</v>
      </c>
      <c r="DS27" s="224">
        <f>MATCH(MAX(Таблица1[[#This Row],[ПДАсИ Ап 1]:[ПДАсИ Ап 7]]),Таблица1[[#This Row],[ПДАсИ Ап 1]:[ПДАсИ Ап 7]],0)</f>
        <v>3</v>
      </c>
      <c r="DT27" s="212">
        <f>IF(Таблица1[[#This Row],[ПДАсИ Ап Итог]]=Таблица1[[#This Row],[Train]],1,0)</f>
        <v>0</v>
      </c>
      <c r="DU27" s="212">
        <f>IF(Таблица1[[#This Row],[ПДАсИ Ап Итог]]=Таблица1[[#This Row],[К-средних]],1,0)</f>
        <v>1</v>
      </c>
    </row>
    <row r="28" spans="1:125" ht="13.8">
      <c r="A28" s="205" t="s">
        <v>296</v>
      </c>
      <c r="B28" s="319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320">
        <v>-9.5628940365837939E-2</v>
      </c>
      <c r="K28" s="324">
        <v>0.97493628898955165</v>
      </c>
      <c r="L28" s="325">
        <v>-0.52676090862852065</v>
      </c>
      <c r="M28" s="328">
        <v>0.68398860079373769</v>
      </c>
      <c r="N28" s="310">
        <v>0.45126041012666501</v>
      </c>
      <c r="O28" s="329">
        <v>-0.95143611205402279</v>
      </c>
      <c r="P28" s="206">
        <v>5</v>
      </c>
      <c r="Q28" s="207">
        <v>5</v>
      </c>
      <c r="R28" s="206">
        <v>7</v>
      </c>
      <c r="S28" s="208">
        <v>1</v>
      </c>
      <c r="T28" s="271">
        <v>5</v>
      </c>
      <c r="U28" s="271">
        <v>4</v>
      </c>
      <c r="V28" s="272">
        <v>4</v>
      </c>
      <c r="W28" s="272">
        <v>2</v>
      </c>
      <c r="X28" s="312">
        <v>4</v>
      </c>
      <c r="Y28" s="313">
        <v>4</v>
      </c>
      <c r="Z28" s="271">
        <v>5</v>
      </c>
      <c r="AA28" s="314">
        <v>1</v>
      </c>
      <c r="AB28" s="343">
        <v>1</v>
      </c>
      <c r="AC28" s="343">
        <f>IF(Таблица1[[#This Row],[Train]]=Таблица1[[#This Row],[НС]],1,0)</f>
        <v>0</v>
      </c>
      <c r="AD28" s="343">
        <f>IF(Таблица1[[#This Row],[НС]]=Таблица1[[#This Row],[К-средних]],1,0)</f>
        <v>1</v>
      </c>
      <c r="AE28" s="208"/>
      <c r="AF28" s="209">
        <f>SUMXMY2(Таблица1[[#This Row],[X1]:[X9]],Таблица1[[#Totals],[X1]:[X9]])</f>
        <v>7.8913985317955877</v>
      </c>
      <c r="AG28" s="239" t="s">
        <v>2588</v>
      </c>
      <c r="AH28" s="239" t="s">
        <v>2586</v>
      </c>
      <c r="AI28" s="239" t="s">
        <v>2590</v>
      </c>
      <c r="AJ28" s="239" t="s">
        <v>2587</v>
      </c>
      <c r="AK28" s="239" t="s">
        <v>2589</v>
      </c>
      <c r="AL28" s="239" t="s">
        <v>2591</v>
      </c>
      <c r="AM28" s="239" t="s">
        <v>2592</v>
      </c>
      <c r="AN28" s="239" t="str">
        <f>RIGHT(Таблица1[[#This Row],[ДА1]],1)</f>
        <v>1</v>
      </c>
      <c r="AO28" s="214">
        <v>1</v>
      </c>
      <c r="AP28" s="213">
        <f>IF(Таблица1[[#This Row],[ДА Итог Копия]]=Таблица1[[#This Row],[Train]],1,0)</f>
        <v>0</v>
      </c>
      <c r="AQ28" s="213">
        <f>IF(Таблица1[[#This Row],[ДА Итог Копия]]=Таблица1[[#This Row],[К-средних]],1,0)</f>
        <v>1</v>
      </c>
      <c r="AR28" s="216">
        <v>25.944308660458059</v>
      </c>
      <c r="AS28" s="216">
        <v>74.862071886365726</v>
      </c>
      <c r="AT28" s="216">
        <v>66.038628764915956</v>
      </c>
      <c r="AU28" s="216">
        <v>140.52965813671929</v>
      </c>
      <c r="AV28" s="216">
        <v>68.363854401868991</v>
      </c>
      <c r="AW28" s="216">
        <v>578.48270153803628</v>
      </c>
      <c r="AX28" s="217">
        <v>465.65458896831649</v>
      </c>
      <c r="AY28" s="218">
        <f>MATCH(MIN(Таблица1[[#This Row],[1 ДА Мах]:[7_ДА_Мах]]),Таблица1[[#This Row],[1 ДА Мах]:[7_ДА_Мах]],0)</f>
        <v>1</v>
      </c>
      <c r="AZ28" s="219">
        <f>IF(Таблица1[[#This Row],[ДА_Мах_Итог]]=Таблица1[[#This Row],[Train]],1,0)</f>
        <v>0</v>
      </c>
      <c r="BA28" s="219">
        <f>IF(Таблица1[[#This Row],[ДА_Мах_Итог]]=Таблица1[[#This Row],[К-средних]],1,0)</f>
        <v>1</v>
      </c>
      <c r="BB28" s="220">
        <v>0.99999999648625548</v>
      </c>
      <c r="BC28" s="220">
        <v>3.1811299978847969E-11</v>
      </c>
      <c r="BD28" s="220">
        <v>3.2770099465392856E-9</v>
      </c>
      <c r="BE28" s="220">
        <v>4.3750825470674797E-26</v>
      </c>
      <c r="BF28" s="220">
        <v>2.0492333898758177E-10</v>
      </c>
      <c r="BG28" s="220">
        <v>0</v>
      </c>
      <c r="BH28" s="220">
        <v>0</v>
      </c>
      <c r="BI28" s="218">
        <f>MATCH(MAX(Таблица1[[#This Row],[1_ДА_Ап]:[7_ДА_Ап]]),Таблица1[[#This Row],[1_ДА_Ап]:[7_ДА_Ап]],0)</f>
        <v>1</v>
      </c>
      <c r="BJ28" s="219">
        <f>IF(Таблица1[[#This Row],[ДА_Ап_Итог]]=Таблица1[[#This Row],[Train]],1,0)</f>
        <v>0</v>
      </c>
      <c r="BK28" s="219">
        <f>IF(Таблица1[[#This Row],[ДА_Ап_Итог]]=Таблица1[[#This Row],[К-средних]],1,0)</f>
        <v>1</v>
      </c>
      <c r="BL28" s="234" t="s">
        <v>2588</v>
      </c>
      <c r="BM28" s="234" t="s">
        <v>2586</v>
      </c>
      <c r="BN28" s="234" t="s">
        <v>2587</v>
      </c>
      <c r="BO28" s="234" t="s">
        <v>2590</v>
      </c>
      <c r="BP28" s="234" t="s">
        <v>2589</v>
      </c>
      <c r="BQ28" s="234" t="s">
        <v>2591</v>
      </c>
      <c r="BR28" s="234" t="s">
        <v>2592</v>
      </c>
      <c r="BS28" s="234" t="str">
        <f>RIGHT(Таблица1[[#This Row],[ПДАсВ 1]],1)</f>
        <v>1</v>
      </c>
      <c r="BT28" s="227">
        <v>1</v>
      </c>
      <c r="BU28" s="212">
        <f>IF(Таблица1[[#This Row],[ПДАсВ Итог Копия]]=Таблица1[[#This Row],[Train]],1,0)</f>
        <v>0</v>
      </c>
      <c r="BV28" s="212">
        <f>IF(Таблица1[[#This Row],[ПДАсВ Итог Копия]]=Таблица1[[#This Row],[К-средних]],1,0)</f>
        <v>1</v>
      </c>
      <c r="BW28" s="235">
        <v>14.831216331969953</v>
      </c>
      <c r="BX28" s="235">
        <v>50.93928251740909</v>
      </c>
      <c r="BY28" s="235">
        <v>38.029713234101621</v>
      </c>
      <c r="BZ28" s="235">
        <v>95.062703652789168</v>
      </c>
      <c r="CA28" s="235">
        <v>63.528385462335009</v>
      </c>
      <c r="CB28" s="235">
        <v>554.71694264941152</v>
      </c>
      <c r="CC28" s="235">
        <v>312.66297659650212</v>
      </c>
      <c r="CD28" s="218">
        <f>MATCH(MIN(Таблица1[[#This Row],[1 ДА Мах]:[7_ДА_Мах]]),Таблица1[[#This Row],[1 ДА Мах]:[7_ДА_Мах]],0)</f>
        <v>1</v>
      </c>
      <c r="CE28" s="219">
        <f>IF(Таблица1[[#This Row],[ДА_Мах_Итог]]=Таблица1[[#This Row],[Train]],1,0)</f>
        <v>0</v>
      </c>
      <c r="CF28" s="219">
        <f>IF(Таблица1[[#This Row],[ДА_Мах_Итог]]=Таблица1[[#This Row],[К-средних]],1,0)</f>
        <v>1</v>
      </c>
      <c r="CG28" s="236">
        <v>0.99998469268842982</v>
      </c>
      <c r="CH28" s="236">
        <v>1.9238231232905262E-8</v>
      </c>
      <c r="CI28" s="236">
        <v>1.5288064458895608E-5</v>
      </c>
      <c r="CJ28" s="236">
        <v>1.2613220505866678E-18</v>
      </c>
      <c r="CK28" s="236">
        <v>8.8800656913315059E-12</v>
      </c>
      <c r="CL28" s="236">
        <v>0</v>
      </c>
      <c r="CM28" s="236">
        <v>0</v>
      </c>
      <c r="CN28" s="218">
        <f>MATCH(MAX(Таблица1[[#This Row],[1_ДА_Ап]:[7_ДА_Ап]]),Таблица1[[#This Row],[1_ДА_Ап]:[7_ДА_Ап]],0)</f>
        <v>1</v>
      </c>
      <c r="CO28" s="219">
        <f>IF(Таблица1[[#This Row],[ПДАсВ Итог Копия]]=Таблица1[[#This Row],[Train]],1,0)</f>
        <v>0</v>
      </c>
      <c r="CP28" s="219">
        <f>IF(Таблица1[[#This Row],[ПДАсВ Итог Копия]]=Таблица1[[#This Row],[К-средних]],1,0)</f>
        <v>1</v>
      </c>
      <c r="CQ28" s="234" t="s">
        <v>2588</v>
      </c>
      <c r="CR28" s="234" t="s">
        <v>2586</v>
      </c>
      <c r="CS28" s="234" t="s">
        <v>2587</v>
      </c>
      <c r="CT28" s="234" t="s">
        <v>2590</v>
      </c>
      <c r="CU28" s="234" t="s">
        <v>2589</v>
      </c>
      <c r="CV28" s="234" t="s">
        <v>2591</v>
      </c>
      <c r="CW28" s="234" t="s">
        <v>2592</v>
      </c>
      <c r="CX28" s="234" t="str">
        <f>RIGHT(Таблица1[[#This Row],[ПДАсИ 1]],1)</f>
        <v>1</v>
      </c>
      <c r="CY28" s="212">
        <v>1</v>
      </c>
      <c r="CZ28" s="212">
        <f>IF(Таблица1[[#This Row],[ПДАсИ Итог Копия]]=Таблица1[[#This Row],[Train]],1,0)</f>
        <v>0</v>
      </c>
      <c r="DA28" s="212">
        <f>IF(Таблица1[[#This Row],[ПДАсИ Итог Копия]]=Таблица1[[#This Row],[К-средних]],1,0)</f>
        <v>1</v>
      </c>
      <c r="DB28" s="237">
        <v>15.483554285257142</v>
      </c>
      <c r="DC28" s="237">
        <v>56.348732685755586</v>
      </c>
      <c r="DD28" s="237">
        <v>44.630596122570978</v>
      </c>
      <c r="DE28" s="237">
        <v>104.6599874346753</v>
      </c>
      <c r="DF28" s="237">
        <v>65.79598977730538</v>
      </c>
      <c r="DG28" s="237">
        <v>421.48205748517006</v>
      </c>
      <c r="DH28" s="237">
        <v>445.60458533759623</v>
      </c>
      <c r="DI28" s="224">
        <f>MATCH(MIN(Таблица1[[#This Row],[ПДАсИ Мах 1]:[ПДАсИ Мах 7]]),Таблица1[[#This Row],[ПДАсИ Мах 1]:[ПДАсИ Мах 7]],0)</f>
        <v>1</v>
      </c>
      <c r="DJ28" s="212">
        <f>IF(Таблица1[[#This Row],[ПДАсИ Мах Итог]]=Таблица1[[#This Row],[Train]],1,0)</f>
        <v>0</v>
      </c>
      <c r="DK28" s="212">
        <f>IF(Таблица1[[#This Row],[ПДАсИ Мах Итог]]=Таблица1[[#This Row],[К-средних]],1,0)</f>
        <v>1</v>
      </c>
      <c r="DL28" s="238">
        <v>0.99999921721714224</v>
      </c>
      <c r="DM28" s="238">
        <v>1.7831080307580264E-9</v>
      </c>
      <c r="DN28" s="238">
        <v>7.8099578997823421E-7</v>
      </c>
      <c r="DO28" s="238">
        <v>1.4403299419844507E-20</v>
      </c>
      <c r="DP28" s="238">
        <v>3.9597872475349025E-12</v>
      </c>
      <c r="DQ28" s="238">
        <v>0</v>
      </c>
      <c r="DR28" s="238">
        <v>0</v>
      </c>
      <c r="DS28" s="224">
        <f>MATCH(MAX(Таблица1[[#This Row],[ПДАсИ Ап 1]:[ПДАсИ Ап 7]]),Таблица1[[#This Row],[ПДАсИ Ап 1]:[ПДАсИ Ап 7]],0)</f>
        <v>1</v>
      </c>
      <c r="DT28" s="212">
        <f>IF(Таблица1[[#This Row],[ПДАсИ Ап Итог]]=Таблица1[[#This Row],[Train]],1,0)</f>
        <v>0</v>
      </c>
      <c r="DU28" s="212">
        <f>IF(Таблица1[[#This Row],[ПДАсИ Ап Итог]]=Таблица1[[#This Row],[К-средних]],1,0)</f>
        <v>1</v>
      </c>
    </row>
    <row r="29" spans="1:125" ht="13.8">
      <c r="A29" s="205" t="s">
        <v>297</v>
      </c>
      <c r="B29" s="319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320">
        <v>-0.29690716564609937</v>
      </c>
      <c r="K29" s="324">
        <v>1.4395658363140249</v>
      </c>
      <c r="L29" s="325">
        <v>-0.30848258554336028</v>
      </c>
      <c r="M29" s="328">
        <v>1.4202358926393415</v>
      </c>
      <c r="N29" s="310">
        <v>0.5027108744592127</v>
      </c>
      <c r="O29" s="329">
        <v>1.1868035008672357</v>
      </c>
      <c r="P29" s="206">
        <v>5</v>
      </c>
      <c r="Q29" s="207">
        <v>3</v>
      </c>
      <c r="R29" s="206">
        <v>7</v>
      </c>
      <c r="S29" s="208">
        <v>1</v>
      </c>
      <c r="T29" s="271">
        <v>1</v>
      </c>
      <c r="U29" s="271">
        <v>3</v>
      </c>
      <c r="V29" s="272">
        <v>7</v>
      </c>
      <c r="W29" s="272">
        <v>7</v>
      </c>
      <c r="X29" s="312">
        <v>1</v>
      </c>
      <c r="Y29" s="313">
        <v>3</v>
      </c>
      <c r="Z29" s="271">
        <v>2</v>
      </c>
      <c r="AA29" s="314">
        <v>5</v>
      </c>
      <c r="AB29" s="343">
        <v>3</v>
      </c>
      <c r="AC29" s="343">
        <f>IF(Таблица1[[#This Row],[Train]]=Таблица1[[#This Row],[НС]],1,0)</f>
        <v>0</v>
      </c>
      <c r="AD29" s="343">
        <f>IF(Таблица1[[#This Row],[НС]]=Таблица1[[#This Row],[К-средних]],1,0)</f>
        <v>0</v>
      </c>
      <c r="AE29" s="208"/>
      <c r="AF29" s="209">
        <f>SUMXMY2(Таблица1[[#This Row],[X1]:[X9]],Таблица1[[#Totals],[X1]:[X9]])</f>
        <v>11.04114701922987</v>
      </c>
      <c r="AG29" s="239" t="s">
        <v>2586</v>
      </c>
      <c r="AH29" s="239" t="s">
        <v>2588</v>
      </c>
      <c r="AI29" s="239" t="s">
        <v>2587</v>
      </c>
      <c r="AJ29" s="239" t="s">
        <v>2589</v>
      </c>
      <c r="AK29" s="239" t="s">
        <v>2590</v>
      </c>
      <c r="AL29" s="239" t="s">
        <v>2591</v>
      </c>
      <c r="AM29" s="239" t="s">
        <v>2592</v>
      </c>
      <c r="AN29" s="239" t="str">
        <f>RIGHT(Таблица1[[#This Row],[ДА1]],1)</f>
        <v>3</v>
      </c>
      <c r="AO29" s="214">
        <v>3</v>
      </c>
      <c r="AP29" s="213">
        <f>IF(Таблица1[[#This Row],[ДА Итог Копия]]=Таблица1[[#This Row],[Train]],1,0)</f>
        <v>0</v>
      </c>
      <c r="AQ29" s="213">
        <f>IF(Таблица1[[#This Row],[ДА Итог Копия]]=Таблица1[[#This Row],[К-средних]],1,0)</f>
        <v>0</v>
      </c>
      <c r="AR29" s="216">
        <v>55.930550519479823</v>
      </c>
      <c r="AS29" s="216">
        <v>57.512058000959208</v>
      </c>
      <c r="AT29" s="216">
        <v>35.542417644696343</v>
      </c>
      <c r="AU29" s="216">
        <v>113.83881223904584</v>
      </c>
      <c r="AV29" s="216">
        <v>191.76310598971062</v>
      </c>
      <c r="AW29" s="216">
        <v>797.48993350472051</v>
      </c>
      <c r="AX29" s="217">
        <v>284.53387978134998</v>
      </c>
      <c r="AY29" s="218">
        <f>MATCH(MIN(Таблица1[[#This Row],[1 ДА Мах]:[7_ДА_Мах]]),Таблица1[[#This Row],[1 ДА Мах]:[7_ДА_Мах]],0)</f>
        <v>3</v>
      </c>
      <c r="AZ29" s="219">
        <f>IF(Таблица1[[#This Row],[ДА_Мах_Итог]]=Таблица1[[#This Row],[Train]],1,0)</f>
        <v>0</v>
      </c>
      <c r="BA29" s="219">
        <f>IF(Таблица1[[#This Row],[ДА_Мах_Итог]]=Таблица1[[#This Row],[К-средних]],1,0)</f>
        <v>0</v>
      </c>
      <c r="BB29" s="220">
        <v>2.2434108392029658E-5</v>
      </c>
      <c r="BC29" s="220">
        <v>1.3565242577043969E-5</v>
      </c>
      <c r="BD29" s="220">
        <v>0.99996400064903102</v>
      </c>
      <c r="BE29" s="220">
        <v>1.9914449171571993E-18</v>
      </c>
      <c r="BF29" s="220">
        <v>0</v>
      </c>
      <c r="BG29" s="220">
        <v>0</v>
      </c>
      <c r="BH29" s="220">
        <v>0</v>
      </c>
      <c r="BI29" s="218">
        <f>MATCH(MAX(Таблица1[[#This Row],[1_ДА_Ап]:[7_ДА_Ап]]),Таблица1[[#This Row],[1_ДА_Ап]:[7_ДА_Ап]],0)</f>
        <v>3</v>
      </c>
      <c r="BJ29" s="219">
        <f>IF(Таблица1[[#This Row],[ДА_Ап_Итог]]=Таблица1[[#This Row],[Train]],1,0)</f>
        <v>0</v>
      </c>
      <c r="BK29" s="219">
        <f>IF(Таблица1[[#This Row],[ДА_Ап_Итог]]=Таблица1[[#This Row],[К-средних]],1,0)</f>
        <v>0</v>
      </c>
      <c r="BL29" s="234" t="s">
        <v>2586</v>
      </c>
      <c r="BM29" s="234" t="s">
        <v>2588</v>
      </c>
      <c r="BN29" s="234" t="s">
        <v>2587</v>
      </c>
      <c r="BO29" s="234" t="s">
        <v>2590</v>
      </c>
      <c r="BP29" s="234" t="s">
        <v>2589</v>
      </c>
      <c r="BQ29" s="234" t="s">
        <v>2591</v>
      </c>
      <c r="BR29" s="234" t="s">
        <v>2592</v>
      </c>
      <c r="BS29" s="234" t="str">
        <f>RIGHT(Таблица1[[#This Row],[ПДАсВ 1]],1)</f>
        <v>3</v>
      </c>
      <c r="BT29" s="227">
        <v>3</v>
      </c>
      <c r="BU29" s="212">
        <f>IF(Таблица1[[#This Row],[ПДАсВ Итог Копия]]=Таблица1[[#This Row],[Train]],1,0)</f>
        <v>0</v>
      </c>
      <c r="BV29" s="212">
        <f>IF(Таблица1[[#This Row],[ПДАсВ Итог Копия]]=Таблица1[[#This Row],[К-средних]],1,0)</f>
        <v>0</v>
      </c>
      <c r="BW29" s="235">
        <v>10.78267195757368</v>
      </c>
      <c r="BX29" s="235">
        <v>17.655553137753067</v>
      </c>
      <c r="BY29" s="235">
        <v>8.1915796705852202</v>
      </c>
      <c r="BZ29" s="235">
        <v>85.729507268262623</v>
      </c>
      <c r="CA29" s="235">
        <v>71.20152694672278</v>
      </c>
      <c r="CB29" s="235">
        <v>702.47951406610423</v>
      </c>
      <c r="CC29" s="235">
        <v>265.14733229548978</v>
      </c>
      <c r="CD29" s="218">
        <f>MATCH(MIN(Таблица1[[#This Row],[1 ДА Мах]:[7_ДА_Мах]]),Таблица1[[#This Row],[1 ДА Мах]:[7_ДА_Мах]],0)</f>
        <v>3</v>
      </c>
      <c r="CE29" s="219">
        <f>IF(Таблица1[[#This Row],[ДА_Мах_Итог]]=Таблица1[[#This Row],[Train]],1,0)</f>
        <v>0</v>
      </c>
      <c r="CF29" s="219">
        <f>IF(Таблица1[[#This Row],[ДА_Мах_Итог]]=Таблица1[[#This Row],[К-средних]],1,0)</f>
        <v>0</v>
      </c>
      <c r="CG29" s="236">
        <v>0.14022840441159234</v>
      </c>
      <c r="CH29" s="236">
        <v>6.0165501824688862E-3</v>
      </c>
      <c r="CI29" s="236">
        <v>0.85375504540593528</v>
      </c>
      <c r="CJ29" s="236">
        <v>2.4843697464079244E-18</v>
      </c>
      <c r="CK29" s="236">
        <v>3.5475381569045914E-15</v>
      </c>
      <c r="CL29" s="236">
        <v>0</v>
      </c>
      <c r="CM29" s="236">
        <v>0</v>
      </c>
      <c r="CN29" s="218">
        <f>MATCH(MAX(Таблица1[[#This Row],[1_ДА_Ап]:[7_ДА_Ап]]),Таблица1[[#This Row],[1_ДА_Ап]:[7_ДА_Ап]],0)</f>
        <v>3</v>
      </c>
      <c r="CO29" s="219">
        <f>IF(Таблица1[[#This Row],[ПДАсВ Итог Копия]]=Таблица1[[#This Row],[Train]],1,0)</f>
        <v>0</v>
      </c>
      <c r="CP29" s="219">
        <f>IF(Таблица1[[#This Row],[ПДАсВ Итог Копия]]=Таблица1[[#This Row],[К-средних]],1,0)</f>
        <v>0</v>
      </c>
      <c r="CQ29" s="234" t="s">
        <v>2586</v>
      </c>
      <c r="CR29" s="234" t="s">
        <v>2587</v>
      </c>
      <c r="CS29" s="234" t="s">
        <v>2588</v>
      </c>
      <c r="CT29" s="234" t="s">
        <v>2589</v>
      </c>
      <c r="CU29" s="234" t="s">
        <v>2590</v>
      </c>
      <c r="CV29" s="234" t="s">
        <v>2591</v>
      </c>
      <c r="CW29" s="234" t="s">
        <v>2592</v>
      </c>
      <c r="CX29" s="234" t="str">
        <f>RIGHT(Таблица1[[#This Row],[ПДАсИ 1]],1)</f>
        <v>3</v>
      </c>
      <c r="CY29" s="212">
        <v>3</v>
      </c>
      <c r="CZ29" s="212">
        <f>IF(Таблица1[[#This Row],[ПДАсИ Итог Копия]]=Таблица1[[#This Row],[Train]],1,0)</f>
        <v>0</v>
      </c>
      <c r="DA29" s="212">
        <f>IF(Таблица1[[#This Row],[ПДАсИ Итог Копия]]=Таблица1[[#This Row],[К-средних]],1,0)</f>
        <v>0</v>
      </c>
      <c r="DB29" s="237">
        <v>52.714959894464087</v>
      </c>
      <c r="DC29" s="237">
        <v>49.565579078959331</v>
      </c>
      <c r="DD29" s="237">
        <v>34.570709957349244</v>
      </c>
      <c r="DE29" s="237">
        <v>82.031844343662897</v>
      </c>
      <c r="DF29" s="237">
        <v>163.2915920652444</v>
      </c>
      <c r="DG29" s="237">
        <v>586.11395566183967</v>
      </c>
      <c r="DH29" s="237">
        <v>257.3237199905044</v>
      </c>
      <c r="DI29" s="224">
        <f>MATCH(MIN(Таблица1[[#This Row],[ПДАсИ Мах 1]:[ПДАсИ Мах 7]]),Таблица1[[#This Row],[ПДАсИ Мах 1]:[ПДАсИ Мах 7]],0)</f>
        <v>3</v>
      </c>
      <c r="DJ29" s="212">
        <f>IF(Таблица1[[#This Row],[ПДАсИ Мах Итог]]=Таблица1[[#This Row],[Train]],1,0)</f>
        <v>0</v>
      </c>
      <c r="DK29" s="212">
        <f>IF(Таблица1[[#This Row],[ПДАсИ Мах Итог]]=Таблица1[[#This Row],[К-средних]],1,0)</f>
        <v>0</v>
      </c>
      <c r="DL29" s="238">
        <v>6.885808169415777E-5</v>
      </c>
      <c r="DM29" s="238">
        <v>4.4337684735911348E-4</v>
      </c>
      <c r="DN29" s="238">
        <v>0.99948776506106685</v>
      </c>
      <c r="DO29" s="238">
        <v>9.879912388518016E-12</v>
      </c>
      <c r="DP29" s="238">
        <v>2.2357491549434953E-29</v>
      </c>
      <c r="DQ29" s="238">
        <v>0</v>
      </c>
      <c r="DR29" s="238">
        <v>0</v>
      </c>
      <c r="DS29" s="224">
        <f>MATCH(MAX(Таблица1[[#This Row],[ПДАсИ Ап 1]:[ПДАсИ Ап 7]]),Таблица1[[#This Row],[ПДАсИ Ап 1]:[ПДАсИ Ап 7]],0)</f>
        <v>3</v>
      </c>
      <c r="DT29" s="212">
        <f>IF(Таблица1[[#This Row],[ПДАсИ Ап Итог]]=Таблица1[[#This Row],[Train]],1,0)</f>
        <v>0</v>
      </c>
      <c r="DU29" s="212">
        <f>IF(Таблица1[[#This Row],[ПДАсИ Ап Итог]]=Таблица1[[#This Row],[К-средних]],1,0)</f>
        <v>0</v>
      </c>
    </row>
    <row r="30" spans="1:125" ht="13.8">
      <c r="A30" s="205" t="s">
        <v>298</v>
      </c>
      <c r="B30" s="319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320">
        <v>0.19408971723453797</v>
      </c>
      <c r="K30" s="324">
        <v>0.89348547526359789</v>
      </c>
      <c r="L30" s="325">
        <v>2.704492275511363E-2</v>
      </c>
      <c r="M30" s="328">
        <v>0.72176335616599863</v>
      </c>
      <c r="N30" s="310">
        <v>-1.4707495413943159E-2</v>
      </c>
      <c r="O30" s="329">
        <v>-0.43993233667170595</v>
      </c>
      <c r="P30" s="206">
        <v>5</v>
      </c>
      <c r="Q30" s="207">
        <v>5</v>
      </c>
      <c r="R30" s="206">
        <v>7</v>
      </c>
      <c r="S30" s="208">
        <v>1</v>
      </c>
      <c r="T30" s="271">
        <v>5</v>
      </c>
      <c r="U30" s="271">
        <v>4</v>
      </c>
      <c r="V30" s="272">
        <v>4</v>
      </c>
      <c r="W30" s="272">
        <v>2</v>
      </c>
      <c r="X30" s="312">
        <v>4</v>
      </c>
      <c r="Y30" s="313">
        <v>4</v>
      </c>
      <c r="Z30" s="271">
        <v>5</v>
      </c>
      <c r="AA30" s="314">
        <v>1</v>
      </c>
      <c r="AB30" s="314">
        <v>1</v>
      </c>
      <c r="AC30" s="314">
        <f>IF(Таблица1[[#This Row],[Train]]=Таблица1[[#This Row],[НС]],1,0)</f>
        <v>1</v>
      </c>
      <c r="AD30" s="314">
        <f>IF(Таблица1[[#This Row],[НС]]=Таблица1[[#This Row],[К-средних]],1,0)</f>
        <v>1</v>
      </c>
      <c r="AE30" s="208">
        <v>1</v>
      </c>
      <c r="AF30" s="209">
        <f>SUMXMY2(Таблица1[[#This Row],[X1]:[X9]],Таблица1[[#Totals],[X1]:[X9]])</f>
        <v>3.8603253626256659</v>
      </c>
      <c r="AG30" s="239" t="s">
        <v>2588</v>
      </c>
      <c r="AH30" s="239" t="s">
        <v>2587</v>
      </c>
      <c r="AI30" s="239" t="s">
        <v>2586</v>
      </c>
      <c r="AJ30" s="239" t="s">
        <v>2590</v>
      </c>
      <c r="AK30" s="239" t="s">
        <v>2589</v>
      </c>
      <c r="AL30" s="239" t="s">
        <v>2591</v>
      </c>
      <c r="AM30" s="239" t="s">
        <v>2592</v>
      </c>
      <c r="AN30" s="239" t="str">
        <f>RIGHT(Таблица1[[#This Row],[ДА1]],1)</f>
        <v>1</v>
      </c>
      <c r="AO30" s="214">
        <v>1</v>
      </c>
      <c r="AP30" s="213">
        <f>IF(Таблица1[[#This Row],[ДА Итог Копия]]=Таблица1[[#This Row],[Train]],1,0)</f>
        <v>1</v>
      </c>
      <c r="AQ30" s="213">
        <f>IF(Таблица1[[#This Row],[ДА Итог Копия]]=Таблица1[[#This Row],[К-средних]],1,0)</f>
        <v>1</v>
      </c>
      <c r="AR30" s="216">
        <v>8.0349472938736657</v>
      </c>
      <c r="AS30" s="216">
        <v>33.343689332560487</v>
      </c>
      <c r="AT30" s="216">
        <v>37.27974197393587</v>
      </c>
      <c r="AU30" s="216">
        <v>127.52443368588415</v>
      </c>
      <c r="AV30" s="216">
        <v>83.016200980232099</v>
      </c>
      <c r="AW30" s="216">
        <v>566.98610257847122</v>
      </c>
      <c r="AX30" s="217">
        <v>397.14067121324217</v>
      </c>
      <c r="AY30" s="218">
        <f>MATCH(MIN(Таблица1[[#This Row],[1 ДА Мах]:[7_ДА_Мах]]),Таблица1[[#This Row],[1 ДА Мах]:[7_ДА_Мах]],0)</f>
        <v>1</v>
      </c>
      <c r="AZ30" s="219">
        <f>IF(Таблица1[[#This Row],[ДА_Мах_Итог]]=Таблица1[[#This Row],[Train]],1,0)</f>
        <v>1</v>
      </c>
      <c r="BA30" s="219">
        <f>IF(Таблица1[[#This Row],[ДА_Мах_Итог]]=Таблица1[[#This Row],[К-средних]],1,0)</f>
        <v>1</v>
      </c>
      <c r="BB30" s="220">
        <v>0.99999499818921067</v>
      </c>
      <c r="BC30" s="220">
        <v>4.2580725687673521E-6</v>
      </c>
      <c r="BD30" s="220">
        <v>7.4373822057941343E-7</v>
      </c>
      <c r="BE30" s="220">
        <v>3.7675955933274281E-27</v>
      </c>
      <c r="BF30" s="220">
        <v>1.7414227425116986E-17</v>
      </c>
      <c r="BG30" s="220">
        <v>0</v>
      </c>
      <c r="BH30" s="220">
        <v>0</v>
      </c>
      <c r="BI30" s="218">
        <f>MATCH(MAX(Таблица1[[#This Row],[1_ДА_Ап]:[7_ДА_Ап]]),Таблица1[[#This Row],[1_ДА_Ап]:[7_ДА_Ап]],0)</f>
        <v>1</v>
      </c>
      <c r="BJ30" s="219">
        <f>IF(Таблица1[[#This Row],[ДА_Ап_Итог]]=Таблица1[[#This Row],[Train]],1,0)</f>
        <v>1</v>
      </c>
      <c r="BK30" s="219">
        <f>IF(Таблица1[[#This Row],[ДА_Ап_Итог]]=Таблица1[[#This Row],[К-средних]],1,0)</f>
        <v>1</v>
      </c>
      <c r="BL30" s="234" t="s">
        <v>2588</v>
      </c>
      <c r="BM30" s="234" t="s">
        <v>2586</v>
      </c>
      <c r="BN30" s="234" t="s">
        <v>2587</v>
      </c>
      <c r="BO30" s="234" t="s">
        <v>2590</v>
      </c>
      <c r="BP30" s="234" t="s">
        <v>2589</v>
      </c>
      <c r="BQ30" s="234" t="s">
        <v>2591</v>
      </c>
      <c r="BR30" s="234" t="s">
        <v>2592</v>
      </c>
      <c r="BS30" s="234" t="str">
        <f>RIGHT(Таблица1[[#This Row],[ПДАсВ 1]],1)</f>
        <v>1</v>
      </c>
      <c r="BT30" s="227">
        <v>1</v>
      </c>
      <c r="BU30" s="212">
        <f>IF(Таблица1[[#This Row],[ПДАсВ Итог Копия]]=Таблица1[[#This Row],[Train]],1,0)</f>
        <v>1</v>
      </c>
      <c r="BV30" s="212">
        <f>IF(Таблица1[[#This Row],[ПДАсВ Итог Копия]]=Таблица1[[#This Row],[К-средних]],1,0)</f>
        <v>1</v>
      </c>
      <c r="BW30" s="235">
        <v>1.8575325511663514</v>
      </c>
      <c r="BX30" s="235">
        <v>23.370617042742833</v>
      </c>
      <c r="BY30" s="235">
        <v>17.475509724923882</v>
      </c>
      <c r="BZ30" s="235">
        <v>88.225249072455171</v>
      </c>
      <c r="CA30" s="235">
        <v>73.464438607756989</v>
      </c>
      <c r="CB30" s="235">
        <v>555.09261667047031</v>
      </c>
      <c r="CC30" s="235">
        <v>245.35909294419648</v>
      </c>
      <c r="CD30" s="218">
        <f>MATCH(MIN(Таблица1[[#This Row],[1 ДА Мах]:[7_ДА_Мах]]),Таблица1[[#This Row],[1 ДА Мах]:[7_ДА_Мах]],0)</f>
        <v>1</v>
      </c>
      <c r="CE30" s="219">
        <f>IF(Таблица1[[#This Row],[ДА_Мах_Итог]]=Таблица1[[#This Row],[Train]],1,0)</f>
        <v>1</v>
      </c>
      <c r="CF30" s="219">
        <f>IF(Таблица1[[#This Row],[ДА_Мах_Итог]]=Таблица1[[#This Row],[К-средних]],1,0)</f>
        <v>1</v>
      </c>
      <c r="CG30" s="236">
        <v>0.9992953086145554</v>
      </c>
      <c r="CH30" s="236">
        <v>2.8387401705584548E-5</v>
      </c>
      <c r="CI30" s="236">
        <v>6.7630398373894551E-4</v>
      </c>
      <c r="CJ30" s="236">
        <v>5.8622082716645838E-20</v>
      </c>
      <c r="CK30" s="236">
        <v>9.4043873912805398E-17</v>
      </c>
      <c r="CL30" s="236">
        <v>0</v>
      </c>
      <c r="CM30" s="236">
        <v>0</v>
      </c>
      <c r="CN30" s="218">
        <f>MATCH(MAX(Таблица1[[#This Row],[1_ДА_Ап]:[7_ДА_Ап]]),Таблица1[[#This Row],[1_ДА_Ап]:[7_ДА_Ап]],0)</f>
        <v>1</v>
      </c>
      <c r="CO30" s="219">
        <f>IF(Таблица1[[#This Row],[ПДАсВ Итог Копия]]=Таблица1[[#This Row],[Train]],1,0)</f>
        <v>1</v>
      </c>
      <c r="CP30" s="219">
        <f>IF(Таблица1[[#This Row],[ПДАсВ Итог Копия]]=Таблица1[[#This Row],[К-средних]],1,0)</f>
        <v>1</v>
      </c>
      <c r="CQ30" s="234" t="s">
        <v>2588</v>
      </c>
      <c r="CR30" s="234" t="s">
        <v>2587</v>
      </c>
      <c r="CS30" s="234" t="s">
        <v>2586</v>
      </c>
      <c r="CT30" s="234" t="s">
        <v>2590</v>
      </c>
      <c r="CU30" s="234" t="s">
        <v>2589</v>
      </c>
      <c r="CV30" s="234" t="s">
        <v>2591</v>
      </c>
      <c r="CW30" s="234" t="s">
        <v>2592</v>
      </c>
      <c r="CX30" s="234" t="str">
        <f>RIGHT(Таблица1[[#This Row],[ПДАсИ 1]],1)</f>
        <v>1</v>
      </c>
      <c r="CY30" s="212">
        <v>1</v>
      </c>
      <c r="CZ30" s="212">
        <f>IF(Таблица1[[#This Row],[ПДАсИ Итог Копия]]=Таблица1[[#This Row],[Train]],1,0)</f>
        <v>1</v>
      </c>
      <c r="DA30" s="212">
        <f>IF(Таблица1[[#This Row],[ПДАсИ Итог Копия]]=Таблица1[[#This Row],[К-средних]],1,0)</f>
        <v>1</v>
      </c>
      <c r="DB30" s="237">
        <v>3.6432200930771175</v>
      </c>
      <c r="DC30" s="237">
        <v>24.436500764349798</v>
      </c>
      <c r="DD30" s="237">
        <v>26.270667827205607</v>
      </c>
      <c r="DE30" s="237">
        <v>76.733681938790198</v>
      </c>
      <c r="DF30" s="237">
        <v>62.159338621861259</v>
      </c>
      <c r="DG30" s="237">
        <v>351.55568215171604</v>
      </c>
      <c r="DH30" s="237">
        <v>358.44899412813055</v>
      </c>
      <c r="DI30" s="224">
        <f>MATCH(MIN(Таблица1[[#This Row],[ПДАсИ Мах 1]:[ПДАсИ Мах 7]]),Таблица1[[#This Row],[ПДАсИ Мах 1]:[ПДАсИ Мах 7]],0)</f>
        <v>1</v>
      </c>
      <c r="DJ30" s="212">
        <f>IF(Таблица1[[#This Row],[ПДАсИ Мах Итог]]=Таблица1[[#This Row],[Train]],1,0)</f>
        <v>1</v>
      </c>
      <c r="DK30" s="212">
        <f>IF(Таблица1[[#This Row],[ПДАсИ Мах Итог]]=Таблица1[[#This Row],[К-средних]],1,0)</f>
        <v>1</v>
      </c>
      <c r="DL30" s="238">
        <v>0.99993895006380218</v>
      </c>
      <c r="DM30" s="238">
        <v>4.071071163595027E-5</v>
      </c>
      <c r="DN30" s="238">
        <v>2.0339224496263487E-5</v>
      </c>
      <c r="DO30" s="238">
        <v>4.4818787285612261E-17</v>
      </c>
      <c r="DP30" s="238">
        <v>6.549958390664245E-14</v>
      </c>
      <c r="DQ30" s="238">
        <v>0</v>
      </c>
      <c r="DR30" s="238">
        <v>0</v>
      </c>
      <c r="DS30" s="224">
        <f>MATCH(MAX(Таблица1[[#This Row],[ПДАсИ Ап 1]:[ПДАсИ Ап 7]]),Таблица1[[#This Row],[ПДАсИ Ап 1]:[ПДАсИ Ап 7]],0)</f>
        <v>1</v>
      </c>
      <c r="DT30" s="212">
        <f>IF(Таблица1[[#This Row],[ПДАсИ Ап Итог]]=Таблица1[[#This Row],[Train]],1,0)</f>
        <v>1</v>
      </c>
      <c r="DU30" s="212">
        <f>IF(Таблица1[[#This Row],[ПДАсИ Ап Итог]]=Таблица1[[#This Row],[К-средних]],1,0)</f>
        <v>1</v>
      </c>
    </row>
    <row r="31" spans="1:125" ht="13.8">
      <c r="A31" s="205" t="s">
        <v>299</v>
      </c>
      <c r="B31" s="319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320">
        <v>0.96565624747553858</v>
      </c>
      <c r="K31" s="324">
        <v>-0.88911062369306804</v>
      </c>
      <c r="L31" s="325">
        <v>-0.54877663704302182</v>
      </c>
      <c r="M31" s="328">
        <v>-1.1437017760794193</v>
      </c>
      <c r="N31" s="310">
        <v>0.55838645198618519</v>
      </c>
      <c r="O31" s="329">
        <v>-1.0006019309878711</v>
      </c>
      <c r="P31" s="206">
        <v>6</v>
      </c>
      <c r="Q31" s="207">
        <v>5</v>
      </c>
      <c r="R31" s="206">
        <v>6</v>
      </c>
      <c r="S31" s="208">
        <v>5</v>
      </c>
      <c r="T31" s="271">
        <v>4</v>
      </c>
      <c r="U31" s="271">
        <v>5</v>
      </c>
      <c r="V31" s="272">
        <v>1</v>
      </c>
      <c r="W31" s="272">
        <v>4</v>
      </c>
      <c r="X31" s="312">
        <v>5</v>
      </c>
      <c r="Y31" s="313">
        <v>5</v>
      </c>
      <c r="Z31" s="271">
        <v>3</v>
      </c>
      <c r="AA31" s="314">
        <v>6</v>
      </c>
      <c r="AB31" s="343">
        <v>1</v>
      </c>
      <c r="AC31" s="343">
        <f>IF(Таблица1[[#This Row],[Train]]=Таблица1[[#This Row],[НС]],1,0)</f>
        <v>0</v>
      </c>
      <c r="AD31" s="343">
        <f>IF(Таблица1[[#This Row],[НС]]=Таблица1[[#This Row],[К-средних]],1,0)</f>
        <v>0</v>
      </c>
      <c r="AE31" s="208"/>
      <c r="AF31" s="209">
        <f>SUMXMY2(Таблица1[[#This Row],[X1]:[X9]],Таблица1[[#Totals],[X1]:[X9]])</f>
        <v>12.664343125445225</v>
      </c>
      <c r="AG31" s="239" t="s">
        <v>2590</v>
      </c>
      <c r="AH31" s="239" t="s">
        <v>2589</v>
      </c>
      <c r="AI31" s="239" t="s">
        <v>2587</v>
      </c>
      <c r="AJ31" s="239" t="s">
        <v>2588</v>
      </c>
      <c r="AK31" s="239" t="s">
        <v>2586</v>
      </c>
      <c r="AL31" s="239" t="s">
        <v>2591</v>
      </c>
      <c r="AM31" s="239" t="s">
        <v>2592</v>
      </c>
      <c r="AN31" s="239" t="str">
        <f>RIGHT(Таблица1[[#This Row],[ДА1]],1)</f>
        <v>5</v>
      </c>
      <c r="AO31" s="214">
        <v>5</v>
      </c>
      <c r="AP31" s="213">
        <f>IF(Таблица1[[#This Row],[ДА Итог Копия]]=Таблица1[[#This Row],[Train]],1,0)</f>
        <v>0</v>
      </c>
      <c r="AQ31" s="213">
        <f>IF(Таблица1[[#This Row],[ДА Итог Копия]]=Таблица1[[#This Row],[К-средних]],1,0)</f>
        <v>1</v>
      </c>
      <c r="AR31" s="216">
        <v>144.19522423295246</v>
      </c>
      <c r="AS31" s="216">
        <v>143.44798215548121</v>
      </c>
      <c r="AT31" s="216">
        <v>156.57917552918627</v>
      </c>
      <c r="AU31" s="216">
        <v>107.62692899432643</v>
      </c>
      <c r="AV31" s="216">
        <v>31.255513382461448</v>
      </c>
      <c r="AW31" s="216">
        <v>508.55606699504472</v>
      </c>
      <c r="AX31" s="217">
        <v>563.39269756212229</v>
      </c>
      <c r="AY31" s="218">
        <f>MATCH(MIN(Таблица1[[#This Row],[1 ДА Мах]:[7_ДА_Мах]]),Таблица1[[#This Row],[1 ДА Мах]:[7_ДА_Мах]],0)</f>
        <v>5</v>
      </c>
      <c r="AZ31" s="219">
        <f>IF(Таблица1[[#This Row],[ДА_Мах_Итог]]=Таблица1[[#This Row],[Train]],1,0)</f>
        <v>0</v>
      </c>
      <c r="BA31" s="219">
        <f>IF(Таблица1[[#This Row],[ДА_Мах_Итог]]=Таблица1[[#This Row],[К-средних]],1,0)</f>
        <v>1</v>
      </c>
      <c r="BB31" s="220">
        <v>8.9655027822054567E-25</v>
      </c>
      <c r="BC31" s="220">
        <v>1.7369005061141014E-24</v>
      </c>
      <c r="BD31" s="220">
        <v>3.0569092298534185E-27</v>
      </c>
      <c r="BE31" s="220">
        <v>2.6071007364651056E-17</v>
      </c>
      <c r="BF31" s="220">
        <v>1</v>
      </c>
      <c r="BG31" s="220">
        <v>0</v>
      </c>
      <c r="BH31" s="220">
        <v>0</v>
      </c>
      <c r="BI31" s="218">
        <f>MATCH(MAX(Таблица1[[#This Row],[1_ДА_Ап]:[7_ДА_Ап]]),Таблица1[[#This Row],[1_ДА_Ап]:[7_ДА_Ап]],0)</f>
        <v>5</v>
      </c>
      <c r="BJ31" s="219">
        <f>IF(Таблица1[[#This Row],[ДА_Ап_Итог]]=Таблица1[[#This Row],[Train]],1,0)</f>
        <v>0</v>
      </c>
      <c r="BK31" s="219">
        <f>IF(Таблица1[[#This Row],[ДА_Ап_Итог]]=Таблица1[[#This Row],[К-средних]],1,0)</f>
        <v>1</v>
      </c>
      <c r="BL31" s="234" t="s">
        <v>2590</v>
      </c>
      <c r="BM31" s="234" t="s">
        <v>2589</v>
      </c>
      <c r="BN31" s="234" t="s">
        <v>2587</v>
      </c>
      <c r="BO31" s="234" t="s">
        <v>2586</v>
      </c>
      <c r="BP31" s="234" t="s">
        <v>2588</v>
      </c>
      <c r="BQ31" s="234" t="s">
        <v>2591</v>
      </c>
      <c r="BR31" s="234" t="s">
        <v>2592</v>
      </c>
      <c r="BS31" s="234" t="str">
        <f>RIGHT(Таблица1[[#This Row],[ПДАсВ 1]],1)</f>
        <v>5</v>
      </c>
      <c r="BT31" s="227">
        <v>5</v>
      </c>
      <c r="BU31" s="212">
        <f>IF(Таблица1[[#This Row],[ПДАсВ Итог Копия]]=Таблица1[[#This Row],[Train]],1,0)</f>
        <v>0</v>
      </c>
      <c r="BV31" s="212">
        <f>IF(Таблица1[[#This Row],[ПДАсВ Итог Копия]]=Таблица1[[#This Row],[К-средних]],1,0)</f>
        <v>1</v>
      </c>
      <c r="BW31" s="235">
        <v>124.53737988675695</v>
      </c>
      <c r="BX31" s="235">
        <v>119.36033884512788</v>
      </c>
      <c r="BY31" s="235">
        <v>121.23007043202634</v>
      </c>
      <c r="BZ31" s="235">
        <v>54.811196940482333</v>
      </c>
      <c r="CA31" s="235">
        <v>22.623459683020158</v>
      </c>
      <c r="CB31" s="235">
        <v>505.15791708524824</v>
      </c>
      <c r="CC31" s="235">
        <v>351.27951143972058</v>
      </c>
      <c r="CD31" s="218">
        <f>MATCH(MIN(Таблица1[[#This Row],[1 ДА Мах]:[7_ДА_Мах]]),Таблица1[[#This Row],[1 ДА Мах]:[7_ДА_Мах]],0)</f>
        <v>5</v>
      </c>
      <c r="CE31" s="219">
        <f>IF(Таблица1[[#This Row],[ДА_Мах_Итог]]=Таблица1[[#This Row],[Train]],1,0)</f>
        <v>0</v>
      </c>
      <c r="CF31" s="219">
        <f>IF(Таблица1[[#This Row],[ДА_Мах_Итог]]=Таблица1[[#This Row],[К-средних]],1,0)</f>
        <v>1</v>
      </c>
      <c r="CG31" s="236">
        <v>2.2222587425193388E-22</v>
      </c>
      <c r="CH31" s="236">
        <v>3.9437877938524146E-21</v>
      </c>
      <c r="CI31" s="236">
        <v>1.9356039339496861E-21</v>
      </c>
      <c r="CJ31" s="236">
        <v>1.0245227759927131E-7</v>
      </c>
      <c r="CK31" s="236">
        <v>0.99999989754772256</v>
      </c>
      <c r="CL31" s="236">
        <v>0</v>
      </c>
      <c r="CM31" s="236">
        <v>0</v>
      </c>
      <c r="CN31" s="218">
        <f>MATCH(MAX(Таблица1[[#This Row],[1_ДА_Ап]:[7_ДА_Ап]]),Таблица1[[#This Row],[1_ДА_Ап]:[7_ДА_Ап]],0)</f>
        <v>5</v>
      </c>
      <c r="CO31" s="219">
        <f>IF(Таблица1[[#This Row],[ПДАсВ Итог Копия]]=Таблица1[[#This Row],[Train]],1,0)</f>
        <v>0</v>
      </c>
      <c r="CP31" s="219">
        <f>IF(Таблица1[[#This Row],[ПДАсВ Итог Копия]]=Таблица1[[#This Row],[К-средних]],1,0)</f>
        <v>1</v>
      </c>
      <c r="CQ31" s="234" t="s">
        <v>2590</v>
      </c>
      <c r="CR31" s="234" t="s">
        <v>2589</v>
      </c>
      <c r="CS31" s="234" t="s">
        <v>2588</v>
      </c>
      <c r="CT31" s="234" t="s">
        <v>2586</v>
      </c>
      <c r="CU31" s="234" t="s">
        <v>2587</v>
      </c>
      <c r="CV31" s="234" t="s">
        <v>2591</v>
      </c>
      <c r="CW31" s="234" t="s">
        <v>2592</v>
      </c>
      <c r="CX31" s="234" t="str">
        <f>RIGHT(Таблица1[[#This Row],[ПДАсИ 1]],1)</f>
        <v>5</v>
      </c>
      <c r="CY31" s="212">
        <v>5</v>
      </c>
      <c r="CZ31" s="212">
        <f>IF(Таблица1[[#This Row],[ПДАсИ Итог Копия]]=Таблица1[[#This Row],[Train]],1,0)</f>
        <v>0</v>
      </c>
      <c r="DA31" s="212">
        <f>IF(Таблица1[[#This Row],[ПДАсИ Итог Копия]]=Таблица1[[#This Row],[К-средних]],1,0)</f>
        <v>1</v>
      </c>
      <c r="DB31" s="237">
        <v>110.4995741418599</v>
      </c>
      <c r="DC31" s="237">
        <v>120.24079968995251</v>
      </c>
      <c r="DD31" s="237">
        <v>117.20105878364957</v>
      </c>
      <c r="DE31" s="237">
        <v>89.612512571428638</v>
      </c>
      <c r="DF31" s="237">
        <v>15.654636412467147</v>
      </c>
      <c r="DG31" s="237">
        <v>448.10815185925605</v>
      </c>
      <c r="DH31" s="237">
        <v>539.49602081913793</v>
      </c>
      <c r="DI31" s="224">
        <f>MATCH(MIN(Таблица1[[#This Row],[ПДАсИ Мах 1]:[ПДАсИ Мах 7]]),Таблица1[[#This Row],[ПДАсИ Мах 1]:[ПДАсИ Мах 7]],0)</f>
        <v>5</v>
      </c>
      <c r="DJ31" s="212">
        <f>IF(Таблица1[[#This Row],[ПДАсИ Мах Итог]]=Таблица1[[#This Row],[Train]],1,0)</f>
        <v>0</v>
      </c>
      <c r="DK31" s="212">
        <f>IF(Таблица1[[#This Row],[ПДАсИ Мах Итог]]=Таблица1[[#This Row],[К-средних]],1,0)</f>
        <v>1</v>
      </c>
      <c r="DL31" s="238">
        <v>7.6173639905153217E-21</v>
      </c>
      <c r="DM31" s="238">
        <v>7.7886680344610994E-23</v>
      </c>
      <c r="DN31" s="238">
        <v>4.4508663949057922E-22</v>
      </c>
      <c r="DO31" s="238">
        <v>8.7146760036400051E-17</v>
      </c>
      <c r="DP31" s="238">
        <v>1</v>
      </c>
      <c r="DQ31" s="238">
        <v>0</v>
      </c>
      <c r="DR31" s="238">
        <v>0</v>
      </c>
      <c r="DS31" s="224">
        <f>MATCH(MAX(Таблица1[[#This Row],[ПДАсИ Ап 1]:[ПДАсИ Ап 7]]),Таблица1[[#This Row],[ПДАсИ Ап 1]:[ПДАсИ Ап 7]],0)</f>
        <v>5</v>
      </c>
      <c r="DT31" s="212">
        <f>IF(Таблица1[[#This Row],[ПДАсИ Ап Итог]]=Таблица1[[#This Row],[Train]],1,0)</f>
        <v>0</v>
      </c>
      <c r="DU31" s="212">
        <f>IF(Таблица1[[#This Row],[ПДАсИ Ап Итог]]=Таблица1[[#This Row],[К-средних]],1,0)</f>
        <v>1</v>
      </c>
    </row>
    <row r="32" spans="1:125" ht="13.8">
      <c r="A32" s="205" t="s">
        <v>300</v>
      </c>
      <c r="B32" s="319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320">
        <v>-1.6662090315678759</v>
      </c>
      <c r="K32" s="324">
        <v>1.2934335741622118</v>
      </c>
      <c r="L32" s="325">
        <v>-1.7339610608620482</v>
      </c>
      <c r="M32" s="328">
        <v>0.99744998496926673</v>
      </c>
      <c r="N32" s="310">
        <v>1.4712494109217582</v>
      </c>
      <c r="O32" s="329">
        <v>0.17776784388176792</v>
      </c>
      <c r="P32" s="206">
        <v>5</v>
      </c>
      <c r="Q32" s="207">
        <v>3</v>
      </c>
      <c r="R32" s="206">
        <v>7</v>
      </c>
      <c r="S32" s="208">
        <v>1</v>
      </c>
      <c r="T32" s="271">
        <v>5</v>
      </c>
      <c r="U32" s="271">
        <v>4</v>
      </c>
      <c r="V32" s="272">
        <v>7</v>
      </c>
      <c r="W32" s="272">
        <v>7</v>
      </c>
      <c r="X32" s="312">
        <v>4</v>
      </c>
      <c r="Y32" s="313">
        <v>3</v>
      </c>
      <c r="Z32" s="271">
        <v>2</v>
      </c>
      <c r="AA32" s="314">
        <v>5</v>
      </c>
      <c r="AB32" s="343">
        <v>1</v>
      </c>
      <c r="AC32" s="343">
        <f>IF(Таблица1[[#This Row],[Train]]=Таблица1[[#This Row],[НС]],1,0)</f>
        <v>0</v>
      </c>
      <c r="AD32" s="343">
        <f>IF(Таблица1[[#This Row],[НС]]=Таблица1[[#This Row],[К-средних]],1,0)</f>
        <v>1</v>
      </c>
      <c r="AE32" s="208"/>
      <c r="AF32" s="209">
        <f>SUMXMY2(Таблица1[[#This Row],[X1]:[X9]],Таблица1[[#Totals],[X1]:[X9]])</f>
        <v>11.231990758204233</v>
      </c>
      <c r="AG32" s="239" t="s">
        <v>2588</v>
      </c>
      <c r="AH32" s="239" t="s">
        <v>2586</v>
      </c>
      <c r="AI32" s="239" t="s">
        <v>2587</v>
      </c>
      <c r="AJ32" s="239" t="s">
        <v>2590</v>
      </c>
      <c r="AK32" s="239" t="s">
        <v>2589</v>
      </c>
      <c r="AL32" s="239" t="s">
        <v>2591</v>
      </c>
      <c r="AM32" s="239" t="s">
        <v>2592</v>
      </c>
      <c r="AN32" s="239" t="str">
        <f>RIGHT(Таблица1[[#This Row],[ДА1]],1)</f>
        <v>1</v>
      </c>
      <c r="AO32" s="214">
        <v>1</v>
      </c>
      <c r="AP32" s="213">
        <f>IF(Таблица1[[#This Row],[ДА Итог Копия]]=Таблица1[[#This Row],[Train]],1,0)</f>
        <v>0</v>
      </c>
      <c r="AQ32" s="213">
        <f>IF(Таблица1[[#This Row],[ДА Итог Копия]]=Таблица1[[#This Row],[К-средних]],1,0)</f>
        <v>1</v>
      </c>
      <c r="AR32" s="216">
        <v>32.838411952139843</v>
      </c>
      <c r="AS32" s="216">
        <v>84.6577830612611</v>
      </c>
      <c r="AT32" s="216">
        <v>62.717162526902179</v>
      </c>
      <c r="AU32" s="216">
        <v>112.0886485888239</v>
      </c>
      <c r="AV32" s="216">
        <v>88.903058432157266</v>
      </c>
      <c r="AW32" s="216">
        <v>433.97898179847317</v>
      </c>
      <c r="AX32" s="217">
        <v>376.28702565699575</v>
      </c>
      <c r="AY32" s="218">
        <f>MATCH(MIN(Таблица1[[#This Row],[1 ДА Мах]:[7_ДА_Мах]]),Таблица1[[#This Row],[1 ДА Мах]:[7_ДА_Мах]],0)</f>
        <v>1</v>
      </c>
      <c r="AZ32" s="219">
        <f>IF(Таблица1[[#This Row],[ДА_Мах_Итог]]=Таблица1[[#This Row],[Train]],1,0)</f>
        <v>0</v>
      </c>
      <c r="BA32" s="219">
        <f>IF(Таблица1[[#This Row],[ДА_Мах_Итог]]=Таблица1[[#This Row],[К-средних]],1,0)</f>
        <v>1</v>
      </c>
      <c r="BB32" s="220">
        <v>0.99999945829053938</v>
      </c>
      <c r="BC32" s="220">
        <v>7.4559851978177409E-12</v>
      </c>
      <c r="BD32" s="220">
        <v>5.4170178163135574E-7</v>
      </c>
      <c r="BE32" s="220">
        <v>2.0601947664921594E-18</v>
      </c>
      <c r="BF32" s="220">
        <v>2.2314913718080746E-13</v>
      </c>
      <c r="BG32" s="220">
        <v>0</v>
      </c>
      <c r="BH32" s="220">
        <v>0</v>
      </c>
      <c r="BI32" s="218">
        <f>MATCH(MAX(Таблица1[[#This Row],[1_ДА_Ап]:[7_ДА_Ап]]),Таблица1[[#This Row],[1_ДА_Ап]:[7_ДА_Ап]],0)</f>
        <v>1</v>
      </c>
      <c r="BJ32" s="219">
        <f>IF(Таблица1[[#This Row],[ДА_Ап_Итог]]=Таблица1[[#This Row],[Train]],1,0)</f>
        <v>0</v>
      </c>
      <c r="BK32" s="219">
        <f>IF(Таблица1[[#This Row],[ДА_Ап_Итог]]=Таблица1[[#This Row],[К-средних]],1,0)</f>
        <v>1</v>
      </c>
      <c r="BL32" s="234" t="s">
        <v>2588</v>
      </c>
      <c r="BM32" s="234" t="s">
        <v>2586</v>
      </c>
      <c r="BN32" s="234" t="s">
        <v>2587</v>
      </c>
      <c r="BO32" s="234" t="s">
        <v>2590</v>
      </c>
      <c r="BP32" s="234" t="s">
        <v>2589</v>
      </c>
      <c r="BQ32" s="234" t="s">
        <v>2591</v>
      </c>
      <c r="BR32" s="234" t="s">
        <v>2592</v>
      </c>
      <c r="BS32" s="234" t="str">
        <f>RIGHT(Таблица1[[#This Row],[ПДАсВ 1]],1)</f>
        <v>1</v>
      </c>
      <c r="BT32" s="227">
        <v>1</v>
      </c>
      <c r="BU32" s="212">
        <f>IF(Таблица1[[#This Row],[ПДАсВ Итог Копия]]=Таблица1[[#This Row],[Train]],1,0)</f>
        <v>0</v>
      </c>
      <c r="BV32" s="212">
        <f>IF(Таблица1[[#This Row],[ПДАсВ Итог Копия]]=Таблица1[[#This Row],[К-средних]],1,0)</f>
        <v>1</v>
      </c>
      <c r="BW32" s="235">
        <v>21.515704401573206</v>
      </c>
      <c r="BX32" s="235">
        <v>55.970723026646326</v>
      </c>
      <c r="BY32" s="235">
        <v>46.505513163549224</v>
      </c>
      <c r="BZ32" s="235">
        <v>91.615436138321385</v>
      </c>
      <c r="CA32" s="235">
        <v>64.653088683952745</v>
      </c>
      <c r="CB32" s="235">
        <v>393.89601105336089</v>
      </c>
      <c r="CC32" s="235">
        <v>287.18465689675838</v>
      </c>
      <c r="CD32" s="218">
        <f>MATCH(MIN(Таблица1[[#This Row],[1 ДА Мах]:[7_ДА_Мах]]),Таблица1[[#This Row],[1 ДА Мах]:[7_ДА_Мах]],0)</f>
        <v>1</v>
      </c>
      <c r="CE32" s="219">
        <f>IF(Таблица1[[#This Row],[ДА_Мах_Итог]]=Таблица1[[#This Row],[Train]],1,0)</f>
        <v>0</v>
      </c>
      <c r="CF32" s="219">
        <f>IF(Таблица1[[#This Row],[ДА_Мах_Итог]]=Таблица1[[#This Row],[К-средних]],1,0)</f>
        <v>1</v>
      </c>
      <c r="CG32" s="236">
        <v>0.99999371311069851</v>
      </c>
      <c r="CH32" s="236">
        <v>4.3966690360195725E-8</v>
      </c>
      <c r="CI32" s="236">
        <v>6.2427794871101554E-6</v>
      </c>
      <c r="CJ32" s="236">
        <v>1.9994597997542569E-16</v>
      </c>
      <c r="CK32" s="236">
        <v>1.4312385856165135E-10</v>
      </c>
      <c r="CL32" s="236">
        <v>0</v>
      </c>
      <c r="CM32" s="236">
        <v>0</v>
      </c>
      <c r="CN32" s="218">
        <f>MATCH(MAX(Таблица1[[#This Row],[1_ДА_Ап]:[7_ДА_Ап]]),Таблица1[[#This Row],[1_ДА_Ап]:[7_ДА_Ап]],0)</f>
        <v>1</v>
      </c>
      <c r="CO32" s="219">
        <f>IF(Таблица1[[#This Row],[ПДАсВ Итог Копия]]=Таблица1[[#This Row],[Train]],1,0)</f>
        <v>0</v>
      </c>
      <c r="CP32" s="219">
        <f>IF(Таблица1[[#This Row],[ПДАсВ Итог Копия]]=Таблица1[[#This Row],[К-средних]],1,0)</f>
        <v>1</v>
      </c>
      <c r="CQ32" s="234" t="s">
        <v>2588</v>
      </c>
      <c r="CR32" s="234" t="s">
        <v>2586</v>
      </c>
      <c r="CS32" s="234" t="s">
        <v>2587</v>
      </c>
      <c r="CT32" s="234" t="s">
        <v>2590</v>
      </c>
      <c r="CU32" s="234" t="s">
        <v>2589</v>
      </c>
      <c r="CV32" s="234" t="s">
        <v>2591</v>
      </c>
      <c r="CW32" s="234" t="s">
        <v>2592</v>
      </c>
      <c r="CX32" s="234" t="str">
        <f>RIGHT(Таблица1[[#This Row],[ПДАсИ 1]],1)</f>
        <v>1</v>
      </c>
      <c r="CY32" s="212">
        <v>1</v>
      </c>
      <c r="CZ32" s="212">
        <f>IF(Таблица1[[#This Row],[ПДАсИ Итог Копия]]=Таблица1[[#This Row],[Train]],1,0)</f>
        <v>0</v>
      </c>
      <c r="DA32" s="212">
        <f>IF(Таблица1[[#This Row],[ПДАсИ Итог Копия]]=Таблица1[[#This Row],[К-средних]],1,0)</f>
        <v>1</v>
      </c>
      <c r="DB32" s="237">
        <v>19.905253953283218</v>
      </c>
      <c r="DC32" s="237">
        <v>55.788137646701017</v>
      </c>
      <c r="DD32" s="237">
        <v>44.314929396897895</v>
      </c>
      <c r="DE32" s="237">
        <v>87.029108708657162</v>
      </c>
      <c r="DF32" s="237">
        <v>81.694791432043033</v>
      </c>
      <c r="DG32" s="237">
        <v>264.54365245282497</v>
      </c>
      <c r="DH32" s="237">
        <v>368.18113268229922</v>
      </c>
      <c r="DI32" s="224">
        <f>MATCH(MIN(Таблица1[[#This Row],[ПДАсИ Мах 1]:[ПДАсИ Мах 7]]),Таблица1[[#This Row],[ПДАсИ Мах 1]:[ПДАсИ Мах 7]],0)</f>
        <v>1</v>
      </c>
      <c r="DJ32" s="212">
        <f>IF(Таблица1[[#This Row],[ПДАсИ Мах Итог]]=Таблица1[[#This Row],[Train]],1,0)</f>
        <v>0</v>
      </c>
      <c r="DK32" s="212">
        <f>IF(Таблица1[[#This Row],[ПДАсИ Мах Итог]]=Таблица1[[#This Row],[К-средних]],1,0)</f>
        <v>1</v>
      </c>
      <c r="DL32" s="238">
        <v>0.99999163490797549</v>
      </c>
      <c r="DM32" s="238">
        <v>2.1531084841915098E-8</v>
      </c>
      <c r="DN32" s="238">
        <v>8.3435609260538365E-6</v>
      </c>
      <c r="DO32" s="238">
        <v>8.8535052710080866E-16</v>
      </c>
      <c r="DP32" s="238">
        <v>1.2748160691854651E-14</v>
      </c>
      <c r="DQ32" s="238">
        <v>0</v>
      </c>
      <c r="DR32" s="238">
        <v>0</v>
      </c>
      <c r="DS32" s="224">
        <f>MATCH(MAX(Таблица1[[#This Row],[ПДАсИ Ап 1]:[ПДАсИ Ап 7]]),Таблица1[[#This Row],[ПДАсИ Ап 1]:[ПДАсИ Ап 7]],0)</f>
        <v>1</v>
      </c>
      <c r="DT32" s="212">
        <f>IF(Таблица1[[#This Row],[ПДАсИ Ап Итог]]=Таблица1[[#This Row],[Train]],1,0)</f>
        <v>0</v>
      </c>
      <c r="DU32" s="212">
        <f>IF(Таблица1[[#This Row],[ПДАсИ Ап Итог]]=Таблица1[[#This Row],[К-средних]],1,0)</f>
        <v>1</v>
      </c>
    </row>
    <row r="33" spans="1:125" ht="13.8">
      <c r="A33" s="205" t="s">
        <v>301</v>
      </c>
      <c r="B33" s="319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320">
        <v>-0.13832432148589352</v>
      </c>
      <c r="K33" s="324">
        <v>-0.9231846783284714</v>
      </c>
      <c r="L33" s="325">
        <v>-0.1568985565660376</v>
      </c>
      <c r="M33" s="328">
        <v>-0.94556372720422388</v>
      </c>
      <c r="N33" s="310">
        <v>-8.3982265528059243E-3</v>
      </c>
      <c r="O33" s="329">
        <v>-0.53787725891808791</v>
      </c>
      <c r="P33" s="206">
        <v>6</v>
      </c>
      <c r="Q33" s="207">
        <v>5</v>
      </c>
      <c r="R33" s="206">
        <v>6</v>
      </c>
      <c r="S33" s="208">
        <v>5</v>
      </c>
      <c r="T33" s="271">
        <v>4</v>
      </c>
      <c r="U33" s="271">
        <v>5</v>
      </c>
      <c r="V33" s="272">
        <v>1</v>
      </c>
      <c r="W33" s="272">
        <v>6</v>
      </c>
      <c r="X33" s="312">
        <v>6</v>
      </c>
      <c r="Y33" s="313">
        <v>2</v>
      </c>
      <c r="Z33" s="271">
        <v>3</v>
      </c>
      <c r="AA33" s="314">
        <v>6</v>
      </c>
      <c r="AB33" s="314">
        <v>1</v>
      </c>
      <c r="AC33" s="314">
        <f>IF(Таблица1[[#This Row],[Train]]=Таблица1[[#This Row],[НС]],1,0)</f>
        <v>0</v>
      </c>
      <c r="AD33" s="314">
        <f>IF(Таблица1[[#This Row],[НС]]=Таблица1[[#This Row],[К-средних]],1,0)</f>
        <v>0</v>
      </c>
      <c r="AE33" s="208">
        <v>5</v>
      </c>
      <c r="AF33" s="209">
        <f>SUMXMY2(Таблица1[[#This Row],[X1]:[X9]],Таблица1[[#Totals],[X1]:[X9]])</f>
        <v>4.6273030719404336</v>
      </c>
      <c r="AG33" s="239" t="s">
        <v>2590</v>
      </c>
      <c r="AH33" s="239" t="s">
        <v>2589</v>
      </c>
      <c r="AI33" s="239" t="s">
        <v>2586</v>
      </c>
      <c r="AJ33" s="239" t="s">
        <v>2588</v>
      </c>
      <c r="AK33" s="239" t="s">
        <v>2587</v>
      </c>
      <c r="AL33" s="239" t="s">
        <v>2591</v>
      </c>
      <c r="AM33" s="239" t="s">
        <v>2592</v>
      </c>
      <c r="AN33" s="239" t="str">
        <f>RIGHT(Таблица1[[#This Row],[ДА1]],1)</f>
        <v>5</v>
      </c>
      <c r="AO33" s="214">
        <v>5</v>
      </c>
      <c r="AP33" s="213">
        <f>IF(Таблица1[[#This Row],[ДА Итог Копия]]=Таблица1[[#This Row],[Train]],1,0)</f>
        <v>1</v>
      </c>
      <c r="AQ33" s="213">
        <f>IF(Таблица1[[#This Row],[ДА Итог Копия]]=Таблица1[[#This Row],[К-средних]],1,0)</f>
        <v>1</v>
      </c>
      <c r="AR33" s="216">
        <v>57.548966659813246</v>
      </c>
      <c r="AS33" s="216">
        <v>67.479414473281736</v>
      </c>
      <c r="AT33" s="216">
        <v>57.850478157494209</v>
      </c>
      <c r="AU33" s="216">
        <v>52.844959040285069</v>
      </c>
      <c r="AV33" s="216">
        <v>5.077672588320282</v>
      </c>
      <c r="AW33" s="216">
        <v>580.34061050929881</v>
      </c>
      <c r="AX33" s="217">
        <v>453.70672270085765</v>
      </c>
      <c r="AY33" s="218">
        <f>MATCH(MIN(Таблица1[[#This Row],[1 ДА Мах]:[7_ДА_Мах]]),Таблица1[[#This Row],[1 ДА Мах]:[7_ДА_Мах]],0)</f>
        <v>5</v>
      </c>
      <c r="AZ33" s="219">
        <f>IF(Таблица1[[#This Row],[ДА_Мах_Итог]]=Таблица1[[#This Row],[Train]],1,0)</f>
        <v>1</v>
      </c>
      <c r="BA33" s="219">
        <f>IF(Таблица1[[#This Row],[ДА_Мах_Итог]]=Таблица1[[#This Row],[К-средних]],1,0)</f>
        <v>1</v>
      </c>
      <c r="BB33" s="220">
        <v>1.2109452776155961E-11</v>
      </c>
      <c r="BC33" s="220">
        <v>1.1264032902959441E-13</v>
      </c>
      <c r="BD33" s="220">
        <v>1.7358047708209916E-11</v>
      </c>
      <c r="BE33" s="220">
        <v>4.2409733088740828E-11</v>
      </c>
      <c r="BF33" s="220">
        <v>0.99999999992801003</v>
      </c>
      <c r="BG33" s="220">
        <v>0</v>
      </c>
      <c r="BH33" s="220">
        <v>0</v>
      </c>
      <c r="BI33" s="218">
        <f>MATCH(MAX(Таблица1[[#This Row],[1_ДА_Ап]:[7_ДА_Ап]]),Таблица1[[#This Row],[1_ДА_Ап]:[7_ДА_Ап]],0)</f>
        <v>5</v>
      </c>
      <c r="BJ33" s="219">
        <f>IF(Таблица1[[#This Row],[ДА_Ап_Итог]]=Таблица1[[#This Row],[Train]],1,0)</f>
        <v>1</v>
      </c>
      <c r="BK33" s="219">
        <f>IF(Таблица1[[#This Row],[ДА_Ап_Итог]]=Таблица1[[#This Row],[К-средних]],1,0)</f>
        <v>1</v>
      </c>
      <c r="BL33" s="234" t="s">
        <v>2590</v>
      </c>
      <c r="BM33" s="234" t="s">
        <v>2589</v>
      </c>
      <c r="BN33" s="234" t="s">
        <v>2586</v>
      </c>
      <c r="BO33" s="234" t="s">
        <v>2587</v>
      </c>
      <c r="BP33" s="234" t="s">
        <v>2588</v>
      </c>
      <c r="BQ33" s="234" t="s">
        <v>2591</v>
      </c>
      <c r="BR33" s="234" t="s">
        <v>2592</v>
      </c>
      <c r="BS33" s="234" t="str">
        <f>RIGHT(Таблица1[[#This Row],[ПДАсВ 1]],1)</f>
        <v>5</v>
      </c>
      <c r="BT33" s="227">
        <v>5</v>
      </c>
      <c r="BU33" s="212">
        <f>IF(Таблица1[[#This Row],[ПДАсВ Итог Копия]]=Таблица1[[#This Row],[Train]],1,0)</f>
        <v>1</v>
      </c>
      <c r="BV33" s="212">
        <f>IF(Таблица1[[#This Row],[ПДАсВ Итог Копия]]=Таблица1[[#This Row],[К-средних]],1,0)</f>
        <v>1</v>
      </c>
      <c r="BW33" s="235">
        <v>46.272183579909232</v>
      </c>
      <c r="BX33" s="235">
        <v>41.575762127743545</v>
      </c>
      <c r="BY33" s="235">
        <v>33.513739790352389</v>
      </c>
      <c r="BZ33" s="235">
        <v>18.245895370804103</v>
      </c>
      <c r="CA33" s="235">
        <v>2.3863183172735427</v>
      </c>
      <c r="CB33" s="235">
        <v>567.27963149354025</v>
      </c>
      <c r="CC33" s="235">
        <v>291.1495510481713</v>
      </c>
      <c r="CD33" s="218">
        <f>MATCH(MIN(Таблица1[[#This Row],[1 ДА Мах]:[7_ДА_Мах]]),Таблица1[[#This Row],[1 ДА Мах]:[7_ДА_Мах]],0)</f>
        <v>5</v>
      </c>
      <c r="CE33" s="219">
        <f>IF(Таблица1[[#This Row],[ДА_Мах_Итог]]=Таблица1[[#This Row],[Train]],1,0)</f>
        <v>1</v>
      </c>
      <c r="CF33" s="219">
        <f>IF(Таблица1[[#This Row],[ДА_Мах_Итог]]=Таблица1[[#This Row],[К-средних]],1,0)</f>
        <v>1</v>
      </c>
      <c r="CG33" s="236">
        <v>8.8566616630824547E-10</v>
      </c>
      <c r="CH33" s="236">
        <v>1.2360150294352338E-8</v>
      </c>
      <c r="CI33" s="236">
        <v>8.7012104286654555E-7</v>
      </c>
      <c r="CJ33" s="236">
        <v>3.5973273395878527E-4</v>
      </c>
      <c r="CK33" s="236">
        <v>0.99963938389918183</v>
      </c>
      <c r="CL33" s="236">
        <v>0</v>
      </c>
      <c r="CM33" s="236">
        <v>0</v>
      </c>
      <c r="CN33" s="218">
        <f>MATCH(MAX(Таблица1[[#This Row],[1_ДА_Ап]:[7_ДА_Ап]]),Таблица1[[#This Row],[1_ДА_Ап]:[7_ДА_Ап]],0)</f>
        <v>5</v>
      </c>
      <c r="CO33" s="219">
        <f>IF(Таблица1[[#This Row],[ПДАсВ Итог Копия]]=Таблица1[[#This Row],[Train]],1,0)</f>
        <v>1</v>
      </c>
      <c r="CP33" s="219">
        <f>IF(Таблица1[[#This Row],[ПДАсВ Итог Копия]]=Таблица1[[#This Row],[К-средних]],1,0)</f>
        <v>1</v>
      </c>
      <c r="CQ33" s="234" t="s">
        <v>2590</v>
      </c>
      <c r="CR33" s="234" t="s">
        <v>2589</v>
      </c>
      <c r="CS33" s="234" t="s">
        <v>2586</v>
      </c>
      <c r="CT33" s="234" t="s">
        <v>2588</v>
      </c>
      <c r="CU33" s="234" t="s">
        <v>2587</v>
      </c>
      <c r="CV33" s="234" t="s">
        <v>2591</v>
      </c>
      <c r="CW33" s="234" t="s">
        <v>2592</v>
      </c>
      <c r="CX33" s="234" t="str">
        <f>RIGHT(Таблица1[[#This Row],[ПДАсИ 1]],1)</f>
        <v>5</v>
      </c>
      <c r="CY33" s="212">
        <v>5</v>
      </c>
      <c r="CZ33" s="212">
        <f>IF(Таблица1[[#This Row],[ПДАсИ Итог Копия]]=Таблица1[[#This Row],[Train]],1,0)</f>
        <v>1</v>
      </c>
      <c r="DA33" s="212">
        <f>IF(Таблица1[[#This Row],[ПДАсИ Итог Копия]]=Таблица1[[#This Row],[К-средних]],1,0)</f>
        <v>1</v>
      </c>
      <c r="DB33" s="237">
        <v>49.218240163736539</v>
      </c>
      <c r="DC33" s="237">
        <v>51.462113794801866</v>
      </c>
      <c r="DD33" s="237">
        <v>44.719851293263659</v>
      </c>
      <c r="DE33" s="237">
        <v>38.389940645461515</v>
      </c>
      <c r="DF33" s="237">
        <v>2.9081304059738575</v>
      </c>
      <c r="DG33" s="237">
        <v>445.91922664583251</v>
      </c>
      <c r="DH33" s="237">
        <v>448.82528999473834</v>
      </c>
      <c r="DI33" s="224">
        <f>MATCH(MIN(Таблица1[[#This Row],[ПДАсИ Мах 1]:[ПДАсИ Мах 7]]),Таблица1[[#This Row],[ПДАсИ Мах 1]:[ПДАсИ Мах 7]],0)</f>
        <v>5</v>
      </c>
      <c r="DJ33" s="212">
        <f>IF(Таблица1[[#This Row],[ПДАсИ Мах Итог]]=Таблица1[[#This Row],[Train]],1,0)</f>
        <v>1</v>
      </c>
      <c r="DK33" s="212">
        <f>IF(Таблица1[[#This Row],[ПДАсИ Мах Итог]]=Таблица1[[#This Row],[К-средних]],1,0)</f>
        <v>1</v>
      </c>
      <c r="DL33" s="238">
        <v>2.6363840900405157E-10</v>
      </c>
      <c r="DM33" s="238">
        <v>1.1447125670732967E-10</v>
      </c>
      <c r="DN33" s="238">
        <v>4.1655290129118273E-9</v>
      </c>
      <c r="DO33" s="238">
        <v>1.9734348436242235E-8</v>
      </c>
      <c r="DP33" s="238">
        <v>0.99999997572201293</v>
      </c>
      <c r="DQ33" s="238">
        <v>0</v>
      </c>
      <c r="DR33" s="238">
        <v>0</v>
      </c>
      <c r="DS33" s="224">
        <f>MATCH(MAX(Таблица1[[#This Row],[ПДАсИ Ап 1]:[ПДАсИ Ап 7]]),Таблица1[[#This Row],[ПДАсИ Ап 1]:[ПДАсИ Ап 7]],0)</f>
        <v>5</v>
      </c>
      <c r="DT33" s="212">
        <f>IF(Таблица1[[#This Row],[ПДАсИ Ап Итог]]=Таблица1[[#This Row],[Train]],1,0)</f>
        <v>1</v>
      </c>
      <c r="DU33" s="212">
        <f>IF(Таблица1[[#This Row],[ПДАсИ Ап Итог]]=Таблица1[[#This Row],[К-средних]],1,0)</f>
        <v>1</v>
      </c>
    </row>
    <row r="34" spans="1:125" ht="13.8">
      <c r="A34" s="205" t="s">
        <v>302</v>
      </c>
      <c r="B34" s="319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320">
        <v>-2.0443681214883664</v>
      </c>
      <c r="K34" s="324">
        <v>-1.4555521054958924</v>
      </c>
      <c r="L34" s="325">
        <v>-1.6099056437636912</v>
      </c>
      <c r="M34" s="328">
        <v>-1.3468845961048004</v>
      </c>
      <c r="N34" s="310">
        <v>1.3602016946446565</v>
      </c>
      <c r="O34" s="329">
        <v>1.7207204075450697</v>
      </c>
      <c r="P34" s="206">
        <v>6</v>
      </c>
      <c r="Q34" s="207">
        <v>6</v>
      </c>
      <c r="R34" s="206">
        <v>3</v>
      </c>
      <c r="S34" s="208">
        <v>4</v>
      </c>
      <c r="T34" s="271">
        <v>7</v>
      </c>
      <c r="U34" s="271">
        <v>2</v>
      </c>
      <c r="V34" s="272">
        <v>5</v>
      </c>
      <c r="W34" s="272">
        <v>3</v>
      </c>
      <c r="X34" s="312">
        <v>7</v>
      </c>
      <c r="Y34" s="313">
        <v>1</v>
      </c>
      <c r="Z34" s="271">
        <v>7</v>
      </c>
      <c r="AA34" s="314">
        <v>4</v>
      </c>
      <c r="AB34" s="343">
        <v>4</v>
      </c>
      <c r="AC34" s="343">
        <f>IF(Таблица1[[#This Row],[Train]]=Таблица1[[#This Row],[НС]],1,0)</f>
        <v>0</v>
      </c>
      <c r="AD34" s="343">
        <f>IF(Таблица1[[#This Row],[НС]]=Таблица1[[#This Row],[К-средних]],1,0)</f>
        <v>1</v>
      </c>
      <c r="AE34" s="208"/>
      <c r="AF34" s="209">
        <f>SUMXMY2(Таблица1[[#This Row],[X1]:[X9]],Таблица1[[#Totals],[X1]:[X9]])</f>
        <v>25.999571119398791</v>
      </c>
      <c r="AG34" s="239" t="s">
        <v>2589</v>
      </c>
      <c r="AH34" s="239" t="s">
        <v>2590</v>
      </c>
      <c r="AI34" s="239" t="s">
        <v>2588</v>
      </c>
      <c r="AJ34" s="239" t="s">
        <v>2587</v>
      </c>
      <c r="AK34" s="239" t="s">
        <v>2586</v>
      </c>
      <c r="AL34" s="239" t="s">
        <v>2591</v>
      </c>
      <c r="AM34" s="239" t="s">
        <v>2592</v>
      </c>
      <c r="AN34" s="239" t="str">
        <f>RIGHT(Таблица1[[#This Row],[ДА1]],1)</f>
        <v>4</v>
      </c>
      <c r="AO34" s="214">
        <v>4</v>
      </c>
      <c r="AP34" s="213">
        <f>IF(Таблица1[[#This Row],[ДА Итог Копия]]=Таблица1[[#This Row],[Train]],1,0)</f>
        <v>0</v>
      </c>
      <c r="AQ34" s="213">
        <f>IF(Таблица1[[#This Row],[ДА Итог Копия]]=Таблица1[[#This Row],[К-средних]],1,0)</f>
        <v>1</v>
      </c>
      <c r="AR34" s="216">
        <v>342.26871526153167</v>
      </c>
      <c r="AS34" s="216">
        <v>309.51409136453026</v>
      </c>
      <c r="AT34" s="216">
        <v>276.33753737616854</v>
      </c>
      <c r="AU34" s="216">
        <v>120.81492442829524</v>
      </c>
      <c r="AV34" s="216">
        <v>258.88701839434304</v>
      </c>
      <c r="AW34" s="216">
        <v>751.89833946095621</v>
      </c>
      <c r="AX34" s="217">
        <v>373.59538719252697</v>
      </c>
      <c r="AY34" s="218">
        <f>MATCH(MIN(Таблица1[[#This Row],[1 ДА Мах]:[7_ДА_Мах]]),Таблица1[[#This Row],[1 ДА Мах]:[7_ДА_Мах]],0)</f>
        <v>4</v>
      </c>
      <c r="AZ34" s="219">
        <f>IF(Таблица1[[#This Row],[ДА_Мах_Итог]]=Таблица1[[#This Row],[Train]],1,0)</f>
        <v>0</v>
      </c>
      <c r="BA34" s="219">
        <f>IF(Таблица1[[#This Row],[ДА_Мах_Итог]]=Таблица1[[#This Row],[К-средних]],1,0)</f>
        <v>1</v>
      </c>
      <c r="BB34" s="220">
        <v>0</v>
      </c>
      <c r="BC34" s="220">
        <v>0</v>
      </c>
      <c r="BD34" s="220">
        <v>0</v>
      </c>
      <c r="BE34" s="220">
        <v>1</v>
      </c>
      <c r="BF34" s="220">
        <v>1.0423792147188782E-30</v>
      </c>
      <c r="BG34" s="220">
        <v>0</v>
      </c>
      <c r="BH34" s="220">
        <v>0</v>
      </c>
      <c r="BI34" s="218">
        <f>MATCH(MAX(Таблица1[[#This Row],[1_ДА_Ап]:[7_ДА_Ап]]),Таблица1[[#This Row],[1_ДА_Ап]:[7_ДА_Ап]],0)</f>
        <v>4</v>
      </c>
      <c r="BJ34" s="219">
        <f>IF(Таблица1[[#This Row],[ДА_Ап_Итог]]=Таблица1[[#This Row],[Train]],1,0)</f>
        <v>0</v>
      </c>
      <c r="BK34" s="219">
        <f>IF(Таблица1[[#This Row],[ДА_Ап_Итог]]=Таблица1[[#This Row],[К-средних]],1,0)</f>
        <v>1</v>
      </c>
      <c r="BL34" s="234" t="s">
        <v>2589</v>
      </c>
      <c r="BM34" s="234" t="s">
        <v>2590</v>
      </c>
      <c r="BN34" s="234" t="s">
        <v>2587</v>
      </c>
      <c r="BO34" s="234" t="s">
        <v>2586</v>
      </c>
      <c r="BP34" s="234" t="s">
        <v>2588</v>
      </c>
      <c r="BQ34" s="234" t="s">
        <v>2591</v>
      </c>
      <c r="BR34" s="234" t="s">
        <v>2592</v>
      </c>
      <c r="BS34" s="234" t="str">
        <f>RIGHT(Таблица1[[#This Row],[ПДАсВ 1]],1)</f>
        <v>4</v>
      </c>
      <c r="BT34" s="227">
        <v>4</v>
      </c>
      <c r="BU34" s="212">
        <f>IF(Таблица1[[#This Row],[ПДАсВ Итог Копия]]=Таблица1[[#This Row],[Train]],1,0)</f>
        <v>0</v>
      </c>
      <c r="BV34" s="212">
        <f>IF(Таблица1[[#This Row],[ПДАсВ Итог Копия]]=Таблица1[[#This Row],[К-средних]],1,0)</f>
        <v>1</v>
      </c>
      <c r="BW34" s="235">
        <v>267.39044199730569</v>
      </c>
      <c r="BX34" s="235">
        <v>219.71446814710148</v>
      </c>
      <c r="BY34" s="235">
        <v>226.13223809220869</v>
      </c>
      <c r="BZ34" s="235">
        <v>91.977249544851276</v>
      </c>
      <c r="CA34" s="235">
        <v>119.80295563575483</v>
      </c>
      <c r="CB34" s="235">
        <v>627.43740274128538</v>
      </c>
      <c r="CC34" s="235">
        <v>343.5397687317078</v>
      </c>
      <c r="CD34" s="218">
        <f>MATCH(MIN(Таблица1[[#This Row],[1 ДА Мах]:[7_ДА_Мах]]),Таблица1[[#This Row],[1 ДА Мах]:[7_ДА_Мах]],0)</f>
        <v>4</v>
      </c>
      <c r="CE34" s="219">
        <f>IF(Таблица1[[#This Row],[ДА_Мах_Итог]]=Таблица1[[#This Row],[Train]],1,0)</f>
        <v>0</v>
      </c>
      <c r="CF34" s="219">
        <f>IF(Таблица1[[#This Row],[ДА_Мах_Итог]]=Таблица1[[#This Row],[К-средних]],1,0)</f>
        <v>1</v>
      </c>
      <c r="CG34" s="236">
        <v>0</v>
      </c>
      <c r="CH34" s="236">
        <v>7.3160221386491306E-28</v>
      </c>
      <c r="CI34" s="236">
        <v>3.6947408932850825E-29</v>
      </c>
      <c r="CJ34" s="236">
        <v>0.9999990927555904</v>
      </c>
      <c r="CK34" s="236">
        <v>9.0724440968482997E-7</v>
      </c>
      <c r="CL34" s="236">
        <v>0</v>
      </c>
      <c r="CM34" s="236">
        <v>0</v>
      </c>
      <c r="CN34" s="218">
        <f>MATCH(MAX(Таблица1[[#This Row],[1_ДА_Ап]:[7_ДА_Ап]]),Таблица1[[#This Row],[1_ДА_Ап]:[7_ДА_Ап]],0)</f>
        <v>4</v>
      </c>
      <c r="CO34" s="219">
        <f>IF(Таблица1[[#This Row],[ПДАсВ Итог Копия]]=Таблица1[[#This Row],[Train]],1,0)</f>
        <v>0</v>
      </c>
      <c r="CP34" s="219">
        <f>IF(Таблица1[[#This Row],[ПДАсВ Итог Копия]]=Таблица1[[#This Row],[К-средних]],1,0)</f>
        <v>1</v>
      </c>
      <c r="CQ34" s="234" t="s">
        <v>2589</v>
      </c>
      <c r="CR34" s="234" t="s">
        <v>2590</v>
      </c>
      <c r="CS34" s="234" t="s">
        <v>2586</v>
      </c>
      <c r="CT34" s="234" t="s">
        <v>2587</v>
      </c>
      <c r="CU34" s="234" t="s">
        <v>2588</v>
      </c>
      <c r="CV34" s="234" t="s">
        <v>2591</v>
      </c>
      <c r="CW34" s="234" t="s">
        <v>2592</v>
      </c>
      <c r="CX34" s="234" t="str">
        <f>RIGHT(Таблица1[[#This Row],[ПДАсИ 1]],1)</f>
        <v>4</v>
      </c>
      <c r="CY34" s="212">
        <v>4</v>
      </c>
      <c r="CZ34" s="212">
        <f>IF(Таблица1[[#This Row],[ПДАсИ Итог Копия]]=Таблица1[[#This Row],[Train]],1,0)</f>
        <v>0</v>
      </c>
      <c r="DA34" s="212">
        <f>IF(Таблица1[[#This Row],[ПДАсИ Итог Копия]]=Таблица1[[#This Row],[К-средних]],1,0)</f>
        <v>1</v>
      </c>
      <c r="DB34" s="237">
        <v>275.80449069961406</v>
      </c>
      <c r="DC34" s="237">
        <v>230.57698029944751</v>
      </c>
      <c r="DD34" s="237">
        <v>217.95705581172984</v>
      </c>
      <c r="DE34" s="237">
        <v>105.05515692015652</v>
      </c>
      <c r="DF34" s="237">
        <v>206.86418208720661</v>
      </c>
      <c r="DG34" s="237">
        <v>630.67626083321591</v>
      </c>
      <c r="DH34" s="237">
        <v>357.08166953846302</v>
      </c>
      <c r="DI34" s="224">
        <f>MATCH(MIN(Таблица1[[#This Row],[ПДАсИ Мах 1]:[ПДАсИ Мах 7]]),Таблица1[[#This Row],[ПДАсИ Мах 1]:[ПДАсИ Мах 7]],0)</f>
        <v>4</v>
      </c>
      <c r="DJ34" s="212">
        <f>IF(Таблица1[[#This Row],[ПДАсИ Мах Итог]]=Таблица1[[#This Row],[Train]],1,0)</f>
        <v>0</v>
      </c>
      <c r="DK34" s="212">
        <f>IF(Таблица1[[#This Row],[ПДАсИ Мах Итог]]=Таблица1[[#This Row],[К-средних]],1,0)</f>
        <v>1</v>
      </c>
      <c r="DL34" s="238">
        <v>0</v>
      </c>
      <c r="DM34" s="238">
        <v>2.2148400358550807E-27</v>
      </c>
      <c r="DN34" s="238">
        <v>1.5227694727013915E-24</v>
      </c>
      <c r="DO34" s="238">
        <v>1</v>
      </c>
      <c r="DP34" s="238">
        <v>7.8064050371481082E-23</v>
      </c>
      <c r="DQ34" s="238">
        <v>0</v>
      </c>
      <c r="DR34" s="238">
        <v>0</v>
      </c>
      <c r="DS34" s="224">
        <f>MATCH(MAX(Таблица1[[#This Row],[ПДАсИ Ап 1]:[ПДАсИ Ап 7]]),Таблица1[[#This Row],[ПДАсИ Ап 1]:[ПДАсИ Ап 7]],0)</f>
        <v>4</v>
      </c>
      <c r="DT34" s="212">
        <f>IF(Таблица1[[#This Row],[ПДАсИ Ап Итог]]=Таблица1[[#This Row],[Train]],1,0)</f>
        <v>0</v>
      </c>
      <c r="DU34" s="212">
        <f>IF(Таблица1[[#This Row],[ПДАсИ Ап Итог]]=Таблица1[[#This Row],[К-средних]],1,0)</f>
        <v>1</v>
      </c>
    </row>
    <row r="35" spans="1:125" ht="13.8">
      <c r="A35" s="205" t="s">
        <v>304</v>
      </c>
      <c r="B35" s="319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320">
        <v>1.5694909233163223</v>
      </c>
      <c r="K35" s="324">
        <v>-0.65945593580130513</v>
      </c>
      <c r="L35" s="325">
        <v>0.53319119340522758</v>
      </c>
      <c r="M35" s="328">
        <v>-0.49822511899381039</v>
      </c>
      <c r="N35" s="310">
        <v>-0.47689085553814969</v>
      </c>
      <c r="O35" s="329">
        <v>-0.19900058963959524</v>
      </c>
      <c r="P35" s="206">
        <v>4</v>
      </c>
      <c r="Q35" s="207">
        <v>5</v>
      </c>
      <c r="R35" s="206">
        <v>4</v>
      </c>
      <c r="S35" s="208">
        <v>2</v>
      </c>
      <c r="T35" s="271">
        <v>3</v>
      </c>
      <c r="U35" s="271">
        <v>7</v>
      </c>
      <c r="V35" s="272">
        <v>3</v>
      </c>
      <c r="W35" s="272">
        <v>6</v>
      </c>
      <c r="X35" s="312">
        <v>6</v>
      </c>
      <c r="Y35" s="313">
        <v>2</v>
      </c>
      <c r="Z35" s="271">
        <v>6</v>
      </c>
      <c r="AA35" s="314">
        <v>2</v>
      </c>
      <c r="AB35" s="343">
        <v>2</v>
      </c>
      <c r="AC35" s="343">
        <f>IF(Таблица1[[#This Row],[Train]]=Таблица1[[#This Row],[НС]],1,0)</f>
        <v>0</v>
      </c>
      <c r="AD35" s="343">
        <f>IF(Таблица1[[#This Row],[НС]]=Таблица1[[#This Row],[К-средних]],1,0)</f>
        <v>1</v>
      </c>
      <c r="AE35" s="208"/>
      <c r="AF35" s="209">
        <f>SUMXMY2(Таблица1[[#This Row],[X1]:[X9]],Таблица1[[#Totals],[X1]:[X9]])</f>
        <v>4.4381896281181366</v>
      </c>
      <c r="AG35" s="239" t="s">
        <v>2586</v>
      </c>
      <c r="AH35" s="239" t="s">
        <v>2587</v>
      </c>
      <c r="AI35" s="239" t="s">
        <v>2588</v>
      </c>
      <c r="AJ35" s="239" t="s">
        <v>2590</v>
      </c>
      <c r="AK35" s="239" t="s">
        <v>2589</v>
      </c>
      <c r="AL35" s="239" t="s">
        <v>2591</v>
      </c>
      <c r="AM35" s="239" t="s">
        <v>2592</v>
      </c>
      <c r="AN35" s="239" t="str">
        <f>RIGHT(Таблица1[[#This Row],[ДА1]],1)</f>
        <v>3</v>
      </c>
      <c r="AO35" s="214">
        <v>3</v>
      </c>
      <c r="AP35" s="213">
        <f>IF(Таблица1[[#This Row],[ДА Итог Копия]]=Таблица1[[#This Row],[Train]],1,0)</f>
        <v>0</v>
      </c>
      <c r="AQ35" s="213">
        <f>IF(Таблица1[[#This Row],[ДА Итог Копия]]=Таблица1[[#This Row],[К-средних]],1,0)</f>
        <v>0</v>
      </c>
      <c r="AR35" s="216">
        <v>35.398589033791239</v>
      </c>
      <c r="AS35" s="216">
        <v>33.032941184175812</v>
      </c>
      <c r="AT35" s="216">
        <v>32.459121701553073</v>
      </c>
      <c r="AU35" s="216">
        <v>109.42878590093603</v>
      </c>
      <c r="AV35" s="216">
        <v>67.418651486361327</v>
      </c>
      <c r="AW35" s="216">
        <v>578.26550015395708</v>
      </c>
      <c r="AX35" s="217">
        <v>514.61264866162412</v>
      </c>
      <c r="AY35" s="218">
        <f>MATCH(MIN(Таблица1[[#This Row],[1 ДА Мах]:[7_ДА_Мах]]),Таблица1[[#This Row],[1 ДА Мах]:[7_ДА_Мах]],0)</f>
        <v>3</v>
      </c>
      <c r="AZ35" s="219">
        <f>IF(Таблица1[[#This Row],[ДА_Мах_Итог]]=Таблица1[[#This Row],[Train]],1,0)</f>
        <v>0</v>
      </c>
      <c r="BA35" s="219">
        <f>IF(Таблица1[[#This Row],[ДА_Мах_Итог]]=Таблица1[[#This Row],[К-средних]],1,0)</f>
        <v>0</v>
      </c>
      <c r="BB35" s="220">
        <v>7.93762213474489E-2</v>
      </c>
      <c r="BC35" s="220">
        <v>0.34540057878583752</v>
      </c>
      <c r="BD35" s="220">
        <v>0.57522319691889356</v>
      </c>
      <c r="BE35" s="220">
        <v>2.2239046823607342E-18</v>
      </c>
      <c r="BF35" s="220">
        <v>2.9478199205319569E-9</v>
      </c>
      <c r="BG35" s="220">
        <v>0</v>
      </c>
      <c r="BH35" s="220">
        <v>0</v>
      </c>
      <c r="BI35" s="218">
        <f>MATCH(MAX(Таблица1[[#This Row],[1_ДА_Ап]:[7_ДА_Ап]]),Таблица1[[#This Row],[1_ДА_Ап]:[7_ДА_Ап]],0)</f>
        <v>3</v>
      </c>
      <c r="BJ35" s="219">
        <f>IF(Таблица1[[#This Row],[ДА_Ап_Итог]]=Таблица1[[#This Row],[Train]],1,0)</f>
        <v>0</v>
      </c>
      <c r="BK35" s="219">
        <f>IF(Таблица1[[#This Row],[ДА_Ап_Итог]]=Таблица1[[#This Row],[К-средних]],1,0)</f>
        <v>0</v>
      </c>
      <c r="BL35" s="234" t="s">
        <v>2586</v>
      </c>
      <c r="BM35" s="234" t="s">
        <v>2588</v>
      </c>
      <c r="BN35" s="234" t="s">
        <v>2587</v>
      </c>
      <c r="BO35" s="234" t="s">
        <v>2590</v>
      </c>
      <c r="BP35" s="234" t="s">
        <v>2589</v>
      </c>
      <c r="BQ35" s="234" t="s">
        <v>2591</v>
      </c>
      <c r="BR35" s="234" t="s">
        <v>2592</v>
      </c>
      <c r="BS35" s="234" t="str">
        <f>RIGHT(Таблица1[[#This Row],[ПДАсВ 1]],1)</f>
        <v>3</v>
      </c>
      <c r="BT35" s="227">
        <v>3</v>
      </c>
      <c r="BU35" s="212">
        <f>IF(Таблица1[[#This Row],[ПДАсВ Итог Копия]]=Таблица1[[#This Row],[Train]],1,0)</f>
        <v>0</v>
      </c>
      <c r="BV35" s="212">
        <f>IF(Таблица1[[#This Row],[ПДАсВ Итог Копия]]=Таблица1[[#This Row],[К-средних]],1,0)</f>
        <v>0</v>
      </c>
      <c r="BW35" s="235">
        <v>19.446600645847102</v>
      </c>
      <c r="BX35" s="235">
        <v>25.492106734780727</v>
      </c>
      <c r="BY35" s="235">
        <v>7.6191615631299365</v>
      </c>
      <c r="BZ35" s="235">
        <v>63.106690222985947</v>
      </c>
      <c r="CA35" s="235">
        <v>35.94159525045837</v>
      </c>
      <c r="CB35" s="235">
        <v>568.61477294873828</v>
      </c>
      <c r="CC35" s="235">
        <v>343.99936807298815</v>
      </c>
      <c r="CD35" s="218">
        <f>MATCH(MIN(Таблица1[[#This Row],[1 ДА Мах]:[7_ДА_Мах]]),Таблица1[[#This Row],[1 ДА Мах]:[7_ДА_Мах]],0)</f>
        <v>3</v>
      </c>
      <c r="CE35" s="219">
        <f>IF(Таблица1[[#This Row],[ДА_Мах_Итог]]=Таблица1[[#This Row],[Train]],1,0)</f>
        <v>0</v>
      </c>
      <c r="CF35" s="219">
        <f>IF(Таблица1[[#This Row],[ДА_Мах_Итог]]=Таблица1[[#This Row],[К-средних]],1,0)</f>
        <v>0</v>
      </c>
      <c r="CG35" s="236">
        <v>1.6184760350823745E-3</v>
      </c>
      <c r="CH35" s="236">
        <v>1.0502194143476619E-4</v>
      </c>
      <c r="CI35" s="236">
        <v>0.99827636072321047</v>
      </c>
      <c r="CJ35" s="236">
        <v>1.783680346456651E-13</v>
      </c>
      <c r="CK35" s="236">
        <v>1.4130009392291778E-7</v>
      </c>
      <c r="CL35" s="236">
        <v>0</v>
      </c>
      <c r="CM35" s="236">
        <v>0</v>
      </c>
      <c r="CN35" s="218">
        <f>MATCH(MAX(Таблица1[[#This Row],[1_ДА_Ап]:[7_ДА_Ап]]),Таблица1[[#This Row],[1_ДА_Ап]:[7_ДА_Ап]],0)</f>
        <v>3</v>
      </c>
      <c r="CO35" s="219">
        <f>IF(Таблица1[[#This Row],[ПДАсВ Итог Копия]]=Таблица1[[#This Row],[Train]],1,0)</f>
        <v>0</v>
      </c>
      <c r="CP35" s="219">
        <f>IF(Таблица1[[#This Row],[ПДАсВ Итог Копия]]=Таблица1[[#This Row],[К-средних]],1,0)</f>
        <v>0</v>
      </c>
      <c r="CQ35" s="234" t="s">
        <v>2586</v>
      </c>
      <c r="CR35" s="234" t="s">
        <v>2588</v>
      </c>
      <c r="CS35" s="234" t="s">
        <v>2587</v>
      </c>
      <c r="CT35" s="234" t="s">
        <v>2590</v>
      </c>
      <c r="CU35" s="234" t="s">
        <v>2589</v>
      </c>
      <c r="CV35" s="234" t="s">
        <v>2591</v>
      </c>
      <c r="CW35" s="234" t="s">
        <v>2592</v>
      </c>
      <c r="CX35" s="234" t="str">
        <f>RIGHT(Таблица1[[#This Row],[ПДАсИ 1]],1)</f>
        <v>3</v>
      </c>
      <c r="CY35" s="212">
        <v>3</v>
      </c>
      <c r="CZ35" s="212">
        <f>IF(Таблица1[[#This Row],[ПДАсИ Итог Копия]]=Таблица1[[#This Row],[Train]],1,0)</f>
        <v>0</v>
      </c>
      <c r="DA35" s="212">
        <f>IF(Таблица1[[#This Row],[ПДАсИ Итог Копия]]=Таблица1[[#This Row],[К-средних]],1,0)</f>
        <v>0</v>
      </c>
      <c r="DB35" s="237">
        <v>21.94769188798265</v>
      </c>
      <c r="DC35" s="237">
        <v>28.5065604915617</v>
      </c>
      <c r="DD35" s="237">
        <v>16.548673393488102</v>
      </c>
      <c r="DE35" s="237">
        <v>57.409728352900068</v>
      </c>
      <c r="DF35" s="237">
        <v>29.902120205342918</v>
      </c>
      <c r="DG35" s="237">
        <v>384.24181955574829</v>
      </c>
      <c r="DH35" s="237">
        <v>460.76825266855036</v>
      </c>
      <c r="DI35" s="224">
        <f>MATCH(MIN(Таблица1[[#This Row],[ПДАсИ Мах 1]:[ПДАсИ Мах 7]]),Таблица1[[#This Row],[ПДАсИ Мах 1]:[ПДАсИ Мах 7]],0)</f>
        <v>3</v>
      </c>
      <c r="DJ35" s="212">
        <f>IF(Таблица1[[#This Row],[ПДАсИ Мах Итог]]=Таблица1[[#This Row],[Train]],1,0)</f>
        <v>0</v>
      </c>
      <c r="DK35" s="212">
        <f>IF(Таблица1[[#This Row],[ПДАсИ Мах Итог]]=Таблица1[[#This Row],[К-средних]],1,0)</f>
        <v>0</v>
      </c>
      <c r="DL35" s="238">
        <v>3.8693954084311089E-2</v>
      </c>
      <c r="DM35" s="238">
        <v>1.9424132305063224E-3</v>
      </c>
      <c r="DN35" s="238">
        <v>0.95912195299433345</v>
      </c>
      <c r="DO35" s="238">
        <v>2.5706235410387418E-10</v>
      </c>
      <c r="DP35" s="238">
        <v>2.4167943378676168E-4</v>
      </c>
      <c r="DQ35" s="238">
        <v>0</v>
      </c>
      <c r="DR35" s="238">
        <v>0</v>
      </c>
      <c r="DS35" s="224">
        <f>MATCH(MAX(Таблица1[[#This Row],[ПДАсИ Ап 1]:[ПДАсИ Ап 7]]),Таблица1[[#This Row],[ПДАсИ Ап 1]:[ПДАсИ Ап 7]],0)</f>
        <v>3</v>
      </c>
      <c r="DT35" s="212">
        <f>IF(Таблица1[[#This Row],[ПДАсИ Ап Итог]]=Таблица1[[#This Row],[Train]],1,0)</f>
        <v>0</v>
      </c>
      <c r="DU35" s="212">
        <f>IF(Таблица1[[#This Row],[ПДАсИ Ап Итог]]=Таблица1[[#This Row],[К-средних]],1,0)</f>
        <v>0</v>
      </c>
    </row>
    <row r="36" spans="1:125" ht="13.8">
      <c r="A36" s="205" t="s">
        <v>305</v>
      </c>
      <c r="B36" s="319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320">
        <v>0.49600705515492943</v>
      </c>
      <c r="K36" s="324">
        <v>-0.32426004968955108</v>
      </c>
      <c r="L36" s="325">
        <v>0.81512009778660988</v>
      </c>
      <c r="M36" s="328">
        <v>-9.718067083125137E-2</v>
      </c>
      <c r="N36" s="310">
        <v>-0.69058865191749419</v>
      </c>
      <c r="O36" s="329">
        <v>0.20109271965980496</v>
      </c>
      <c r="P36" s="206">
        <v>5</v>
      </c>
      <c r="Q36" s="207">
        <v>5</v>
      </c>
      <c r="R36" s="206">
        <v>4</v>
      </c>
      <c r="S36" s="208">
        <v>2</v>
      </c>
      <c r="T36" s="271">
        <v>3</v>
      </c>
      <c r="U36" s="271">
        <v>7</v>
      </c>
      <c r="V36" s="272">
        <v>3</v>
      </c>
      <c r="W36" s="272">
        <v>6</v>
      </c>
      <c r="X36" s="312">
        <v>6</v>
      </c>
      <c r="Y36" s="313">
        <v>2</v>
      </c>
      <c r="Z36" s="271">
        <v>6</v>
      </c>
      <c r="AA36" s="314">
        <v>3</v>
      </c>
      <c r="AB36" s="314">
        <v>2</v>
      </c>
      <c r="AC36" s="314">
        <f>IF(Таблица1[[#This Row],[Train]]=Таблица1[[#This Row],[НС]],1,0)</f>
        <v>1</v>
      </c>
      <c r="AD36" s="314">
        <f>IF(Таблица1[[#This Row],[НС]]=Таблица1[[#This Row],[К-средних]],1,0)</f>
        <v>1</v>
      </c>
      <c r="AE36" s="208">
        <v>2</v>
      </c>
      <c r="AF36" s="209">
        <f>SUMXMY2(Таблица1[[#This Row],[X1]:[X9]],Таблица1[[#Totals],[X1]:[X9]])</f>
        <v>3.2591842447719088</v>
      </c>
      <c r="AG36" s="239" t="s">
        <v>2587</v>
      </c>
      <c r="AH36" s="239" t="s">
        <v>2586</v>
      </c>
      <c r="AI36" s="239" t="s">
        <v>2588</v>
      </c>
      <c r="AJ36" s="239" t="s">
        <v>2589</v>
      </c>
      <c r="AK36" s="239" t="s">
        <v>2590</v>
      </c>
      <c r="AL36" s="239" t="s">
        <v>2591</v>
      </c>
      <c r="AM36" s="239" t="s">
        <v>2592</v>
      </c>
      <c r="AN36" s="239" t="str">
        <f>RIGHT(Таблица1[[#This Row],[ДА1]],1)</f>
        <v>2</v>
      </c>
      <c r="AO36" s="214">
        <v>2</v>
      </c>
      <c r="AP36" s="213">
        <f>IF(Таблица1[[#This Row],[ДА Итог Копия]]=Таблица1[[#This Row],[Train]],1,0)</f>
        <v>1</v>
      </c>
      <c r="AQ36" s="213">
        <f>IF(Таблица1[[#This Row],[ДА Итог Копия]]=Таблица1[[#This Row],[К-средних]],1,0)</f>
        <v>1</v>
      </c>
      <c r="AR36" s="216">
        <v>35.693756305867211</v>
      </c>
      <c r="AS36" s="216">
        <v>7.2886555909738666</v>
      </c>
      <c r="AT36" s="216">
        <v>17.049461896839773</v>
      </c>
      <c r="AU36" s="216">
        <v>98.15185657711946</v>
      </c>
      <c r="AV36" s="216">
        <v>116.95852595166558</v>
      </c>
      <c r="AW36" s="216">
        <v>687.90462461937295</v>
      </c>
      <c r="AX36" s="217">
        <v>373.87895783884909</v>
      </c>
      <c r="AY36" s="218">
        <f>MATCH(MIN(Таблица1[[#This Row],[1 ДА Мах]:[7_ДА_Мах]]),Таблица1[[#This Row],[1 ДА Мах]:[7_ДА_Мах]],0)</f>
        <v>2</v>
      </c>
      <c r="AZ36" s="219">
        <f>IF(Таблица1[[#This Row],[ДА_Мах_Итог]]=Таблица1[[#This Row],[Train]],1,0)</f>
        <v>1</v>
      </c>
      <c r="BA36" s="219">
        <f>IF(Таблица1[[#This Row],[ДА_Мах_Итог]]=Таблица1[[#This Row],[К-средних]],1,0)</f>
        <v>1</v>
      </c>
      <c r="BB36" s="220">
        <v>5.0450877484442076E-7</v>
      </c>
      <c r="BC36" s="220">
        <v>0.99059631950478488</v>
      </c>
      <c r="BD36" s="220">
        <v>9.4031759864401428E-3</v>
      </c>
      <c r="BE36" s="220">
        <v>4.6040848689272902E-21</v>
      </c>
      <c r="BF36" s="220">
        <v>3.7960065609461888E-25</v>
      </c>
      <c r="BG36" s="220">
        <v>0</v>
      </c>
      <c r="BH36" s="220">
        <v>0</v>
      </c>
      <c r="BI36" s="218">
        <f>MATCH(MAX(Таблица1[[#This Row],[1_ДА_Ап]:[7_ДА_Ап]]),Таблица1[[#This Row],[1_ДА_Ап]:[7_ДА_Ап]],0)</f>
        <v>2</v>
      </c>
      <c r="BJ36" s="219">
        <f>IF(Таблица1[[#This Row],[ДА_Ап_Итог]]=Таблица1[[#This Row],[Train]],1,0)</f>
        <v>1</v>
      </c>
      <c r="BK36" s="219">
        <f>IF(Таблица1[[#This Row],[ДА_Ап_Итог]]=Таблица1[[#This Row],[К-средних]],1,0)</f>
        <v>1</v>
      </c>
      <c r="BL36" s="234" t="s">
        <v>2587</v>
      </c>
      <c r="BM36" s="234" t="s">
        <v>2586</v>
      </c>
      <c r="BN36" s="234" t="s">
        <v>2588</v>
      </c>
      <c r="BO36" s="234" t="s">
        <v>2590</v>
      </c>
      <c r="BP36" s="234" t="s">
        <v>2589</v>
      </c>
      <c r="BQ36" s="234" t="s">
        <v>2591</v>
      </c>
      <c r="BR36" s="234" t="s">
        <v>2592</v>
      </c>
      <c r="BS36" s="234" t="str">
        <f>RIGHT(Таблица1[[#This Row],[ПДАсВ 1]],1)</f>
        <v>2</v>
      </c>
      <c r="BT36" s="227">
        <v>2</v>
      </c>
      <c r="BU36" s="212">
        <f>IF(Таблица1[[#This Row],[ПДАсВ Итог Копия]]=Таблица1[[#This Row],[Train]],1,0)</f>
        <v>1</v>
      </c>
      <c r="BV36" s="212">
        <f>IF(Таблица1[[#This Row],[ПДАсВ Итог Копия]]=Таблица1[[#This Row],[К-средних]],1,0)</f>
        <v>1</v>
      </c>
      <c r="BW36" s="235">
        <v>27.50814828961385</v>
      </c>
      <c r="BX36" s="235">
        <v>5.5737126071084386</v>
      </c>
      <c r="BY36" s="235">
        <v>12.160147419131855</v>
      </c>
      <c r="BZ36" s="235">
        <v>83.292774029486267</v>
      </c>
      <c r="CA36" s="235">
        <v>71.390143832335397</v>
      </c>
      <c r="CB36" s="235">
        <v>670.23400152224065</v>
      </c>
      <c r="CC36" s="235">
        <v>275.02089667294888</v>
      </c>
      <c r="CD36" s="218">
        <f>MATCH(MIN(Таблица1[[#This Row],[1 ДА Мах]:[7_ДА_Мах]]),Таблица1[[#This Row],[1 ДА Мах]:[7_ДА_Мах]],0)</f>
        <v>2</v>
      </c>
      <c r="CE36" s="219">
        <f>IF(Таблица1[[#This Row],[ДА_Мах_Итог]]=Таблица1[[#This Row],[Train]],1,0)</f>
        <v>1</v>
      </c>
      <c r="CF36" s="219">
        <f>IF(Таблица1[[#This Row],[ДА_Мах_Итог]]=Таблица1[[#This Row],[К-средних]],1,0)</f>
        <v>1</v>
      </c>
      <c r="CG36" s="236">
        <v>1.236939940504919E-5</v>
      </c>
      <c r="CH36" s="236">
        <v>0.95562948258191427</v>
      </c>
      <c r="CI36" s="236">
        <v>4.435814801867935E-2</v>
      </c>
      <c r="CJ36" s="236">
        <v>3.175044315888497E-18</v>
      </c>
      <c r="CK36" s="236">
        <v>1.2200372726131058E-15</v>
      </c>
      <c r="CL36" s="236">
        <v>0</v>
      </c>
      <c r="CM36" s="236">
        <v>0</v>
      </c>
      <c r="CN36" s="218">
        <f>MATCH(MAX(Таблица1[[#This Row],[1_ДА_Ап]:[7_ДА_Ап]]),Таблица1[[#This Row],[1_ДА_Ап]:[7_ДА_Ап]],0)</f>
        <v>2</v>
      </c>
      <c r="CO36" s="219">
        <f>IF(Таблица1[[#This Row],[ПДАсВ Итог Копия]]=Таблица1[[#This Row],[Train]],1,0)</f>
        <v>1</v>
      </c>
      <c r="CP36" s="219">
        <f>IF(Таблица1[[#This Row],[ПДАсВ Итог Копия]]=Таблица1[[#This Row],[К-средних]],1,0)</f>
        <v>1</v>
      </c>
      <c r="CQ36" s="234" t="s">
        <v>2587</v>
      </c>
      <c r="CR36" s="234" t="s">
        <v>2586</v>
      </c>
      <c r="CS36" s="234" t="s">
        <v>2588</v>
      </c>
      <c r="CT36" s="234" t="s">
        <v>2589</v>
      </c>
      <c r="CU36" s="234" t="s">
        <v>2590</v>
      </c>
      <c r="CV36" s="234" t="s">
        <v>2591</v>
      </c>
      <c r="CW36" s="234" t="s">
        <v>2592</v>
      </c>
      <c r="CX36" s="234" t="str">
        <f>RIGHT(Таблица1[[#This Row],[ПДАсИ 1]],1)</f>
        <v>2</v>
      </c>
      <c r="CY36" s="212">
        <v>2</v>
      </c>
      <c r="CZ36" s="212">
        <f>IF(Таблица1[[#This Row],[ПДАсИ Итог Копия]]=Таблица1[[#This Row],[Train]],1,0)</f>
        <v>1</v>
      </c>
      <c r="DA36" s="212">
        <f>IF(Таблица1[[#This Row],[ПДАсИ Итог Копия]]=Таблица1[[#This Row],[К-средних]],1,0)</f>
        <v>1</v>
      </c>
      <c r="DB36" s="237">
        <v>28.304829056309941</v>
      </c>
      <c r="DC36" s="237">
        <v>3.6911665115689081</v>
      </c>
      <c r="DD36" s="237">
        <v>12.248829213643569</v>
      </c>
      <c r="DE36" s="237">
        <v>64.653680843819743</v>
      </c>
      <c r="DF36" s="237">
        <v>83.154918246795347</v>
      </c>
      <c r="DG36" s="237">
        <v>496.10088899805339</v>
      </c>
      <c r="DH36" s="237">
        <v>337.93453841215688</v>
      </c>
      <c r="DI36" s="224">
        <f>MATCH(MIN(Таблица1[[#This Row],[ПДАсИ Мах 1]:[ПДАсИ Мах 7]]),Таблица1[[#This Row],[ПДАсИ Мах 1]:[ПДАсИ Мах 7]],0)</f>
        <v>2</v>
      </c>
      <c r="DJ36" s="212">
        <f>IF(Таблица1[[#This Row],[ПДАсИ Мах Итог]]=Таблица1[[#This Row],[Train]],1,0)</f>
        <v>1</v>
      </c>
      <c r="DK36" s="212">
        <f>IF(Таблица1[[#This Row],[ПДАсИ Мах Итог]]=Таблица1[[#This Row],[К-средних]],1,0)</f>
        <v>1</v>
      </c>
      <c r="DL36" s="238">
        <v>3.3328195634971537E-6</v>
      </c>
      <c r="DM36" s="238">
        <v>0.98296815838219498</v>
      </c>
      <c r="DN36" s="238">
        <v>1.7028508798227357E-2</v>
      </c>
      <c r="DO36" s="238">
        <v>1.4211426384846924E-14</v>
      </c>
      <c r="DP36" s="238">
        <v>1.3650388551094215E-18</v>
      </c>
      <c r="DQ36" s="238">
        <v>0</v>
      </c>
      <c r="DR36" s="238">
        <v>0</v>
      </c>
      <c r="DS36" s="224">
        <f>MATCH(MAX(Таблица1[[#This Row],[ПДАсИ Ап 1]:[ПДАсИ Ап 7]]),Таблица1[[#This Row],[ПДАсИ Ап 1]:[ПДАсИ Ап 7]],0)</f>
        <v>2</v>
      </c>
      <c r="DT36" s="212">
        <f>IF(Таблица1[[#This Row],[ПДАсИ Ап Итог]]=Таблица1[[#This Row],[Train]],1,0)</f>
        <v>1</v>
      </c>
      <c r="DU36" s="212">
        <f>IF(Таблица1[[#This Row],[ПДАсИ Ап Итог]]=Таблица1[[#This Row],[К-средних]],1,0)</f>
        <v>1</v>
      </c>
    </row>
    <row r="37" spans="1:125" ht="13.8">
      <c r="A37" s="205" t="s">
        <v>306</v>
      </c>
      <c r="B37" s="319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320">
        <v>-0.1596720120459213</v>
      </c>
      <c r="K37" s="324">
        <v>-0.36269751175821474</v>
      </c>
      <c r="L37" s="325">
        <v>-5.6497923201090594E-2</v>
      </c>
      <c r="M37" s="328">
        <v>-0.38257348987781603</v>
      </c>
      <c r="N37" s="310">
        <v>-1.5736772649616086E-2</v>
      </c>
      <c r="O37" s="329">
        <v>-0.2237843181360322</v>
      </c>
      <c r="P37" s="206">
        <v>5</v>
      </c>
      <c r="Q37" s="207">
        <v>5</v>
      </c>
      <c r="R37" s="206">
        <v>5</v>
      </c>
      <c r="S37" s="208">
        <v>3</v>
      </c>
      <c r="T37" s="271">
        <v>2</v>
      </c>
      <c r="U37" s="271">
        <v>7</v>
      </c>
      <c r="V37" s="272">
        <v>1</v>
      </c>
      <c r="W37" s="272">
        <v>6</v>
      </c>
      <c r="X37" s="312">
        <v>6</v>
      </c>
      <c r="Y37" s="313">
        <v>2</v>
      </c>
      <c r="Z37" s="271">
        <v>1</v>
      </c>
      <c r="AA37" s="314">
        <v>2</v>
      </c>
      <c r="AB37" s="343">
        <v>1</v>
      </c>
      <c r="AC37" s="343">
        <f>IF(Таблица1[[#This Row],[Train]]=Таблица1[[#This Row],[НС]],1,0)</f>
        <v>0</v>
      </c>
      <c r="AD37" s="343">
        <f>IF(Таблица1[[#This Row],[НС]]=Таблица1[[#This Row],[К-средних]],1,0)</f>
        <v>0</v>
      </c>
      <c r="AE37" s="208"/>
      <c r="AF37" s="209">
        <f>SUMXMY2(Таблица1[[#This Row],[X1]:[X9]],Таблица1[[#Totals],[X1]:[X9]])</f>
        <v>1.5203592772319192</v>
      </c>
      <c r="AG37" s="239" t="s">
        <v>2586</v>
      </c>
      <c r="AH37" s="239" t="s">
        <v>2587</v>
      </c>
      <c r="AI37" s="239" t="s">
        <v>2588</v>
      </c>
      <c r="AJ37" s="239" t="s">
        <v>2589</v>
      </c>
      <c r="AK37" s="239" t="s">
        <v>2590</v>
      </c>
      <c r="AL37" s="239" t="s">
        <v>2591</v>
      </c>
      <c r="AM37" s="239" t="s">
        <v>2592</v>
      </c>
      <c r="AN37" s="239" t="str">
        <f>RIGHT(Таблица1[[#This Row],[ДА1]],1)</f>
        <v>3</v>
      </c>
      <c r="AO37" s="214">
        <v>3</v>
      </c>
      <c r="AP37" s="213">
        <f>IF(Таблица1[[#This Row],[ДА Итог Копия]]=Таблица1[[#This Row],[Train]],1,0)</f>
        <v>0</v>
      </c>
      <c r="AQ37" s="213">
        <f>IF(Таблица1[[#This Row],[ДА Итог Копия]]=Таблица1[[#This Row],[К-средних]],1,0)</f>
        <v>1</v>
      </c>
      <c r="AR37" s="216">
        <v>23.202446108253277</v>
      </c>
      <c r="AS37" s="216">
        <v>19.234211380704281</v>
      </c>
      <c r="AT37" s="216">
        <v>18.533233513351856</v>
      </c>
      <c r="AU37" s="216">
        <v>35.435448307859168</v>
      </c>
      <c r="AV37" s="216">
        <v>46.917746415592717</v>
      </c>
      <c r="AW37" s="216">
        <v>583.74108055825229</v>
      </c>
      <c r="AX37" s="217">
        <v>344.06166121184333</v>
      </c>
      <c r="AY37" s="218">
        <f>MATCH(MIN(Таблица1[[#This Row],[1 ДА Мах]:[7_ДА_Мах]]),Таблица1[[#This Row],[1 ДА Мах]:[7_ДА_Мах]],0)</f>
        <v>3</v>
      </c>
      <c r="AZ37" s="219">
        <f>IF(Таблица1[[#This Row],[ДА_Мах_Итог]]=Таблица1[[#This Row],[Train]],1,0)</f>
        <v>0</v>
      </c>
      <c r="BA37" s="219">
        <f>IF(Таблица1[[#This Row],[ДА_Мах_Итог]]=Таблица1[[#This Row],[К-средних]],1,0)</f>
        <v>1</v>
      </c>
      <c r="BB37" s="220">
        <v>3.5833866270576324E-2</v>
      </c>
      <c r="BC37" s="220">
        <v>0.34747505132613177</v>
      </c>
      <c r="BD37" s="220">
        <v>0.61666464601900728</v>
      </c>
      <c r="BE37" s="220">
        <v>2.6351766747149007E-5</v>
      </c>
      <c r="BF37" s="220">
        <v>8.4617537745359584E-8</v>
      </c>
      <c r="BG37" s="220">
        <v>0</v>
      </c>
      <c r="BH37" s="220">
        <v>0</v>
      </c>
      <c r="BI37" s="218">
        <f>MATCH(MAX(Таблица1[[#This Row],[1_ДА_Ап]:[7_ДА_Ап]]),Таблица1[[#This Row],[1_ДА_Ап]:[7_ДА_Ап]],0)</f>
        <v>3</v>
      </c>
      <c r="BJ37" s="219">
        <f>IF(Таблица1[[#This Row],[ДА_Ап_Итог]]=Таблица1[[#This Row],[Train]],1,0)</f>
        <v>0</v>
      </c>
      <c r="BK37" s="219">
        <f>IF(Таблица1[[#This Row],[ДА_Ап_Итог]]=Таблица1[[#This Row],[К-средних]],1,0)</f>
        <v>1</v>
      </c>
      <c r="BL37" s="234" t="s">
        <v>2587</v>
      </c>
      <c r="BM37" s="234" t="s">
        <v>2586</v>
      </c>
      <c r="BN37" s="234" t="s">
        <v>2588</v>
      </c>
      <c r="BO37" s="234" t="s">
        <v>2590</v>
      </c>
      <c r="BP37" s="234" t="s">
        <v>2589</v>
      </c>
      <c r="BQ37" s="234" t="s">
        <v>2591</v>
      </c>
      <c r="BR37" s="234" t="s">
        <v>2592</v>
      </c>
      <c r="BS37" s="234" t="str">
        <f>RIGHT(Таблица1[[#This Row],[ПДАсВ 1]],1)</f>
        <v>2</v>
      </c>
      <c r="BT37" s="227">
        <v>2</v>
      </c>
      <c r="BU37" s="212">
        <f>IF(Таблица1[[#This Row],[ПДАсВ Итог Копия]]=Таблица1[[#This Row],[Train]],1,0)</f>
        <v>0</v>
      </c>
      <c r="BV37" s="212">
        <f>IF(Таблица1[[#This Row],[ПДАсВ Итог Копия]]=Таблица1[[#This Row],[К-средних]],1,0)</f>
        <v>0</v>
      </c>
      <c r="BW37" s="235">
        <v>20.656977433636758</v>
      </c>
      <c r="BX37" s="235">
        <v>12.729493920893717</v>
      </c>
      <c r="BY37" s="235">
        <v>16.41477486790923</v>
      </c>
      <c r="BZ37" s="235">
        <v>28.085726659017979</v>
      </c>
      <c r="CA37" s="235">
        <v>21.220384051828571</v>
      </c>
      <c r="CB37" s="235">
        <v>572.09751058382881</v>
      </c>
      <c r="CC37" s="235">
        <v>242.0440102467677</v>
      </c>
      <c r="CD37" s="218">
        <f>MATCH(MIN(Таблица1[[#This Row],[1 ДА Мах]:[7_ДА_Мах]]),Таблица1[[#This Row],[1 ДА Мах]:[7_ДА_Мах]],0)</f>
        <v>3</v>
      </c>
      <c r="CE37" s="219">
        <f>IF(Таблица1[[#This Row],[ДА_Мах_Итог]]=Таблица1[[#This Row],[Train]],1,0)</f>
        <v>0</v>
      </c>
      <c r="CF37" s="219">
        <f>IF(Таблица1[[#This Row],[ДА_Мах_Итог]]=Таблица1[[#This Row],[К-средних]],1,0)</f>
        <v>1</v>
      </c>
      <c r="CG37" s="236">
        <v>1.1714340638364601E-2</v>
      </c>
      <c r="CH37" s="236">
        <v>0.82240881696577839</v>
      </c>
      <c r="CI37" s="236">
        <v>0.16283553333299786</v>
      </c>
      <c r="CJ37" s="236">
        <v>9.516213912829849E-5</v>
      </c>
      <c r="CK37" s="236">
        <v>2.9461469237308546E-3</v>
      </c>
      <c r="CL37" s="236">
        <v>0</v>
      </c>
      <c r="CM37" s="236">
        <v>0</v>
      </c>
      <c r="CN37" s="218">
        <f>MATCH(MAX(Таблица1[[#This Row],[1_ДА_Ап]:[7_ДА_Ап]]),Таблица1[[#This Row],[1_ДА_Ап]:[7_ДА_Ап]],0)</f>
        <v>3</v>
      </c>
      <c r="CO37" s="219">
        <f>IF(Таблица1[[#This Row],[ПДАсВ Итог Копия]]=Таблица1[[#This Row],[Train]],1,0)</f>
        <v>0</v>
      </c>
      <c r="CP37" s="219">
        <f>IF(Таблица1[[#This Row],[ПДАсВ Итог Копия]]=Таблица1[[#This Row],[К-средних]],1,0)</f>
        <v>0</v>
      </c>
      <c r="CQ37" s="234" t="s">
        <v>2586</v>
      </c>
      <c r="CR37" s="234" t="s">
        <v>2587</v>
      </c>
      <c r="CS37" s="234" t="s">
        <v>2588</v>
      </c>
      <c r="CT37" s="234" t="s">
        <v>2589</v>
      </c>
      <c r="CU37" s="234" t="s">
        <v>2590</v>
      </c>
      <c r="CV37" s="234" t="s">
        <v>2591</v>
      </c>
      <c r="CW37" s="234" t="s">
        <v>2592</v>
      </c>
      <c r="CX37" s="234" t="str">
        <f>RIGHT(Таблица1[[#This Row],[ПДАсИ 1]],1)</f>
        <v>3</v>
      </c>
      <c r="CY37" s="212">
        <v>3</v>
      </c>
      <c r="CZ37" s="212">
        <f>IF(Таблица1[[#This Row],[ПДАсИ Итог Копия]]=Таблица1[[#This Row],[Train]],1,0)</f>
        <v>0</v>
      </c>
      <c r="DA37" s="212">
        <f>IF(Таблица1[[#This Row],[ПДАсИ Итог Копия]]=Таблица1[[#This Row],[К-средних]],1,0)</f>
        <v>1</v>
      </c>
      <c r="DB37" s="237">
        <v>11.903035449770069</v>
      </c>
      <c r="DC37" s="237">
        <v>9.0977228247242365</v>
      </c>
      <c r="DD37" s="237">
        <v>7.8177425968057612</v>
      </c>
      <c r="DE37" s="237">
        <v>31.02384951718291</v>
      </c>
      <c r="DF37" s="237">
        <v>35.777936844264616</v>
      </c>
      <c r="DG37" s="237">
        <v>473.74874426592004</v>
      </c>
      <c r="DH37" s="237">
        <v>337.52950834660231</v>
      </c>
      <c r="DI37" s="224">
        <f>MATCH(MIN(Таблица1[[#This Row],[ПДАсИ Мах 1]:[ПДАсИ Мах 7]]),Таблица1[[#This Row],[ПДАсИ Мах 1]:[ПДАсИ Мах 7]],0)</f>
        <v>3</v>
      </c>
      <c r="DJ37" s="212">
        <f>IF(Таблица1[[#This Row],[ПДАсИ Мах Итог]]=Таблица1[[#This Row],[Train]],1,0)</f>
        <v>0</v>
      </c>
      <c r="DK37" s="212">
        <f>IF(Таблица1[[#This Row],[ПДАсИ Мах Итог]]=Таблица1[[#This Row],[К-средних]],1,0)</f>
        <v>1</v>
      </c>
      <c r="DL37" s="238">
        <v>5.1886089094725127E-2</v>
      </c>
      <c r="DM37" s="238">
        <v>0.28129082720032517</v>
      </c>
      <c r="DN37" s="238">
        <v>0.66682175187700643</v>
      </c>
      <c r="DO37" s="238">
        <v>1.218702390053375E-6</v>
      </c>
      <c r="DP37" s="238">
        <v>1.1312555334284304E-7</v>
      </c>
      <c r="DQ37" s="238">
        <v>0</v>
      </c>
      <c r="DR37" s="238">
        <v>0</v>
      </c>
      <c r="DS37" s="224">
        <f>MATCH(MAX(Таблица1[[#This Row],[ПДАсИ Ап 1]:[ПДАсИ Ап 7]]),Таблица1[[#This Row],[ПДАсИ Ап 1]:[ПДАсИ Ап 7]],0)</f>
        <v>3</v>
      </c>
      <c r="DT37" s="212">
        <f>IF(Таблица1[[#This Row],[ПДАсИ Ап Итог]]=Таблица1[[#This Row],[Train]],1,0)</f>
        <v>0</v>
      </c>
      <c r="DU37" s="212">
        <f>IF(Таблица1[[#This Row],[ПДАсИ Ап Итог]]=Таблица1[[#This Row],[К-средних]],1,0)</f>
        <v>1</v>
      </c>
    </row>
    <row r="38" spans="1:125" ht="13.8">
      <c r="A38" s="205" t="s">
        <v>307</v>
      </c>
      <c r="B38" s="319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320">
        <v>1.5328948823562751</v>
      </c>
      <c r="K38" s="324">
        <v>-0.41375132862549491</v>
      </c>
      <c r="L38" s="325">
        <v>1.1658020576053612</v>
      </c>
      <c r="M38" s="328">
        <v>-0.18368046579524863</v>
      </c>
      <c r="N38" s="310">
        <v>-0.79146508225830936</v>
      </c>
      <c r="O38" s="329">
        <v>-0.43519928660277207</v>
      </c>
      <c r="P38" s="206">
        <v>4</v>
      </c>
      <c r="Q38" s="207">
        <v>5</v>
      </c>
      <c r="R38" s="206">
        <v>4</v>
      </c>
      <c r="S38" s="208">
        <v>2</v>
      </c>
      <c r="T38" s="271">
        <v>3</v>
      </c>
      <c r="U38" s="271">
        <v>7</v>
      </c>
      <c r="V38" s="272">
        <v>3</v>
      </c>
      <c r="W38" s="272">
        <v>6</v>
      </c>
      <c r="X38" s="312">
        <v>2</v>
      </c>
      <c r="Y38" s="313">
        <v>2</v>
      </c>
      <c r="Z38" s="271">
        <v>6</v>
      </c>
      <c r="AA38" s="314">
        <v>3</v>
      </c>
      <c r="AB38" s="314">
        <v>2</v>
      </c>
      <c r="AC38" s="314">
        <f>IF(Таблица1[[#This Row],[Train]]=Таблица1[[#This Row],[НС]],1,0)</f>
        <v>1</v>
      </c>
      <c r="AD38" s="314">
        <f>IF(Таблица1[[#This Row],[НС]]=Таблица1[[#This Row],[К-средних]],1,0)</f>
        <v>1</v>
      </c>
      <c r="AE38" s="208">
        <v>2</v>
      </c>
      <c r="AF38" s="209">
        <f>SUMXMY2(Таблица1[[#This Row],[X1]:[X9]],Таблица1[[#Totals],[X1]:[X9]])</f>
        <v>5.7533251739078661</v>
      </c>
      <c r="AG38" s="239" t="s">
        <v>2587</v>
      </c>
      <c r="AH38" s="239" t="s">
        <v>2586</v>
      </c>
      <c r="AI38" s="239" t="s">
        <v>2588</v>
      </c>
      <c r="AJ38" s="239" t="s">
        <v>2589</v>
      </c>
      <c r="AK38" s="239" t="s">
        <v>2590</v>
      </c>
      <c r="AL38" s="239" t="s">
        <v>2591</v>
      </c>
      <c r="AM38" s="239" t="s">
        <v>2592</v>
      </c>
      <c r="AN38" s="239" t="str">
        <f>RIGHT(Таблица1[[#This Row],[ДА1]],1)</f>
        <v>2</v>
      </c>
      <c r="AO38" s="214">
        <v>2</v>
      </c>
      <c r="AP38" s="213">
        <f>IF(Таблица1[[#This Row],[ДА Итог Копия]]=Таблица1[[#This Row],[Train]],1,0)</f>
        <v>1</v>
      </c>
      <c r="AQ38" s="213">
        <f>IF(Таблица1[[#This Row],[ДА Итог Копия]]=Таблица1[[#This Row],[К-средних]],1,0)</f>
        <v>1</v>
      </c>
      <c r="AR38" s="216">
        <v>53.580119723898086</v>
      </c>
      <c r="AS38" s="216">
        <v>11.416310889727548</v>
      </c>
      <c r="AT38" s="216">
        <v>37.467224618380342</v>
      </c>
      <c r="AU38" s="216">
        <v>84.687184215904068</v>
      </c>
      <c r="AV38" s="216">
        <v>121.95100617488762</v>
      </c>
      <c r="AW38" s="216">
        <v>696.06879985527723</v>
      </c>
      <c r="AX38" s="217">
        <v>294.3974820072645</v>
      </c>
      <c r="AY38" s="218">
        <f>MATCH(MIN(Таблица1[[#This Row],[1 ДА Мах]:[7_ДА_Мах]]),Таблица1[[#This Row],[1 ДА Мах]:[7_ДА_Мах]],0)</f>
        <v>2</v>
      </c>
      <c r="AZ38" s="219">
        <f>IF(Таблица1[[#This Row],[ДА_Мах_Итог]]=Таблица1[[#This Row],[Train]],1,0)</f>
        <v>1</v>
      </c>
      <c r="BA38" s="219">
        <f>IF(Таблица1[[#This Row],[ДА_Мах_Итог]]=Таблица1[[#This Row],[К-средних]],1,0)</f>
        <v>1</v>
      </c>
      <c r="BB38" s="220">
        <v>5.2396865900749993E-10</v>
      </c>
      <c r="BC38" s="220">
        <v>0.99999724509019716</v>
      </c>
      <c r="BD38" s="220">
        <v>2.7543858341470694E-6</v>
      </c>
      <c r="BE38" s="220">
        <v>3.071643627174644E-17</v>
      </c>
      <c r="BF38" s="220">
        <v>2.4867647444500631E-25</v>
      </c>
      <c r="BG38" s="220">
        <v>0</v>
      </c>
      <c r="BH38" s="220">
        <v>0</v>
      </c>
      <c r="BI38" s="218">
        <f>MATCH(MAX(Таблица1[[#This Row],[1_ДА_Ап]:[7_ДА_Ап]]),Таблица1[[#This Row],[1_ДА_Ап]:[7_ДА_Ап]],0)</f>
        <v>2</v>
      </c>
      <c r="BJ38" s="219">
        <f>IF(Таблица1[[#This Row],[ДА_Ап_Итог]]=Таблица1[[#This Row],[Train]],1,0)</f>
        <v>1</v>
      </c>
      <c r="BK38" s="219">
        <f>IF(Таблица1[[#This Row],[ДА_Ап_Итог]]=Таблица1[[#This Row],[К-средних]],1,0)</f>
        <v>1</v>
      </c>
      <c r="BL38" s="234" t="s">
        <v>2587</v>
      </c>
      <c r="BM38" s="234" t="s">
        <v>2586</v>
      </c>
      <c r="BN38" s="234" t="s">
        <v>2588</v>
      </c>
      <c r="BO38" s="234" t="s">
        <v>2589</v>
      </c>
      <c r="BP38" s="234" t="s">
        <v>2590</v>
      </c>
      <c r="BQ38" s="234" t="s">
        <v>2591</v>
      </c>
      <c r="BR38" s="234" t="s">
        <v>2592</v>
      </c>
      <c r="BS38" s="234" t="str">
        <f>RIGHT(Таблица1[[#This Row],[ПДАсВ 1]],1)</f>
        <v>2</v>
      </c>
      <c r="BT38" s="227">
        <v>2</v>
      </c>
      <c r="BU38" s="212">
        <f>IF(Таблица1[[#This Row],[ПДАсВ Итог Копия]]=Таблица1[[#This Row],[Train]],1,0)</f>
        <v>1</v>
      </c>
      <c r="BV38" s="212">
        <f>IF(Таблица1[[#This Row],[ПДАсВ Итог Копия]]=Таблица1[[#This Row],[К-средних]],1,0)</f>
        <v>1</v>
      </c>
      <c r="BW38" s="235">
        <v>36.160133268921797</v>
      </c>
      <c r="BX38" s="235">
        <v>3.8561673089208393</v>
      </c>
      <c r="BY38" s="235">
        <v>21.105176191982995</v>
      </c>
      <c r="BZ38" s="235">
        <v>50.755238662482292</v>
      </c>
      <c r="CA38" s="235">
        <v>58.471890244678072</v>
      </c>
      <c r="CB38" s="235">
        <v>652.86483229538067</v>
      </c>
      <c r="CC38" s="235">
        <v>210.35833384480028</v>
      </c>
      <c r="CD38" s="218">
        <f>MATCH(MIN(Таблица1[[#This Row],[1 ДА Мах]:[7_ДА_Мах]]),Таблица1[[#This Row],[1 ДА Мах]:[7_ДА_Мах]],0)</f>
        <v>2</v>
      </c>
      <c r="CE38" s="219">
        <f>IF(Таблица1[[#This Row],[ДА_Мах_Итог]]=Таблица1[[#This Row],[Train]],1,0)</f>
        <v>1</v>
      </c>
      <c r="CF38" s="219">
        <f>IF(Таблица1[[#This Row],[ДА_Мах_Итог]]=Таблица1[[#This Row],[К-средних]],1,0)</f>
        <v>1</v>
      </c>
      <c r="CG38" s="236">
        <v>7.2484748607047195E-8</v>
      </c>
      <c r="CH38" s="236">
        <v>0.9997754164188003</v>
      </c>
      <c r="CI38" s="236">
        <v>2.2451107974379584E-4</v>
      </c>
      <c r="CJ38" s="236">
        <v>1.6362080110716995E-11</v>
      </c>
      <c r="CK38" s="236">
        <v>3.4529390644534631E-13</v>
      </c>
      <c r="CL38" s="236">
        <v>0</v>
      </c>
      <c r="CM38" s="236">
        <v>0</v>
      </c>
      <c r="CN38" s="218">
        <f>MATCH(MAX(Таблица1[[#This Row],[1_ДА_Ап]:[7_ДА_Ап]]),Таблица1[[#This Row],[1_ДА_Ап]:[7_ДА_Ап]],0)</f>
        <v>2</v>
      </c>
      <c r="CO38" s="219">
        <f>IF(Таблица1[[#This Row],[ПДАсВ Итог Копия]]=Таблица1[[#This Row],[Train]],1,0)</f>
        <v>1</v>
      </c>
      <c r="CP38" s="219">
        <f>IF(Таблица1[[#This Row],[ПДАсВ Итог Копия]]=Таблица1[[#This Row],[К-средних]],1,0)</f>
        <v>1</v>
      </c>
      <c r="CQ38" s="234" t="s">
        <v>2587</v>
      </c>
      <c r="CR38" s="234" t="s">
        <v>2586</v>
      </c>
      <c r="CS38" s="234" t="s">
        <v>2588</v>
      </c>
      <c r="CT38" s="234" t="s">
        <v>2589</v>
      </c>
      <c r="CU38" s="234" t="s">
        <v>2590</v>
      </c>
      <c r="CV38" s="234" t="s">
        <v>2591</v>
      </c>
      <c r="CW38" s="234" t="s">
        <v>2592</v>
      </c>
      <c r="CX38" s="234" t="str">
        <f>RIGHT(Таблица1[[#This Row],[ПДАсИ 1]],1)</f>
        <v>2</v>
      </c>
      <c r="CY38" s="212">
        <v>2</v>
      </c>
      <c r="CZ38" s="212">
        <f>IF(Таблица1[[#This Row],[ПДАсИ Итог Копия]]=Таблица1[[#This Row],[Train]],1,0)</f>
        <v>1</v>
      </c>
      <c r="DA38" s="212">
        <f>IF(Таблица1[[#This Row],[ПДАсИ Итог Копия]]=Таблица1[[#This Row],[К-средних]],1,0)</f>
        <v>1</v>
      </c>
      <c r="DB38" s="237">
        <v>41.152737121619658</v>
      </c>
      <c r="DC38" s="237">
        <v>8.5006286484762672</v>
      </c>
      <c r="DD38" s="237">
        <v>18.978483528326027</v>
      </c>
      <c r="DE38" s="237">
        <v>47.08904531433042</v>
      </c>
      <c r="DF38" s="237">
        <v>102.27260017101212</v>
      </c>
      <c r="DG38" s="237">
        <v>554.51317222413672</v>
      </c>
      <c r="DH38" s="237">
        <v>255.72162245776457</v>
      </c>
      <c r="DI38" s="224">
        <f>MATCH(MIN(Таблица1[[#This Row],[ПДАсИ Мах 1]:[ПДАсИ Мах 7]]),Таблица1[[#This Row],[ПДАсИ Мах 1]:[ПДАсИ Мах 7]],0)</f>
        <v>2</v>
      </c>
      <c r="DJ38" s="212">
        <f>IF(Таблица1[[#This Row],[ПДАсИ Мах Итог]]=Таблица1[[#This Row],[Train]],1,0)</f>
        <v>1</v>
      </c>
      <c r="DK38" s="212">
        <f>IF(Таблица1[[#This Row],[ПДАсИ Мах Итог]]=Таблица1[[#This Row],[К-средних]],1,0)</f>
        <v>1</v>
      </c>
      <c r="DL38" s="238">
        <v>6.0516674174655276E-8</v>
      </c>
      <c r="DM38" s="238">
        <v>0.99341120724736254</v>
      </c>
      <c r="DN38" s="238">
        <v>6.5887311991491976E-3</v>
      </c>
      <c r="DO38" s="238">
        <v>1.0368139985717032E-9</v>
      </c>
      <c r="DP38" s="238">
        <v>1.0783113318229703E-21</v>
      </c>
      <c r="DQ38" s="238">
        <v>0</v>
      </c>
      <c r="DR38" s="238">
        <v>0</v>
      </c>
      <c r="DS38" s="224">
        <f>MATCH(MAX(Таблица1[[#This Row],[ПДАсИ Ап 1]:[ПДАсИ Ап 7]]),Таблица1[[#This Row],[ПДАсИ Ап 1]:[ПДАсИ Ап 7]],0)</f>
        <v>2</v>
      </c>
      <c r="DT38" s="212">
        <f>IF(Таблица1[[#This Row],[ПДАсИ Ап Итог]]=Таблица1[[#This Row],[Train]],1,0)</f>
        <v>1</v>
      </c>
      <c r="DU38" s="212">
        <f>IF(Таблица1[[#This Row],[ПДАсИ Ап Итог]]=Таблица1[[#This Row],[К-средних]],1,0)</f>
        <v>1</v>
      </c>
    </row>
    <row r="39" spans="1:125" ht="13.8">
      <c r="A39" s="205" t="s">
        <v>308</v>
      </c>
      <c r="B39" s="319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320">
        <v>-0.83059942964679179</v>
      </c>
      <c r="K39" s="324">
        <v>0.25722699652217695</v>
      </c>
      <c r="L39" s="325">
        <v>-0.20484082621392849</v>
      </c>
      <c r="M39" s="328">
        <v>0.31725811391845821</v>
      </c>
      <c r="N39" s="310">
        <v>4.1745312673775334E-2</v>
      </c>
      <c r="O39" s="329">
        <v>0.25333230240482585</v>
      </c>
      <c r="P39" s="206">
        <v>5</v>
      </c>
      <c r="Q39" s="207">
        <v>5</v>
      </c>
      <c r="R39" s="206">
        <v>7</v>
      </c>
      <c r="S39" s="208">
        <v>3</v>
      </c>
      <c r="T39" s="271">
        <v>2</v>
      </c>
      <c r="U39" s="271">
        <v>4</v>
      </c>
      <c r="V39" s="272">
        <v>4</v>
      </c>
      <c r="W39" s="272">
        <v>1</v>
      </c>
      <c r="X39" s="312">
        <v>4</v>
      </c>
      <c r="Y39" s="313">
        <v>3</v>
      </c>
      <c r="Z39" s="271">
        <v>5</v>
      </c>
      <c r="AA39" s="314">
        <v>1</v>
      </c>
      <c r="AB39" s="343">
        <v>3</v>
      </c>
      <c r="AC39" s="343">
        <f>IF(Таблица1[[#This Row],[Train]]=Таблица1[[#This Row],[НС]],1,0)</f>
        <v>0</v>
      </c>
      <c r="AD39" s="343">
        <f>IF(Таблица1[[#This Row],[НС]]=Таблица1[[#This Row],[К-средних]],1,0)</f>
        <v>1</v>
      </c>
      <c r="AE39" s="208"/>
      <c r="AF39" s="209">
        <f>SUMXMY2(Таблица1[[#This Row],[X1]:[X9]],Таблица1[[#Totals],[X1]:[X9]])</f>
        <v>2.3873904399337911</v>
      </c>
      <c r="AG39" s="239" t="s">
        <v>2586</v>
      </c>
      <c r="AH39" s="239" t="s">
        <v>2588</v>
      </c>
      <c r="AI39" s="239" t="s">
        <v>2587</v>
      </c>
      <c r="AJ39" s="239" t="s">
        <v>2590</v>
      </c>
      <c r="AK39" s="239" t="s">
        <v>2589</v>
      </c>
      <c r="AL39" s="239" t="s">
        <v>2591</v>
      </c>
      <c r="AM39" s="239" t="s">
        <v>2592</v>
      </c>
      <c r="AN39" s="239" t="str">
        <f>RIGHT(Таблица1[[#This Row],[ДА1]],1)</f>
        <v>3</v>
      </c>
      <c r="AO39" s="214">
        <v>3</v>
      </c>
      <c r="AP39" s="213">
        <f>IF(Таблица1[[#This Row],[ДА Итог Копия]]=Таблица1[[#This Row],[Train]],1,0)</f>
        <v>0</v>
      </c>
      <c r="AQ39" s="213">
        <f>IF(Таблица1[[#This Row],[ДА Итог Копия]]=Таблица1[[#This Row],[К-средних]],1,0)</f>
        <v>1</v>
      </c>
      <c r="AR39" s="216">
        <v>23.204204035903448</v>
      </c>
      <c r="AS39" s="216">
        <v>52.554082273530334</v>
      </c>
      <c r="AT39" s="216">
        <v>18.226903304345946</v>
      </c>
      <c r="AU39" s="216">
        <v>88.792927697040696</v>
      </c>
      <c r="AV39" s="216">
        <v>87.302354545542599</v>
      </c>
      <c r="AW39" s="216">
        <v>719.97457190473199</v>
      </c>
      <c r="AX39" s="217">
        <v>391.44371203036997</v>
      </c>
      <c r="AY39" s="218">
        <f>MATCH(MIN(Таблица1[[#This Row],[1 ДА Мах]:[7_ДА_Мах]]),Таблица1[[#This Row],[1 ДА Мах]:[7_ДА_Мах]],0)</f>
        <v>3</v>
      </c>
      <c r="AZ39" s="219">
        <f>IF(Таблица1[[#This Row],[ДА_Мах_Итог]]=Таблица1[[#This Row],[Train]],1,0)</f>
        <v>0</v>
      </c>
      <c r="BA39" s="219">
        <f>IF(Таблица1[[#This Row],[ДА_Мах_Итог]]=Таблица1[[#This Row],[К-средних]],1,0)</f>
        <v>1</v>
      </c>
      <c r="BB39" s="220">
        <v>4.744955056349965E-2</v>
      </c>
      <c r="BC39" s="220">
        <v>2.678710365568834E-8</v>
      </c>
      <c r="BD39" s="220">
        <v>0.95255042264939627</v>
      </c>
      <c r="BE39" s="220">
        <v>9.0510813421965903E-17</v>
      </c>
      <c r="BF39" s="220">
        <v>1.9071037284342808E-16</v>
      </c>
      <c r="BG39" s="220">
        <v>0</v>
      </c>
      <c r="BH39" s="220">
        <v>0</v>
      </c>
      <c r="BI39" s="218">
        <f>MATCH(MAX(Таблица1[[#This Row],[1_ДА_Ап]:[7_ДА_Ап]]),Таблица1[[#This Row],[1_ДА_Ап]:[7_ДА_Ап]],0)</f>
        <v>3</v>
      </c>
      <c r="BJ39" s="219">
        <f>IF(Таблица1[[#This Row],[ДА_Ап_Итог]]=Таблица1[[#This Row],[Train]],1,0)</f>
        <v>0</v>
      </c>
      <c r="BK39" s="219">
        <f>IF(Таблица1[[#This Row],[ДА_Ап_Итог]]=Таблица1[[#This Row],[К-средних]],1,0)</f>
        <v>1</v>
      </c>
      <c r="BL39" s="234" t="s">
        <v>2586</v>
      </c>
      <c r="BM39" s="234" t="s">
        <v>2588</v>
      </c>
      <c r="BN39" s="234" t="s">
        <v>2587</v>
      </c>
      <c r="BO39" s="234" t="s">
        <v>2590</v>
      </c>
      <c r="BP39" s="234" t="s">
        <v>2589</v>
      </c>
      <c r="BQ39" s="234" t="s">
        <v>2591</v>
      </c>
      <c r="BR39" s="234" t="s">
        <v>2592</v>
      </c>
      <c r="BS39" s="234" t="str">
        <f>RIGHT(Таблица1[[#This Row],[ПДАсВ 1]],1)</f>
        <v>3</v>
      </c>
      <c r="BT39" s="227">
        <v>3</v>
      </c>
      <c r="BU39" s="212">
        <f>IF(Таблица1[[#This Row],[ПДАсВ Итог Копия]]=Таблица1[[#This Row],[Train]],1,0)</f>
        <v>0</v>
      </c>
      <c r="BV39" s="212">
        <f>IF(Таблица1[[#This Row],[ПДАсВ Итог Копия]]=Таблица1[[#This Row],[К-средних]],1,0)</f>
        <v>1</v>
      </c>
      <c r="BW39" s="235">
        <v>13.533361059405502</v>
      </c>
      <c r="BX39" s="235">
        <v>28.54737617201749</v>
      </c>
      <c r="BY39" s="235">
        <v>6.5053483810664101</v>
      </c>
      <c r="BZ39" s="235">
        <v>73.0250334288597</v>
      </c>
      <c r="CA39" s="235">
        <v>56.455718753706961</v>
      </c>
      <c r="CB39" s="235">
        <v>678.42995454355821</v>
      </c>
      <c r="CC39" s="235">
        <v>317.82954679428263</v>
      </c>
      <c r="CD39" s="218">
        <f>MATCH(MIN(Таблица1[[#This Row],[1 ДА Мах]:[7_ДА_Мах]]),Таблица1[[#This Row],[1 ДА Мах]:[7_ДА_Мах]],0)</f>
        <v>3</v>
      </c>
      <c r="CE39" s="219">
        <f>IF(Таблица1[[#This Row],[ДА_Мах_Итог]]=Таблица1[[#This Row],[Train]],1,0)</f>
        <v>0</v>
      </c>
      <c r="CF39" s="219">
        <f>IF(Таблица1[[#This Row],[ДА_Мах_Итог]]=Таблица1[[#This Row],[К-средних]],1,0)</f>
        <v>1</v>
      </c>
      <c r="CG39" s="236">
        <v>1.7552594343090734E-2</v>
      </c>
      <c r="CH39" s="236">
        <v>1.2853698101424729E-5</v>
      </c>
      <c r="CI39" s="236">
        <v>0.98243455195600971</v>
      </c>
      <c r="CJ39" s="236">
        <v>7.0593960345475151E-16</v>
      </c>
      <c r="CK39" s="236">
        <v>2.7973609809294514E-12</v>
      </c>
      <c r="CL39" s="236">
        <v>0</v>
      </c>
      <c r="CM39" s="236">
        <v>0</v>
      </c>
      <c r="CN39" s="218">
        <f>MATCH(MAX(Таблица1[[#This Row],[1_ДА_Ап]:[7_ДА_Ап]]),Таблица1[[#This Row],[1_ДА_Ап]:[7_ДА_Ап]],0)</f>
        <v>3</v>
      </c>
      <c r="CO39" s="219">
        <f>IF(Таблица1[[#This Row],[ПДАсВ Итог Копия]]=Таблица1[[#This Row],[Train]],1,0)</f>
        <v>0</v>
      </c>
      <c r="CP39" s="219">
        <f>IF(Таблица1[[#This Row],[ПДАсВ Итог Копия]]=Таблица1[[#This Row],[К-средних]],1,0)</f>
        <v>1</v>
      </c>
      <c r="CQ39" s="234" t="s">
        <v>2586</v>
      </c>
      <c r="CR39" s="234" t="s">
        <v>2588</v>
      </c>
      <c r="CS39" s="234" t="s">
        <v>2587</v>
      </c>
      <c r="CT39" s="234" t="s">
        <v>2589</v>
      </c>
      <c r="CU39" s="234" t="s">
        <v>2590</v>
      </c>
      <c r="CV39" s="234" t="s">
        <v>2591</v>
      </c>
      <c r="CW39" s="234" t="s">
        <v>2592</v>
      </c>
      <c r="CX39" s="234" t="str">
        <f>RIGHT(Таблица1[[#This Row],[ПДАсИ 1]],1)</f>
        <v>3</v>
      </c>
      <c r="CY39" s="212">
        <v>3</v>
      </c>
      <c r="CZ39" s="212">
        <f>IF(Таблица1[[#This Row],[ПДАсИ Итог Копия]]=Таблица1[[#This Row],[Train]],1,0)</f>
        <v>0</v>
      </c>
      <c r="DA39" s="212">
        <f>IF(Таблица1[[#This Row],[ПДАсИ Итог Копия]]=Таблица1[[#This Row],[К-средних]],1,0)</f>
        <v>1</v>
      </c>
      <c r="DB39" s="237">
        <v>14.637721413272992</v>
      </c>
      <c r="DC39" s="237">
        <v>25.861691834903155</v>
      </c>
      <c r="DD39" s="237">
        <v>6.1817501145832674</v>
      </c>
      <c r="DE39" s="237">
        <v>50.39348043771129</v>
      </c>
      <c r="DF39" s="237">
        <v>68.931732100153781</v>
      </c>
      <c r="DG39" s="237">
        <v>496.57780692490434</v>
      </c>
      <c r="DH39" s="237">
        <v>371.98109116736867</v>
      </c>
      <c r="DI39" s="224">
        <f>MATCH(MIN(Таблица1[[#This Row],[ПДАсИ Мах 1]:[ПДАсИ Мах 7]]),Таблица1[[#This Row],[ПДАсИ Мах 1]:[ПДАсИ Мах 7]],0)</f>
        <v>3</v>
      </c>
      <c r="DJ39" s="212">
        <f>IF(Таблица1[[#This Row],[ПДАсИ Мах Итог]]=Таблица1[[#This Row],[Train]],1,0)</f>
        <v>0</v>
      </c>
      <c r="DK39" s="212">
        <f>IF(Таблица1[[#This Row],[ПДАсИ Мах Итог]]=Таблица1[[#This Row],[К-средних]],1,0)</f>
        <v>1</v>
      </c>
      <c r="DL39" s="238">
        <v>8.672791958432827E-3</v>
      </c>
      <c r="DM39" s="238">
        <v>4.2251628809591825E-5</v>
      </c>
      <c r="DN39" s="238">
        <v>0.99128495636300507</v>
      </c>
      <c r="DO39" s="238">
        <v>4.9747728297822421E-11</v>
      </c>
      <c r="DP39" s="238">
        <v>4.6907582725307865E-15</v>
      </c>
      <c r="DQ39" s="238">
        <v>0</v>
      </c>
      <c r="DR39" s="238">
        <v>0</v>
      </c>
      <c r="DS39" s="224">
        <f>MATCH(MAX(Таблица1[[#This Row],[ПДАсИ Ап 1]:[ПДАсИ Ап 7]]),Таблица1[[#This Row],[ПДАсИ Ап 1]:[ПДАсИ Ап 7]],0)</f>
        <v>3</v>
      </c>
      <c r="DT39" s="212">
        <f>IF(Таблица1[[#This Row],[ПДАсИ Ап Итог]]=Таблица1[[#This Row],[Train]],1,0)</f>
        <v>0</v>
      </c>
      <c r="DU39" s="212">
        <f>IF(Таблица1[[#This Row],[ПДАсИ Ап Итог]]=Таблица1[[#This Row],[К-средних]],1,0)</f>
        <v>1</v>
      </c>
    </row>
    <row r="40" spans="1:125" ht="13.8">
      <c r="A40" s="205" t="s">
        <v>309</v>
      </c>
      <c r="B40" s="319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320">
        <v>-0.17187069236593686</v>
      </c>
      <c r="K40" s="324">
        <v>-0.39168033809985148</v>
      </c>
      <c r="L40" s="325">
        <v>-3.4587405710614152E-2</v>
      </c>
      <c r="M40" s="328">
        <v>-0.26279186065112092</v>
      </c>
      <c r="N40" s="310">
        <v>-0.15929321013374526</v>
      </c>
      <c r="O40" s="329">
        <v>0.44016875182014387</v>
      </c>
      <c r="P40" s="206">
        <v>4</v>
      </c>
      <c r="Q40" s="207">
        <v>5</v>
      </c>
      <c r="R40" s="206">
        <v>4</v>
      </c>
      <c r="S40" s="208">
        <v>3</v>
      </c>
      <c r="T40" s="271">
        <v>2</v>
      </c>
      <c r="U40" s="271">
        <v>7</v>
      </c>
      <c r="V40" s="272">
        <v>1</v>
      </c>
      <c r="W40" s="272">
        <v>1</v>
      </c>
      <c r="X40" s="312">
        <v>3</v>
      </c>
      <c r="Y40" s="313">
        <v>1</v>
      </c>
      <c r="Z40" s="271">
        <v>1</v>
      </c>
      <c r="AA40" s="314">
        <v>2</v>
      </c>
      <c r="AB40" s="343">
        <v>3</v>
      </c>
      <c r="AC40" s="343">
        <f>IF(Таблица1[[#This Row],[Train]]=Таблица1[[#This Row],[НС]],1,0)</f>
        <v>0</v>
      </c>
      <c r="AD40" s="343">
        <f>IF(Таблица1[[#This Row],[НС]]=Таблица1[[#This Row],[К-средних]],1,0)</f>
        <v>1</v>
      </c>
      <c r="AE40" s="208"/>
      <c r="AF40" s="209">
        <f>SUMXMY2(Таблица1[[#This Row],[X1]:[X9]],Таблица1[[#Totals],[X1]:[X9]])</f>
        <v>2.8350506823872705</v>
      </c>
      <c r="AG40" s="239" t="s">
        <v>2586</v>
      </c>
      <c r="AH40" s="239" t="s">
        <v>2588</v>
      </c>
      <c r="AI40" s="239" t="s">
        <v>2587</v>
      </c>
      <c r="AJ40" s="239" t="s">
        <v>2589</v>
      </c>
      <c r="AK40" s="239" t="s">
        <v>2590</v>
      </c>
      <c r="AL40" s="239" t="s">
        <v>2591</v>
      </c>
      <c r="AM40" s="239" t="s">
        <v>2592</v>
      </c>
      <c r="AN40" s="239" t="str">
        <f>RIGHT(Таблица1[[#This Row],[ДА1]],1)</f>
        <v>3</v>
      </c>
      <c r="AO40" s="214">
        <v>3</v>
      </c>
      <c r="AP40" s="213">
        <f>IF(Таблица1[[#This Row],[ДА Итог Копия]]=Таблица1[[#This Row],[Train]],1,0)</f>
        <v>0</v>
      </c>
      <c r="AQ40" s="213">
        <f>IF(Таблица1[[#This Row],[ДА Итог Копия]]=Таблица1[[#This Row],[К-средних]],1,0)</f>
        <v>1</v>
      </c>
      <c r="AR40" s="216">
        <v>24.424043514331185</v>
      </c>
      <c r="AS40" s="216">
        <v>37.717550950506237</v>
      </c>
      <c r="AT40" s="216">
        <v>14.869720547399071</v>
      </c>
      <c r="AU40" s="216">
        <v>66.451227009521048</v>
      </c>
      <c r="AV40" s="216">
        <v>77.909777318708322</v>
      </c>
      <c r="AW40" s="216">
        <v>595.20510913548833</v>
      </c>
      <c r="AX40" s="217">
        <v>389.21439007950482</v>
      </c>
      <c r="AY40" s="218">
        <f>MATCH(MIN(Таблица1[[#This Row],[1 ДА Мах]:[7_ДА_Мах]]),Таблица1[[#This Row],[1 ДА Мах]:[7_ДА_Мах]],0)</f>
        <v>3</v>
      </c>
      <c r="AZ40" s="219">
        <f>IF(Таблица1[[#This Row],[ДА_Мах_Итог]]=Таблица1[[#This Row],[Train]],1,0)</f>
        <v>0</v>
      </c>
      <c r="BA40" s="219">
        <f>IF(Таблица1[[#This Row],[ДА_Мах_Итог]]=Таблица1[[#This Row],[К-средних]],1,0)</f>
        <v>1</v>
      </c>
      <c r="BB40" s="220">
        <v>5.026481669732759E-3</v>
      </c>
      <c r="BC40" s="220">
        <v>8.7007036654607178E-6</v>
      </c>
      <c r="BD40" s="220">
        <v>0.99496481762534439</v>
      </c>
      <c r="BE40" s="220">
        <v>1.2533025043201377E-12</v>
      </c>
      <c r="BF40" s="220">
        <v>4.0725209070823167E-15</v>
      </c>
      <c r="BG40" s="220">
        <v>0</v>
      </c>
      <c r="BH40" s="220">
        <v>0</v>
      </c>
      <c r="BI40" s="218">
        <f>MATCH(MAX(Таблица1[[#This Row],[1_ДА_Ап]:[7_ДА_Ап]]),Таблица1[[#This Row],[1_ДА_Ап]:[7_ДА_Ап]],0)</f>
        <v>3</v>
      </c>
      <c r="BJ40" s="219">
        <f>IF(Таблица1[[#This Row],[ДА_Ап_Итог]]=Таблица1[[#This Row],[Train]],1,0)</f>
        <v>0</v>
      </c>
      <c r="BK40" s="219">
        <f>IF(Таблица1[[#This Row],[ДА_Ап_Итог]]=Таблица1[[#This Row],[К-средних]],1,0)</f>
        <v>1</v>
      </c>
      <c r="BL40" s="234" t="s">
        <v>2586</v>
      </c>
      <c r="BM40" s="234" t="s">
        <v>2588</v>
      </c>
      <c r="BN40" s="234" t="s">
        <v>2587</v>
      </c>
      <c r="BO40" s="234" t="s">
        <v>2590</v>
      </c>
      <c r="BP40" s="234" t="s">
        <v>2589</v>
      </c>
      <c r="BQ40" s="234" t="s">
        <v>2591</v>
      </c>
      <c r="BR40" s="234" t="s">
        <v>2592</v>
      </c>
      <c r="BS40" s="234" t="str">
        <f>RIGHT(Таблица1[[#This Row],[ПДАсВ 1]],1)</f>
        <v>3</v>
      </c>
      <c r="BT40" s="227">
        <v>3</v>
      </c>
      <c r="BU40" s="212">
        <f>IF(Таблица1[[#This Row],[ПДАсВ Итог Копия]]=Таблица1[[#This Row],[Train]],1,0)</f>
        <v>0</v>
      </c>
      <c r="BV40" s="212">
        <f>IF(Таблица1[[#This Row],[ПДАсВ Итог Копия]]=Таблица1[[#This Row],[К-средних]],1,0)</f>
        <v>1</v>
      </c>
      <c r="BW40" s="235">
        <v>23.847957908274534</v>
      </c>
      <c r="BX40" s="235">
        <v>33.087531819798357</v>
      </c>
      <c r="BY40" s="235">
        <v>12.642224902266408</v>
      </c>
      <c r="BZ40" s="235">
        <v>56.329272430891585</v>
      </c>
      <c r="CA40" s="235">
        <v>55.313416254923254</v>
      </c>
      <c r="CB40" s="235">
        <v>582.24629698823981</v>
      </c>
      <c r="CC40" s="235">
        <v>289.40635817990568</v>
      </c>
      <c r="CD40" s="218">
        <f>MATCH(MIN(Таблица1[[#This Row],[1 ДА Мах]:[7_ДА_Мах]]),Таблица1[[#This Row],[1 ДА Мах]:[7_ДА_Мах]],0)</f>
        <v>3</v>
      </c>
      <c r="CE40" s="219">
        <f>IF(Таблица1[[#This Row],[ДА_Мах_Итог]]=Таблица1[[#This Row],[Train]],1,0)</f>
        <v>0</v>
      </c>
      <c r="CF40" s="219">
        <f>IF(Таблица1[[#This Row],[ДА_Мах_Итог]]=Таблица1[[#This Row],[К-средних]],1,0)</f>
        <v>1</v>
      </c>
      <c r="CG40" s="236">
        <v>2.2074195805706874E-3</v>
      </c>
      <c r="CH40" s="236">
        <v>2.900518532786003E-5</v>
      </c>
      <c r="CI40" s="236">
        <v>0.99776357506083335</v>
      </c>
      <c r="CJ40" s="236">
        <v>6.5093227380546043E-11</v>
      </c>
      <c r="CK40" s="236">
        <v>1.0817481735562619E-10</v>
      </c>
      <c r="CL40" s="236">
        <v>0</v>
      </c>
      <c r="CM40" s="236">
        <v>0</v>
      </c>
      <c r="CN40" s="218">
        <f>MATCH(MAX(Таблица1[[#This Row],[1_ДА_Ап]:[7_ДА_Ап]]),Таблица1[[#This Row],[1_ДА_Ап]:[7_ДА_Ап]],0)</f>
        <v>3</v>
      </c>
      <c r="CO40" s="219">
        <f>IF(Таблица1[[#This Row],[ПДАсВ Итог Копия]]=Таблица1[[#This Row],[Train]],1,0)</f>
        <v>0</v>
      </c>
      <c r="CP40" s="219">
        <f>IF(Таблица1[[#This Row],[ПДАсВ Итог Копия]]=Таблица1[[#This Row],[К-средних]],1,0)</f>
        <v>1</v>
      </c>
      <c r="CQ40" s="234" t="s">
        <v>2586</v>
      </c>
      <c r="CR40" s="234" t="s">
        <v>2588</v>
      </c>
      <c r="CS40" s="234" t="s">
        <v>2587</v>
      </c>
      <c r="CT40" s="234" t="s">
        <v>2589</v>
      </c>
      <c r="CU40" s="234" t="s">
        <v>2590</v>
      </c>
      <c r="CV40" s="234" t="s">
        <v>2591</v>
      </c>
      <c r="CW40" s="234" t="s">
        <v>2592</v>
      </c>
      <c r="CX40" s="234" t="str">
        <f>RIGHT(Таблица1[[#This Row],[ПДАсИ 1]],1)</f>
        <v>3</v>
      </c>
      <c r="CY40" s="212">
        <v>3</v>
      </c>
      <c r="CZ40" s="212">
        <f>IF(Таблица1[[#This Row],[ПДАсИ Итог Копия]]=Таблица1[[#This Row],[Train]],1,0)</f>
        <v>0</v>
      </c>
      <c r="DA40" s="212">
        <f>IF(Таблица1[[#This Row],[ПДАсИ Итог Копия]]=Таблица1[[#This Row],[К-средних]],1,0)</f>
        <v>1</v>
      </c>
      <c r="DB40" s="237">
        <v>22.476628781533559</v>
      </c>
      <c r="DC40" s="237">
        <v>28.758721543715293</v>
      </c>
      <c r="DD40" s="237">
        <v>13.546411223888105</v>
      </c>
      <c r="DE40" s="237">
        <v>33.744910270479608</v>
      </c>
      <c r="DF40" s="237">
        <v>53.554622120415459</v>
      </c>
      <c r="DG40" s="237">
        <v>382.07258783521928</v>
      </c>
      <c r="DH40" s="237">
        <v>364.16610295886358</v>
      </c>
      <c r="DI40" s="224">
        <f>MATCH(MIN(Таблица1[[#This Row],[ПДАсИ Мах 1]:[ПДАсИ Мах 7]]),Таблица1[[#This Row],[ПДАсИ Мах 1]:[ПДАсИ Мах 7]],0)</f>
        <v>3</v>
      </c>
      <c r="DJ40" s="212">
        <f>IF(Таблица1[[#This Row],[ПДАсИ Мах Итог]]=Таблица1[[#This Row],[Train]],1,0)</f>
        <v>0</v>
      </c>
      <c r="DK40" s="212">
        <f>IF(Таблица1[[#This Row],[ПДАсИ Мах Итог]]=Таблица1[[#This Row],[К-средних]],1,0)</f>
        <v>1</v>
      </c>
      <c r="DL40" s="238">
        <v>6.8519909405852734E-3</v>
      </c>
      <c r="DM40" s="238">
        <v>3.9501756357040047E-4</v>
      </c>
      <c r="DN40" s="238">
        <v>0.99274482866166525</v>
      </c>
      <c r="DO40" s="238">
        <v>8.1624266157261618E-6</v>
      </c>
      <c r="DP40" s="238">
        <v>4.075632507261971E-10</v>
      </c>
      <c r="DQ40" s="238">
        <v>0</v>
      </c>
      <c r="DR40" s="238">
        <v>0</v>
      </c>
      <c r="DS40" s="224">
        <f>MATCH(MAX(Таблица1[[#This Row],[ПДАсИ Ап 1]:[ПДАсИ Ап 7]]),Таблица1[[#This Row],[ПДАсИ Ап 1]:[ПДАсИ Ап 7]],0)</f>
        <v>3</v>
      </c>
      <c r="DT40" s="212">
        <f>IF(Таблица1[[#This Row],[ПДАсИ Ап Итог]]=Таблица1[[#This Row],[Train]],1,0)</f>
        <v>0</v>
      </c>
      <c r="DU40" s="212">
        <f>IF(Таблица1[[#This Row],[ПДАсИ Ап Итог]]=Таблица1[[#This Row],[К-средних]],1,0)</f>
        <v>1</v>
      </c>
    </row>
    <row r="41" spans="1:125" ht="13.8">
      <c r="A41" s="205" t="s">
        <v>310</v>
      </c>
      <c r="B41" s="319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320">
        <v>0.75522901195526582</v>
      </c>
      <c r="K41" s="324">
        <v>0.16443121958165952</v>
      </c>
      <c r="L41" s="325">
        <v>0.64391023856106</v>
      </c>
      <c r="M41" s="328">
        <v>0.24828319450535583</v>
      </c>
      <c r="N41" s="310">
        <v>-0.48116587743724204</v>
      </c>
      <c r="O41" s="329">
        <v>-0.3357587207017938</v>
      </c>
      <c r="P41" s="206">
        <v>5</v>
      </c>
      <c r="Q41" s="207">
        <v>5</v>
      </c>
      <c r="R41" s="206">
        <v>4</v>
      </c>
      <c r="S41" s="208">
        <v>2</v>
      </c>
      <c r="T41" s="271">
        <v>6</v>
      </c>
      <c r="U41" s="271">
        <v>7</v>
      </c>
      <c r="V41" s="272">
        <v>2</v>
      </c>
      <c r="W41" s="272">
        <v>6</v>
      </c>
      <c r="X41" s="312">
        <v>2</v>
      </c>
      <c r="Y41" s="313">
        <v>2</v>
      </c>
      <c r="Z41" s="271">
        <v>4</v>
      </c>
      <c r="AA41" s="314">
        <v>1</v>
      </c>
      <c r="AB41" s="314">
        <v>2</v>
      </c>
      <c r="AC41" s="314">
        <f>IF(Таблица1[[#This Row],[Train]]=Таблица1[[#This Row],[НС]],1,0)</f>
        <v>1</v>
      </c>
      <c r="AD41" s="314">
        <f>IF(Таблица1[[#This Row],[НС]]=Таблица1[[#This Row],[К-средних]],1,0)</f>
        <v>1</v>
      </c>
      <c r="AE41" s="208">
        <v>2</v>
      </c>
      <c r="AF41" s="209">
        <f>SUMXMY2(Таблица1[[#This Row],[X1]:[X9]],Таблица1[[#Totals],[X1]:[X9]])</f>
        <v>1.7063391771128447</v>
      </c>
      <c r="AG41" s="239" t="s">
        <v>2587</v>
      </c>
      <c r="AH41" s="239" t="s">
        <v>2588</v>
      </c>
      <c r="AI41" s="239" t="s">
        <v>2586</v>
      </c>
      <c r="AJ41" s="239" t="s">
        <v>2590</v>
      </c>
      <c r="AK41" s="239" t="s">
        <v>2589</v>
      </c>
      <c r="AL41" s="239" t="s">
        <v>2591</v>
      </c>
      <c r="AM41" s="239" t="s">
        <v>2592</v>
      </c>
      <c r="AN41" s="239" t="str">
        <f>RIGHT(Таблица1[[#This Row],[ДА1]],1)</f>
        <v>2</v>
      </c>
      <c r="AO41" s="214">
        <v>2</v>
      </c>
      <c r="AP41" s="213">
        <f>IF(Таблица1[[#This Row],[ДА Итог Копия]]=Таблица1[[#This Row],[Train]],1,0)</f>
        <v>1</v>
      </c>
      <c r="AQ41" s="213">
        <f>IF(Таблица1[[#This Row],[ДА Итог Копия]]=Таблица1[[#This Row],[К-средних]],1,0)</f>
        <v>1</v>
      </c>
      <c r="AR41" s="216">
        <v>12.42291128430473</v>
      </c>
      <c r="AS41" s="216">
        <v>5.6297506844298262</v>
      </c>
      <c r="AT41" s="216">
        <v>14.340457466487788</v>
      </c>
      <c r="AU41" s="216">
        <v>93.017664771982766</v>
      </c>
      <c r="AV41" s="216">
        <v>91.629598110949431</v>
      </c>
      <c r="AW41" s="216">
        <v>648.70528525898885</v>
      </c>
      <c r="AX41" s="217">
        <v>345.09841892198307</v>
      </c>
      <c r="AY41" s="218">
        <f>MATCH(MIN(Таблица1[[#This Row],[1 ДА Мах]:[7_ДА_Мах]]),Таблица1[[#This Row],[1 ДА Мах]:[7_ДА_Мах]],0)</f>
        <v>2</v>
      </c>
      <c r="AZ41" s="219">
        <f>IF(Таблица1[[#This Row],[ДА_Мах_Итог]]=Таблица1[[#This Row],[Train]],1,0)</f>
        <v>1</v>
      </c>
      <c r="BA41" s="219">
        <f>IF(Таблица1[[#This Row],[ДА_Мах_Итог]]=Таблица1[[#This Row],[К-средних]],1,0)</f>
        <v>1</v>
      </c>
      <c r="BB41" s="220">
        <v>2.4122728332991297E-2</v>
      </c>
      <c r="BC41" s="220">
        <v>0.96046433788206498</v>
      </c>
      <c r="BD41" s="220">
        <v>1.541293378494356E-2</v>
      </c>
      <c r="BE41" s="220">
        <v>2.5373291925464763E-20</v>
      </c>
      <c r="BF41" s="220">
        <v>5.0791572864575065E-20</v>
      </c>
      <c r="BG41" s="220">
        <v>0</v>
      </c>
      <c r="BH41" s="220">
        <v>0</v>
      </c>
      <c r="BI41" s="218">
        <f>MATCH(MAX(Таблица1[[#This Row],[1_ДА_Ап]:[7_ДА_Ап]]),Таблица1[[#This Row],[1_ДА_Ап]:[7_ДА_Ап]],0)</f>
        <v>2</v>
      </c>
      <c r="BJ41" s="219">
        <f>IF(Таблица1[[#This Row],[ДА_Ап_Итог]]=Таблица1[[#This Row],[Train]],1,0)</f>
        <v>1</v>
      </c>
      <c r="BK41" s="219">
        <f>IF(Таблица1[[#This Row],[ДА_Ап_Итог]]=Таблица1[[#This Row],[К-средних]],1,0)</f>
        <v>1</v>
      </c>
      <c r="BL41" s="234" t="s">
        <v>2587</v>
      </c>
      <c r="BM41" s="234" t="s">
        <v>2586</v>
      </c>
      <c r="BN41" s="234" t="s">
        <v>2588</v>
      </c>
      <c r="BO41" s="234" t="s">
        <v>2590</v>
      </c>
      <c r="BP41" s="234" t="s">
        <v>2589</v>
      </c>
      <c r="BQ41" s="234" t="s">
        <v>2591</v>
      </c>
      <c r="BR41" s="234" t="s">
        <v>2592</v>
      </c>
      <c r="BS41" s="234" t="str">
        <f>RIGHT(Таблица1[[#This Row],[ПДАсВ 1]],1)</f>
        <v>2</v>
      </c>
      <c r="BT41" s="227">
        <v>2</v>
      </c>
      <c r="BU41" s="212">
        <f>IF(Таблица1[[#This Row],[ПДАсВ Итог Копия]]=Таблица1[[#This Row],[Train]],1,0)</f>
        <v>1</v>
      </c>
      <c r="BV41" s="212">
        <f>IF(Таблица1[[#This Row],[ПДАсВ Итог Копия]]=Таблица1[[#This Row],[К-средних]],1,0)</f>
        <v>1</v>
      </c>
      <c r="BW41" s="235">
        <v>8.1116330443430655</v>
      </c>
      <c r="BX41" s="235">
        <v>3.5693293719920809</v>
      </c>
      <c r="BY41" s="235">
        <v>5.3132913816499441</v>
      </c>
      <c r="BZ41" s="235">
        <v>67.319353470526991</v>
      </c>
      <c r="CA41" s="235">
        <v>60.277557880689912</v>
      </c>
      <c r="CB41" s="235">
        <v>626.54113997909087</v>
      </c>
      <c r="CC41" s="235">
        <v>243.04749130640485</v>
      </c>
      <c r="CD41" s="218">
        <f>MATCH(MIN(Таблица1[[#This Row],[1 ДА Мах]:[7_ДА_Мах]]),Таблица1[[#This Row],[1 ДА Мах]:[7_ДА_Мах]],0)</f>
        <v>2</v>
      </c>
      <c r="CE41" s="219">
        <f>IF(Таблица1[[#This Row],[ДА_Мах_Итог]]=Таблица1[[#This Row],[Train]],1,0)</f>
        <v>1</v>
      </c>
      <c r="CF41" s="219">
        <f>IF(Таблица1[[#This Row],[ДА_Мах_Итог]]=Таблица1[[#This Row],[К-средних]],1,0)</f>
        <v>1</v>
      </c>
      <c r="CG41" s="236">
        <v>4.8370385691460238E-2</v>
      </c>
      <c r="CH41" s="236">
        <v>0.6249812624485187</v>
      </c>
      <c r="CI41" s="236">
        <v>0.32664835185994312</v>
      </c>
      <c r="CJ41" s="236">
        <v>2.2421525735061691E-15</v>
      </c>
      <c r="CK41" s="236">
        <v>7.5817881586660339E-14</v>
      </c>
      <c r="CL41" s="236">
        <v>0</v>
      </c>
      <c r="CM41" s="236">
        <v>0</v>
      </c>
      <c r="CN41" s="218">
        <f>MATCH(MAX(Таблица1[[#This Row],[1_ДА_Ап]:[7_ДА_Ап]]),Таблица1[[#This Row],[1_ДА_Ап]:[7_ДА_Ап]],0)</f>
        <v>2</v>
      </c>
      <c r="CO41" s="219">
        <f>IF(Таблица1[[#This Row],[ПДАсВ Итог Копия]]=Таблица1[[#This Row],[Train]],1,0)</f>
        <v>1</v>
      </c>
      <c r="CP41" s="219">
        <f>IF(Таблица1[[#This Row],[ПДАсВ Итог Копия]]=Таблица1[[#This Row],[К-средних]],1,0)</f>
        <v>1</v>
      </c>
      <c r="CQ41" s="234" t="s">
        <v>2587</v>
      </c>
      <c r="CR41" s="234" t="s">
        <v>2586</v>
      </c>
      <c r="CS41" s="234" t="s">
        <v>2588</v>
      </c>
      <c r="CT41" s="234" t="s">
        <v>2589</v>
      </c>
      <c r="CU41" s="234" t="s">
        <v>2590</v>
      </c>
      <c r="CV41" s="234" t="s">
        <v>2591</v>
      </c>
      <c r="CW41" s="234" t="s">
        <v>2592</v>
      </c>
      <c r="CX41" s="234" t="str">
        <f>RIGHT(Таблица1[[#This Row],[ПДАсИ 1]],1)</f>
        <v>2</v>
      </c>
      <c r="CY41" s="212">
        <v>2</v>
      </c>
      <c r="CZ41" s="212">
        <f>IF(Таблица1[[#This Row],[ПДАсИ Итог Копия]]=Таблица1[[#This Row],[Train]],1,0)</f>
        <v>1</v>
      </c>
      <c r="DA41" s="212">
        <f>IF(Таблица1[[#This Row],[ПДАсИ Итог Копия]]=Таблица1[[#This Row],[К-средних]],1,0)</f>
        <v>1</v>
      </c>
      <c r="DB41" s="237">
        <v>8.9034980708370632</v>
      </c>
      <c r="DC41" s="237">
        <v>2.8980054837628497</v>
      </c>
      <c r="DD41" s="237">
        <v>5.4028036044926591</v>
      </c>
      <c r="DE41" s="237">
        <v>53.556059565292671</v>
      </c>
      <c r="DF41" s="237">
        <v>74.429276937433684</v>
      </c>
      <c r="DG41" s="237">
        <v>466.59730323335998</v>
      </c>
      <c r="DH41" s="237">
        <v>311.85722178754122</v>
      </c>
      <c r="DI41" s="224">
        <f>MATCH(MIN(Таблица1[[#This Row],[ПДАсИ Мах 1]:[ПДАсИ Мах 7]]),Таблица1[[#This Row],[ПДАсИ Мах 1]:[ПДАсИ Мах 7]],0)</f>
        <v>2</v>
      </c>
      <c r="DJ41" s="212">
        <f>IF(Таблица1[[#This Row],[ПДАсИ Мах Итог]]=Таблица1[[#This Row],[Train]],1,0)</f>
        <v>1</v>
      </c>
      <c r="DK41" s="212">
        <f>IF(Таблица1[[#This Row],[ПДАсИ Мах Итог]]=Таблица1[[#This Row],[К-средних]],1,0)</f>
        <v>1</v>
      </c>
      <c r="DL41" s="238">
        <v>2.6703196609630157E-2</v>
      </c>
      <c r="DM41" s="238">
        <v>0.7170973801139503</v>
      </c>
      <c r="DN41" s="238">
        <v>0.25619942327462791</v>
      </c>
      <c r="DO41" s="238">
        <v>1.7916842199832416E-12</v>
      </c>
      <c r="DP41" s="238">
        <v>5.2565391892645488E-17</v>
      </c>
      <c r="DQ41" s="238">
        <v>0</v>
      </c>
      <c r="DR41" s="238">
        <v>0</v>
      </c>
      <c r="DS41" s="224">
        <f>MATCH(MAX(Таблица1[[#This Row],[ПДАсИ Ап 1]:[ПДАсИ Ап 7]]),Таблица1[[#This Row],[ПДАсИ Ап 1]:[ПДАсИ Ап 7]],0)</f>
        <v>2</v>
      </c>
      <c r="DT41" s="212">
        <f>IF(Таблица1[[#This Row],[ПДАсИ Ап Итог]]=Таблица1[[#This Row],[Train]],1,0)</f>
        <v>1</v>
      </c>
      <c r="DU41" s="212">
        <f>IF(Таблица1[[#This Row],[ПДАсИ Ап Итог]]=Таблица1[[#This Row],[К-средних]],1,0)</f>
        <v>1</v>
      </c>
    </row>
    <row r="42" spans="1:125" ht="13.8">
      <c r="A42" s="205" t="s">
        <v>311</v>
      </c>
      <c r="B42" s="319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320">
        <v>-0.55917879252643954</v>
      </c>
      <c r="K42" s="324">
        <v>-0.21063761047768614</v>
      </c>
      <c r="L42" s="325">
        <v>-3.7812234363291536E-2</v>
      </c>
      <c r="M42" s="328">
        <v>-5.3414024021765288E-2</v>
      </c>
      <c r="N42" s="310">
        <v>-2.3451109145099777E-2</v>
      </c>
      <c r="O42" s="329">
        <v>0.60297026336575199</v>
      </c>
      <c r="P42" s="206">
        <v>5</v>
      </c>
      <c r="Q42" s="207">
        <v>5</v>
      </c>
      <c r="R42" s="206">
        <v>5</v>
      </c>
      <c r="S42" s="208">
        <v>3</v>
      </c>
      <c r="T42" s="271">
        <v>2</v>
      </c>
      <c r="U42" s="271">
        <v>6</v>
      </c>
      <c r="V42" s="272">
        <v>1</v>
      </c>
      <c r="W42" s="272">
        <v>1</v>
      </c>
      <c r="X42" s="312">
        <v>3</v>
      </c>
      <c r="Y42" s="313">
        <v>1</v>
      </c>
      <c r="Z42" s="271">
        <v>1</v>
      </c>
      <c r="AA42" s="314">
        <v>2</v>
      </c>
      <c r="AB42" s="314">
        <v>3</v>
      </c>
      <c r="AC42" s="314">
        <f>IF(Таблица1[[#This Row],[Train]]=Таблица1[[#This Row],[НС]],1,0)</f>
        <v>1</v>
      </c>
      <c r="AD42" s="314">
        <f>IF(Таблица1[[#This Row],[НС]]=Таблица1[[#This Row],[К-средних]],1,0)</f>
        <v>1</v>
      </c>
      <c r="AE42" s="208">
        <v>3</v>
      </c>
      <c r="AF42" s="209">
        <f>SUMXMY2(Таблица1[[#This Row],[X1]:[X9]],Таблица1[[#Totals],[X1]:[X9]])</f>
        <v>1.5403405633417719</v>
      </c>
      <c r="AG42" s="239" t="s">
        <v>2586</v>
      </c>
      <c r="AH42" s="239" t="s">
        <v>2587</v>
      </c>
      <c r="AI42" s="239" t="s">
        <v>2588</v>
      </c>
      <c r="AJ42" s="239" t="s">
        <v>2589</v>
      </c>
      <c r="AK42" s="239" t="s">
        <v>2590</v>
      </c>
      <c r="AL42" s="239" t="s">
        <v>2591</v>
      </c>
      <c r="AM42" s="239" t="s">
        <v>2592</v>
      </c>
      <c r="AN42" s="239" t="str">
        <f>RIGHT(Таблица1[[#This Row],[ДА1]],1)</f>
        <v>3</v>
      </c>
      <c r="AO42" s="214">
        <v>3</v>
      </c>
      <c r="AP42" s="213">
        <f>IF(Таблица1[[#This Row],[ДА Итог Копия]]=Таблица1[[#This Row],[Train]],1,0)</f>
        <v>1</v>
      </c>
      <c r="AQ42" s="213">
        <f>IF(Таблица1[[#This Row],[ДА Итог Копия]]=Таблица1[[#This Row],[К-средних]],1,0)</f>
        <v>1</v>
      </c>
      <c r="AR42" s="216">
        <v>28.218947585072339</v>
      </c>
      <c r="AS42" s="216">
        <v>20.44368646029082</v>
      </c>
      <c r="AT42" s="216">
        <v>3.9031008107545824</v>
      </c>
      <c r="AU42" s="216">
        <v>48.796540876105773</v>
      </c>
      <c r="AV42" s="216">
        <v>91.592548843112823</v>
      </c>
      <c r="AW42" s="216">
        <v>671.21712820943719</v>
      </c>
      <c r="AX42" s="217">
        <v>326.3905894104862</v>
      </c>
      <c r="AY42" s="218">
        <f>MATCH(MIN(Таблица1[[#This Row],[1 ДА Мах]:[7_ДА_Мах]]),Таблица1[[#This Row],[1 ДА Мах]:[7_ДА_Мах]],0)</f>
        <v>3</v>
      </c>
      <c r="AZ42" s="219">
        <f>IF(Таблица1[[#This Row],[ДА_Мах_Итог]]=Таблица1[[#This Row],[Train]],1,0)</f>
        <v>1</v>
      </c>
      <c r="BA42" s="219">
        <f>IF(Таблица1[[#This Row],[ДА_Мах_Итог]]=Таблица1[[#This Row],[К-средних]],1,0)</f>
        <v>1</v>
      </c>
      <c r="BB42" s="220">
        <v>3.147327287105813E-6</v>
      </c>
      <c r="BC42" s="220">
        <v>2.0476566899087695E-4</v>
      </c>
      <c r="BD42" s="220">
        <v>0.99979208696803967</v>
      </c>
      <c r="BE42" s="220">
        <v>3.5682316722597362E-11</v>
      </c>
      <c r="BF42" s="220">
        <v>1.8172638606478675E-20</v>
      </c>
      <c r="BG42" s="220">
        <v>0</v>
      </c>
      <c r="BH42" s="220">
        <v>0</v>
      </c>
      <c r="BI42" s="218">
        <f>MATCH(MAX(Таблица1[[#This Row],[1_ДА_Ап]:[7_ДА_Ап]]),Таблица1[[#This Row],[1_ДА_Ап]:[7_ДА_Ап]],0)</f>
        <v>3</v>
      </c>
      <c r="BJ42" s="219">
        <f>IF(Таблица1[[#This Row],[ДА_Ап_Итог]]=Таблица1[[#This Row],[Train]],1,0)</f>
        <v>1</v>
      </c>
      <c r="BK42" s="219">
        <f>IF(Таблица1[[#This Row],[ДА_Ап_Итог]]=Таблица1[[#This Row],[К-средних]],1,0)</f>
        <v>1</v>
      </c>
      <c r="BL42" s="234" t="s">
        <v>2586</v>
      </c>
      <c r="BM42" s="234" t="s">
        <v>2587</v>
      </c>
      <c r="BN42" s="234" t="s">
        <v>2588</v>
      </c>
      <c r="BO42" s="234" t="s">
        <v>2590</v>
      </c>
      <c r="BP42" s="234" t="s">
        <v>2589</v>
      </c>
      <c r="BQ42" s="234" t="s">
        <v>2591</v>
      </c>
      <c r="BR42" s="234" t="s">
        <v>2592</v>
      </c>
      <c r="BS42" s="234" t="str">
        <f>RIGHT(Таблица1[[#This Row],[ПДАсВ 1]],1)</f>
        <v>3</v>
      </c>
      <c r="BT42" s="227">
        <v>3</v>
      </c>
      <c r="BU42" s="212">
        <f>IF(Таблица1[[#This Row],[ПДАсВ Итог Копия]]=Таблица1[[#This Row],[Train]],1,0)</f>
        <v>1</v>
      </c>
      <c r="BV42" s="212">
        <f>IF(Таблица1[[#This Row],[ПДАсВ Итог Копия]]=Таблица1[[#This Row],[К-средних]],1,0)</f>
        <v>1</v>
      </c>
      <c r="BW42" s="235">
        <v>17.085397436576578</v>
      </c>
      <c r="BX42" s="235">
        <v>5.8110444859656925</v>
      </c>
      <c r="BY42" s="235">
        <v>1.6052278768396286</v>
      </c>
      <c r="BZ42" s="235">
        <v>46.777933059985372</v>
      </c>
      <c r="CA42" s="235">
        <v>37.135833483495198</v>
      </c>
      <c r="CB42" s="235">
        <v>633.53977274473982</v>
      </c>
      <c r="CC42" s="235">
        <v>272.16013726421937</v>
      </c>
      <c r="CD42" s="218">
        <f>MATCH(MIN(Таблица1[[#This Row],[1 ДА Мах]:[7_ДА_Мах]]),Таблица1[[#This Row],[1 ДА Мах]:[7_ДА_Мах]],0)</f>
        <v>3</v>
      </c>
      <c r="CE42" s="219">
        <f>IF(Таблица1[[#This Row],[ДА_Мах_Итог]]=Таблица1[[#This Row],[Train]],1,0)</f>
        <v>1</v>
      </c>
      <c r="CF42" s="219">
        <f>IF(Таблица1[[#This Row],[ДА_Мах_Итог]]=Таблица1[[#This Row],[К-средних]],1,0)</f>
        <v>1</v>
      </c>
      <c r="CG42" s="236">
        <v>2.3773650479984242E-4</v>
      </c>
      <c r="CH42" s="236">
        <v>8.8967061564012143E-2</v>
      </c>
      <c r="CI42" s="236">
        <v>0.91079519839477141</v>
      </c>
      <c r="CJ42" s="236">
        <v>2.8269780160753597E-11</v>
      </c>
      <c r="CK42" s="236">
        <v>3.5081467427563776E-9</v>
      </c>
      <c r="CL42" s="236">
        <v>0</v>
      </c>
      <c r="CM42" s="236">
        <v>0</v>
      </c>
      <c r="CN42" s="218">
        <f>MATCH(MAX(Таблица1[[#This Row],[1_ДА_Ап]:[7_ДА_Ап]]),Таблица1[[#This Row],[1_ДА_Ап]:[7_ДА_Ап]],0)</f>
        <v>3</v>
      </c>
      <c r="CO42" s="219">
        <f>IF(Таблица1[[#This Row],[ПДАсВ Итог Копия]]=Таблица1[[#This Row],[Train]],1,0)</f>
        <v>1</v>
      </c>
      <c r="CP42" s="219">
        <f>IF(Таблица1[[#This Row],[ПДАсВ Итог Копия]]=Таблица1[[#This Row],[К-средних]],1,0)</f>
        <v>1</v>
      </c>
      <c r="CQ42" s="234" t="s">
        <v>2586</v>
      </c>
      <c r="CR42" s="234" t="s">
        <v>2587</v>
      </c>
      <c r="CS42" s="234" t="s">
        <v>2588</v>
      </c>
      <c r="CT42" s="234" t="s">
        <v>2589</v>
      </c>
      <c r="CU42" s="234" t="s">
        <v>2590</v>
      </c>
      <c r="CV42" s="234" t="s">
        <v>2591</v>
      </c>
      <c r="CW42" s="234" t="s">
        <v>2592</v>
      </c>
      <c r="CX42" s="234" t="str">
        <f>RIGHT(Таблица1[[#This Row],[ПДАсИ 1]],1)</f>
        <v>3</v>
      </c>
      <c r="CY42" s="212">
        <v>3</v>
      </c>
      <c r="CZ42" s="212">
        <f>IF(Таблица1[[#This Row],[ПДАсИ Итог Копия]]=Таблица1[[#This Row],[Train]],1,0)</f>
        <v>1</v>
      </c>
      <c r="DA42" s="212">
        <f>IF(Таблица1[[#This Row],[ПДАсИ Итог Копия]]=Таблица1[[#This Row],[К-средних]],1,0)</f>
        <v>1</v>
      </c>
      <c r="DB42" s="237">
        <v>23.553383585554226</v>
      </c>
      <c r="DC42" s="237">
        <v>9.7856383630626738</v>
      </c>
      <c r="DD42" s="237">
        <v>2.4405540006669022</v>
      </c>
      <c r="DE42" s="237">
        <v>35.645914261863979</v>
      </c>
      <c r="DF42" s="237">
        <v>72.773224021675688</v>
      </c>
      <c r="DG42" s="237">
        <v>501.28193993475435</v>
      </c>
      <c r="DH42" s="237">
        <v>316.29261020504879</v>
      </c>
      <c r="DI42" s="224">
        <f>MATCH(MIN(Таблица1[[#This Row],[ПДАсИ Мах 1]:[ПДАсИ Мах 7]]),Таблица1[[#This Row],[ПДАсИ Мах 1]:[ПДАсИ Мах 7]],0)</f>
        <v>3</v>
      </c>
      <c r="DJ42" s="212">
        <f>IF(Таблица1[[#This Row],[ПДАсИ Мах Итог]]=Таблица1[[#This Row],[Train]],1,0)</f>
        <v>1</v>
      </c>
      <c r="DK42" s="212">
        <f>IF(Таблица1[[#This Row],[ПДАсИ Мах Итог]]=Таблица1[[#This Row],[К-средних]],1,0)</f>
        <v>1</v>
      </c>
      <c r="DL42" s="238">
        <v>1.5304230301216019E-5</v>
      </c>
      <c r="DM42" s="238">
        <v>1.9924072721974342E-2</v>
      </c>
      <c r="DN42" s="238">
        <v>0.9800606109742972</v>
      </c>
      <c r="DO42" s="238">
        <v>1.2073427129366396E-8</v>
      </c>
      <c r="DP42" s="238">
        <v>1.0464962752674681E-16</v>
      </c>
      <c r="DQ42" s="238">
        <v>0</v>
      </c>
      <c r="DR42" s="238">
        <v>0</v>
      </c>
      <c r="DS42" s="224">
        <f>MATCH(MAX(Таблица1[[#This Row],[ПДАсИ Ап 1]:[ПДАсИ Ап 7]]),Таблица1[[#This Row],[ПДАсИ Ап 1]:[ПДАсИ Ап 7]],0)</f>
        <v>3</v>
      </c>
      <c r="DT42" s="212">
        <f>IF(Таблица1[[#This Row],[ПДАсИ Ап Итог]]=Таблица1[[#This Row],[Train]],1,0)</f>
        <v>1</v>
      </c>
      <c r="DU42" s="212">
        <f>IF(Таблица1[[#This Row],[ПДАсИ Ап Итог]]=Таблица1[[#This Row],[К-средних]],1,0)</f>
        <v>1</v>
      </c>
    </row>
    <row r="43" spans="1:125" ht="13.8">
      <c r="A43" s="210" t="s">
        <v>312</v>
      </c>
      <c r="B43" s="319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320">
        <v>0.81012307339533696</v>
      </c>
      <c r="K43" s="324">
        <v>-1.0605544616470557</v>
      </c>
      <c r="L43" s="325">
        <v>0.72872141224169495</v>
      </c>
      <c r="M43" s="328">
        <v>-0.79540076278333094</v>
      </c>
      <c r="N43" s="310">
        <v>-0.61014347282797388</v>
      </c>
      <c r="O43" s="329">
        <v>0.17893500115547184</v>
      </c>
      <c r="P43" s="206">
        <v>4</v>
      </c>
      <c r="Q43" s="207">
        <v>5</v>
      </c>
      <c r="R43" s="206">
        <v>4</v>
      </c>
      <c r="S43" s="208">
        <v>2</v>
      </c>
      <c r="T43" s="271">
        <v>3</v>
      </c>
      <c r="U43" s="271">
        <v>7</v>
      </c>
      <c r="V43" s="272">
        <v>3</v>
      </c>
      <c r="W43" s="272">
        <v>6</v>
      </c>
      <c r="X43" s="312">
        <v>6</v>
      </c>
      <c r="Y43" s="313">
        <v>2</v>
      </c>
      <c r="Z43" s="271">
        <v>6</v>
      </c>
      <c r="AA43" s="314">
        <v>6</v>
      </c>
      <c r="AB43" s="343">
        <v>2</v>
      </c>
      <c r="AC43" s="343">
        <f>IF(Таблица1[[#This Row],[Train]]=Таблица1[[#This Row],[НС]],1,0)</f>
        <v>0</v>
      </c>
      <c r="AD43" s="343">
        <f>IF(Таблица1[[#This Row],[НС]]=Таблица1[[#This Row],[К-средних]],1,0)</f>
        <v>1</v>
      </c>
      <c r="AE43" s="208"/>
      <c r="AF43" s="209">
        <f>SUMXMY2(Таблица1[[#This Row],[X1]:[X9]],Таблица1[[#Totals],[X1]:[X9]])</f>
        <v>5.0706830927740167</v>
      </c>
      <c r="AG43" s="239" t="s">
        <v>2587</v>
      </c>
      <c r="AH43" s="239" t="s">
        <v>2586</v>
      </c>
      <c r="AI43" s="239" t="s">
        <v>2588</v>
      </c>
      <c r="AJ43" s="239" t="s">
        <v>2589</v>
      </c>
      <c r="AK43" s="239" t="s">
        <v>2590</v>
      </c>
      <c r="AL43" s="239" t="s">
        <v>2591</v>
      </c>
      <c r="AM43" s="239" t="s">
        <v>2592</v>
      </c>
      <c r="AN43" s="239" t="str">
        <f>RIGHT(Таблица1[[#This Row],[ДА1]],1)</f>
        <v>2</v>
      </c>
      <c r="AO43" s="214">
        <v>2</v>
      </c>
      <c r="AP43" s="213">
        <f>IF(Таблица1[[#This Row],[ДА Итог Копия]]=Таблица1[[#This Row],[Train]],1,0)</f>
        <v>0</v>
      </c>
      <c r="AQ43" s="213">
        <f>IF(Таблица1[[#This Row],[ДА Итог Копия]]=Таблица1[[#This Row],[К-средних]],1,0)</f>
        <v>1</v>
      </c>
      <c r="AR43" s="216">
        <v>61.152059693272363</v>
      </c>
      <c r="AS43" s="216">
        <v>16.282603439593423</v>
      </c>
      <c r="AT43" s="216">
        <v>31.655963314639884</v>
      </c>
      <c r="AU43" s="216">
        <v>68.44932993562665</v>
      </c>
      <c r="AV43" s="216">
        <v>95.943843186923729</v>
      </c>
      <c r="AW43" s="216">
        <v>634.6069876337308</v>
      </c>
      <c r="AX43" s="217">
        <v>389.03586700693887</v>
      </c>
      <c r="AY43" s="218">
        <f>MATCH(MIN(Таблица1[[#This Row],[1 ДА Мах]:[7_ДА_Мах]]),Таблица1[[#This Row],[1 ДА Мах]:[7_ДА_Мах]],0)</f>
        <v>2</v>
      </c>
      <c r="AZ43" s="219">
        <f>IF(Таблица1[[#This Row],[ДА_Мах_Итог]]=Таблица1[[#This Row],[Train]],1,0)</f>
        <v>0</v>
      </c>
      <c r="BA43" s="219">
        <f>IF(Таблица1[[#This Row],[ДА_Мах_Итог]]=Таблица1[[#This Row],[К-средних]],1,0)</f>
        <v>1</v>
      </c>
      <c r="BB43" s="220">
        <v>1.353734772584013E-10</v>
      </c>
      <c r="BC43" s="220">
        <v>0.99942670469512418</v>
      </c>
      <c r="BD43" s="220">
        <v>5.732951683279085E-4</v>
      </c>
      <c r="BE43" s="220">
        <v>1.1744383661753935E-12</v>
      </c>
      <c r="BF43" s="220">
        <v>1.2573973373822305E-18</v>
      </c>
      <c r="BG43" s="220">
        <v>0</v>
      </c>
      <c r="BH43" s="220">
        <v>0</v>
      </c>
      <c r="BI43" s="218">
        <f>MATCH(MAX(Таблица1[[#This Row],[1_ДА_Ап]:[7_ДА_Ап]]),Таблица1[[#This Row],[1_ДА_Ап]:[7_ДА_Ап]],0)</f>
        <v>2</v>
      </c>
      <c r="BJ43" s="219">
        <f>IF(Таблица1[[#This Row],[ДА_Ап_Итог]]=Таблица1[[#This Row],[Train]],1,0)</f>
        <v>0</v>
      </c>
      <c r="BK43" s="219">
        <f>IF(Таблица1[[#This Row],[ДА_Ап_Итог]]=Таблица1[[#This Row],[К-средних]],1,0)</f>
        <v>1</v>
      </c>
      <c r="BL43" s="234" t="s">
        <v>2587</v>
      </c>
      <c r="BM43" s="234" t="s">
        <v>2586</v>
      </c>
      <c r="BN43" s="234" t="s">
        <v>2590</v>
      </c>
      <c r="BO43" s="234" t="s">
        <v>2588</v>
      </c>
      <c r="BP43" s="234" t="s">
        <v>2589</v>
      </c>
      <c r="BQ43" s="234" t="s">
        <v>2591</v>
      </c>
      <c r="BR43" s="234" t="s">
        <v>2592</v>
      </c>
      <c r="BS43" s="234" t="str">
        <f>RIGHT(Таблица1[[#This Row],[ПДАсВ 1]],1)</f>
        <v>2</v>
      </c>
      <c r="BT43" s="227">
        <v>2</v>
      </c>
      <c r="BU43" s="212">
        <f>IF(Таблица1[[#This Row],[ПДАсВ Итог Копия]]=Таблица1[[#This Row],[Train]],1,0)</f>
        <v>0</v>
      </c>
      <c r="BV43" s="212">
        <f>IF(Таблица1[[#This Row],[ПДАсВ Итог Копия]]=Таблица1[[#This Row],[К-средних]],1,0)</f>
        <v>1</v>
      </c>
      <c r="BW43" s="235">
        <v>44.573770612848882</v>
      </c>
      <c r="BX43" s="235">
        <v>9.5556356398912197</v>
      </c>
      <c r="BY43" s="235">
        <v>21.087632725271238</v>
      </c>
      <c r="BZ43" s="235">
        <v>49.602421525371767</v>
      </c>
      <c r="CA43" s="235">
        <v>39.106968017807603</v>
      </c>
      <c r="CB43" s="235">
        <v>616.44160856917779</v>
      </c>
      <c r="CC43" s="235">
        <v>274.72036504284586</v>
      </c>
      <c r="CD43" s="218">
        <f>MATCH(MIN(Таблица1[[#This Row],[1 ДА Мах]:[7_ДА_Мах]]),Таблица1[[#This Row],[1 ДА Мах]:[7_ДА_Мах]],0)</f>
        <v>2</v>
      </c>
      <c r="CE43" s="219">
        <f>IF(Таблица1[[#This Row],[ДА_Мах_Итог]]=Таблица1[[#This Row],[Train]],1,0)</f>
        <v>0</v>
      </c>
      <c r="CF43" s="219">
        <f>IF(Таблица1[[#This Row],[ДА_Мах_Итог]]=Таблица1[[#This Row],[К-средних]],1,0)</f>
        <v>1</v>
      </c>
      <c r="CG43" s="236">
        <v>1.858971509550827E-8</v>
      </c>
      <c r="CH43" s="236">
        <v>0.99609982343702996</v>
      </c>
      <c r="CI43" s="236">
        <v>3.9000621367982183E-3</v>
      </c>
      <c r="CJ43" s="236">
        <v>5.0141094280282001E-10</v>
      </c>
      <c r="CK43" s="236">
        <v>9.5335045786229935E-8</v>
      </c>
      <c r="CL43" s="236">
        <v>0</v>
      </c>
      <c r="CM43" s="236">
        <v>0</v>
      </c>
      <c r="CN43" s="218">
        <f>MATCH(MAX(Таблица1[[#This Row],[1_ДА_Ап]:[7_ДА_Ап]]),Таблица1[[#This Row],[1_ДА_Ап]:[7_ДА_Ап]],0)</f>
        <v>2</v>
      </c>
      <c r="CO43" s="219">
        <f>IF(Таблица1[[#This Row],[ПДАсВ Итог Копия]]=Таблица1[[#This Row],[Train]],1,0)</f>
        <v>0</v>
      </c>
      <c r="CP43" s="219">
        <f>IF(Таблица1[[#This Row],[ПДАсВ Итог Копия]]=Таблица1[[#This Row],[К-средних]],1,0)</f>
        <v>1</v>
      </c>
      <c r="CQ43" s="234" t="s">
        <v>2587</v>
      </c>
      <c r="CR43" s="234" t="s">
        <v>2586</v>
      </c>
      <c r="CS43" s="234" t="s">
        <v>2588</v>
      </c>
      <c r="CT43" s="234" t="s">
        <v>2589</v>
      </c>
      <c r="CU43" s="234" t="s">
        <v>2590</v>
      </c>
      <c r="CV43" s="234" t="s">
        <v>2591</v>
      </c>
      <c r="CW43" s="234" t="s">
        <v>2592</v>
      </c>
      <c r="CX43" s="234" t="str">
        <f>RIGHT(Таблица1[[#This Row],[ПДАсИ 1]],1)</f>
        <v>2</v>
      </c>
      <c r="CY43" s="212">
        <v>2</v>
      </c>
      <c r="CZ43" s="212">
        <f>IF(Таблица1[[#This Row],[ПДАсИ Итог Копия]]=Таблица1[[#This Row],[Train]],1,0)</f>
        <v>0</v>
      </c>
      <c r="DA43" s="212">
        <f>IF(Таблица1[[#This Row],[ПДАсИ Итог Копия]]=Таблица1[[#This Row],[К-средних]],1,0)</f>
        <v>1</v>
      </c>
      <c r="DB43" s="237">
        <v>42.524416971129618</v>
      </c>
      <c r="DC43" s="237">
        <v>9.1814413745853951</v>
      </c>
      <c r="DD43" s="237">
        <v>18.011617696093317</v>
      </c>
      <c r="DE43" s="237">
        <v>45.668777443324473</v>
      </c>
      <c r="DF43" s="237">
        <v>57.817237075083725</v>
      </c>
      <c r="DG43" s="237">
        <v>492.63026155916538</v>
      </c>
      <c r="DH43" s="237">
        <v>354.17352555301312</v>
      </c>
      <c r="DI43" s="224">
        <f>MATCH(MIN(Таблица1[[#This Row],[ПДАсИ Мах 1]:[ПДАсИ Мах 7]]),Таблица1[[#This Row],[ПДАсИ Мах 1]:[ПДАсИ Мах 7]],0)</f>
        <v>2</v>
      </c>
      <c r="DJ43" s="212">
        <f>IF(Таблица1[[#This Row],[ПДАсИ Мах Итог]]=Таблица1[[#This Row],[Train]],1,0)</f>
        <v>0</v>
      </c>
      <c r="DK43" s="212">
        <f>IF(Таблица1[[#This Row],[ПДАсИ Мах Итог]]=Таблица1[[#This Row],[К-средних]],1,0)</f>
        <v>1</v>
      </c>
      <c r="DL43" s="238">
        <v>4.2482498114223527E-8</v>
      </c>
      <c r="DM43" s="238">
        <v>0.9851082117634179</v>
      </c>
      <c r="DN43" s="238">
        <v>1.489174280764201E-2</v>
      </c>
      <c r="DO43" s="238">
        <v>2.9396768409680928E-9</v>
      </c>
      <c r="DP43" s="238">
        <v>6.7654252528148321E-12</v>
      </c>
      <c r="DQ43" s="238">
        <v>0</v>
      </c>
      <c r="DR43" s="238">
        <v>0</v>
      </c>
      <c r="DS43" s="224">
        <f>MATCH(MAX(Таблица1[[#This Row],[ПДАсИ Ап 1]:[ПДАсИ Ап 7]]),Таблица1[[#This Row],[ПДАсИ Ап 1]:[ПДАсИ Ап 7]],0)</f>
        <v>2</v>
      </c>
      <c r="DT43" s="212">
        <f>IF(Таблица1[[#This Row],[ПДАсИ Ап Итог]]=Таблица1[[#This Row],[Train]],1,0)</f>
        <v>0</v>
      </c>
      <c r="DU43" s="212">
        <f>IF(Таблица1[[#This Row],[ПДАсИ Ап Итог]]=Таблица1[[#This Row],[К-средних]],1,0)</f>
        <v>1</v>
      </c>
    </row>
    <row r="44" spans="1:125" ht="13.8">
      <c r="A44" s="205" t="s">
        <v>313</v>
      </c>
      <c r="B44" s="319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320">
        <v>0.51735474571495721</v>
      </c>
      <c r="K44" s="324">
        <v>0.36891789994640045</v>
      </c>
      <c r="L44" s="325">
        <v>0.92496213008077244</v>
      </c>
      <c r="M44" s="328">
        <v>0.41090037971993276</v>
      </c>
      <c r="N44" s="310">
        <v>-0.8432767494527913</v>
      </c>
      <c r="O44" s="329">
        <v>-0.56420364429441572</v>
      </c>
      <c r="P44" s="206">
        <v>5</v>
      </c>
      <c r="Q44" s="207">
        <v>5</v>
      </c>
      <c r="R44" s="206">
        <v>4</v>
      </c>
      <c r="S44" s="208">
        <v>2</v>
      </c>
      <c r="T44" s="271">
        <v>6</v>
      </c>
      <c r="U44" s="271">
        <v>7</v>
      </c>
      <c r="V44" s="272">
        <v>2</v>
      </c>
      <c r="W44" s="272">
        <v>6</v>
      </c>
      <c r="X44" s="312">
        <v>2</v>
      </c>
      <c r="Y44" s="313">
        <v>2</v>
      </c>
      <c r="Z44" s="271">
        <v>4</v>
      </c>
      <c r="AA44" s="314">
        <v>3</v>
      </c>
      <c r="AB44" s="343">
        <v>3</v>
      </c>
      <c r="AC44" s="343">
        <f>IF(Таблица1[[#This Row],[Train]]=Таблица1[[#This Row],[НС]],1,0)</f>
        <v>0</v>
      </c>
      <c r="AD44" s="343">
        <f>IF(Таблица1[[#This Row],[НС]]=Таблица1[[#This Row],[К-средних]],1,0)</f>
        <v>0</v>
      </c>
      <c r="AE44" s="208"/>
      <c r="AF44" s="209">
        <f>SUMXMY2(Таблица1[[#This Row],[X1]:[X9]],Таблица1[[#Totals],[X1]:[X9]])</f>
        <v>6.6388458354597226</v>
      </c>
      <c r="AG44" s="239" t="s">
        <v>2588</v>
      </c>
      <c r="AH44" s="239" t="s">
        <v>2587</v>
      </c>
      <c r="AI44" s="239" t="s">
        <v>2586</v>
      </c>
      <c r="AJ44" s="239" t="s">
        <v>2590</v>
      </c>
      <c r="AK44" s="239" t="s">
        <v>2589</v>
      </c>
      <c r="AL44" s="239" t="s">
        <v>2591</v>
      </c>
      <c r="AM44" s="239" t="s">
        <v>2592</v>
      </c>
      <c r="AN44" s="239" t="str">
        <f>RIGHT(Таблица1[[#This Row],[ДА1]],1)</f>
        <v>1</v>
      </c>
      <c r="AO44" s="214">
        <v>1</v>
      </c>
      <c r="AP44" s="213">
        <f>IF(Таблица1[[#This Row],[ДА Итог Копия]]=Таблица1[[#This Row],[Train]],1,0)</f>
        <v>0</v>
      </c>
      <c r="AQ44" s="213">
        <f>IF(Таблица1[[#This Row],[ДА Итог Копия]]=Таблица1[[#This Row],[К-средних]],1,0)</f>
        <v>0</v>
      </c>
      <c r="AR44" s="216">
        <v>28.971783260621951</v>
      </c>
      <c r="AS44" s="216">
        <v>45.890700613066087</v>
      </c>
      <c r="AT44" s="216">
        <v>46.34823448931823</v>
      </c>
      <c r="AU44" s="216">
        <v>155.97004676789834</v>
      </c>
      <c r="AV44" s="216">
        <v>96.120588236784911</v>
      </c>
      <c r="AW44" s="216">
        <v>730.29697955047277</v>
      </c>
      <c r="AX44" s="217">
        <v>435.56052839444504</v>
      </c>
      <c r="AY44" s="218">
        <f>MATCH(MIN(Таблица1[[#This Row],[1 ДА Мах]:[7_ДА_Мах]]),Таблица1[[#This Row],[1 ДА Мах]:[7_ДА_Мах]],0)</f>
        <v>1</v>
      </c>
      <c r="AZ44" s="219">
        <f>IF(Таблица1[[#This Row],[ДА_Мах_Итог]]=Таблица1[[#This Row],[Train]],1,0)</f>
        <v>0</v>
      </c>
      <c r="BA44" s="219">
        <f>IF(Таблица1[[#This Row],[ДА_Мах_Итог]]=Таблица1[[#This Row],[К-средних]],1,0)</f>
        <v>0</v>
      </c>
      <c r="BB44" s="220">
        <v>0.99943687022614347</v>
      </c>
      <c r="BC44" s="220">
        <v>2.8235655897750452E-4</v>
      </c>
      <c r="BD44" s="220">
        <v>2.8077321487810804E-4</v>
      </c>
      <c r="BE44" s="220">
        <v>8.8168121119537093E-29</v>
      </c>
      <c r="BF44" s="220">
        <v>8.7388921274875726E-16</v>
      </c>
      <c r="BG44" s="220">
        <v>0</v>
      </c>
      <c r="BH44" s="220">
        <v>0</v>
      </c>
      <c r="BI44" s="218">
        <f>MATCH(MAX(Таблица1[[#This Row],[1_ДА_Ап]:[7_ДА_Ап]]),Таблица1[[#This Row],[1_ДА_Ап]:[7_ДА_Ап]],0)</f>
        <v>1</v>
      </c>
      <c r="BJ44" s="219">
        <f>IF(Таблица1[[#This Row],[ДА_Ап_Итог]]=Таблица1[[#This Row],[Train]],1,0)</f>
        <v>0</v>
      </c>
      <c r="BK44" s="219">
        <f>IF(Таблица1[[#This Row],[ДА_Ап_Итог]]=Таблица1[[#This Row],[К-средних]],1,0)</f>
        <v>0</v>
      </c>
      <c r="BL44" s="234" t="s">
        <v>2586</v>
      </c>
      <c r="BM44" s="234" t="s">
        <v>2588</v>
      </c>
      <c r="BN44" s="234" t="s">
        <v>2587</v>
      </c>
      <c r="BO44" s="234" t="s">
        <v>2590</v>
      </c>
      <c r="BP44" s="234" t="s">
        <v>2589</v>
      </c>
      <c r="BQ44" s="234" t="s">
        <v>2591</v>
      </c>
      <c r="BR44" s="234" t="s">
        <v>2592</v>
      </c>
      <c r="BS44" s="234" t="str">
        <f>RIGHT(Таблица1[[#This Row],[ПДАсВ 1]],1)</f>
        <v>3</v>
      </c>
      <c r="BT44" s="227">
        <v>3</v>
      </c>
      <c r="BU44" s="212">
        <f>IF(Таблица1[[#This Row],[ПДАсВ Итог Копия]]=Таблица1[[#This Row],[Train]],1,0)</f>
        <v>0</v>
      </c>
      <c r="BV44" s="212">
        <f>IF(Таблица1[[#This Row],[ПДАсВ Итог Копия]]=Таблица1[[#This Row],[К-средних]],1,0)</f>
        <v>0</v>
      </c>
      <c r="BW44" s="235">
        <v>13.371116802045938</v>
      </c>
      <c r="BX44" s="235">
        <v>22.004523577351943</v>
      </c>
      <c r="BY44" s="235">
        <v>10.744277190683759</v>
      </c>
      <c r="BZ44" s="235">
        <v>96.703753688275185</v>
      </c>
      <c r="CA44" s="235">
        <v>87.487313863698603</v>
      </c>
      <c r="CB44" s="235">
        <v>704.28596994722648</v>
      </c>
      <c r="CC44" s="235">
        <v>265.06993847169866</v>
      </c>
      <c r="CD44" s="218">
        <f>MATCH(MIN(Таблица1[[#This Row],[1 ДА Мах]:[7_ДА_Мах]]),Таблица1[[#This Row],[1 ДА Мах]:[7_ДА_Мах]],0)</f>
        <v>1</v>
      </c>
      <c r="CE44" s="219">
        <f>IF(Таблица1[[#This Row],[ДА_Мах_Итог]]=Таблица1[[#This Row],[Train]],1,0)</f>
        <v>0</v>
      </c>
      <c r="CF44" s="219">
        <f>IF(Таблица1[[#This Row],[ДА_Мах_Итог]]=Таблица1[[#This Row],[К-средних]],1,0)</f>
        <v>0</v>
      </c>
      <c r="CG44" s="236">
        <v>0.13858269673381302</v>
      </c>
      <c r="CH44" s="236">
        <v>2.4656264683258302E-3</v>
      </c>
      <c r="CI44" s="236">
        <v>0.85895167679786122</v>
      </c>
      <c r="CJ44" s="236">
        <v>3.7079645412489139E-20</v>
      </c>
      <c r="CK44" s="236">
        <v>3.7192900793481976E-18</v>
      </c>
      <c r="CL44" s="236">
        <v>0</v>
      </c>
      <c r="CM44" s="236">
        <v>0</v>
      </c>
      <c r="CN44" s="218">
        <f>MATCH(MAX(Таблица1[[#This Row],[1_ДА_Ап]:[7_ДА_Ап]]),Таблица1[[#This Row],[1_ДА_Ап]:[7_ДА_Ап]],0)</f>
        <v>1</v>
      </c>
      <c r="CO44" s="219">
        <f>IF(Таблица1[[#This Row],[ПДАсВ Итог Копия]]=Таблица1[[#This Row],[Train]],1,0)</f>
        <v>0</v>
      </c>
      <c r="CP44" s="219">
        <f>IF(Таблица1[[#This Row],[ПДАсВ Итог Копия]]=Таблица1[[#This Row],[К-средних]],1,0)</f>
        <v>0</v>
      </c>
      <c r="CQ44" s="234" t="s">
        <v>2588</v>
      </c>
      <c r="CR44" s="234" t="s">
        <v>2587</v>
      </c>
      <c r="CS44" s="234" t="s">
        <v>2586</v>
      </c>
      <c r="CT44" s="234" t="s">
        <v>2590</v>
      </c>
      <c r="CU44" s="234" t="s">
        <v>2589</v>
      </c>
      <c r="CV44" s="234" t="s">
        <v>2591</v>
      </c>
      <c r="CW44" s="234" t="s">
        <v>2592</v>
      </c>
      <c r="CX44" s="234" t="str">
        <f>RIGHT(Таблица1[[#This Row],[ПДАсИ 1]],1)</f>
        <v>1</v>
      </c>
      <c r="CY44" s="212">
        <v>1</v>
      </c>
      <c r="CZ44" s="212">
        <f>IF(Таблица1[[#This Row],[ПДАсИ Итог Копия]]=Таблица1[[#This Row],[Train]],1,0)</f>
        <v>0</v>
      </c>
      <c r="DA44" s="212">
        <f>IF(Таблица1[[#This Row],[ПДАсИ Итог Копия]]=Таблица1[[#This Row],[К-средних]],1,0)</f>
        <v>0</v>
      </c>
      <c r="DB44" s="237">
        <v>5.647670474515385</v>
      </c>
      <c r="DC44" s="237">
        <v>9.2950594953115644</v>
      </c>
      <c r="DD44" s="237">
        <v>12.663759905518546</v>
      </c>
      <c r="DE44" s="237">
        <v>57.993327060090074</v>
      </c>
      <c r="DF44" s="237">
        <v>48.674352435016559</v>
      </c>
      <c r="DG44" s="237">
        <v>423.10912331749051</v>
      </c>
      <c r="DH44" s="237">
        <v>361.60637376877418</v>
      </c>
      <c r="DI44" s="224">
        <f>MATCH(MIN(Таблица1[[#This Row],[ПДАсИ Мах 1]:[ПДАсИ Мах 7]]),Таблица1[[#This Row],[ПДАсИ Мах 1]:[ПДАсИ Мах 7]],0)</f>
        <v>1</v>
      </c>
      <c r="DJ44" s="212">
        <f>IF(Таблица1[[#This Row],[ПДАсИ Мах Итог]]=Таблица1[[#This Row],[Train]],1,0)</f>
        <v>0</v>
      </c>
      <c r="DK44" s="212">
        <f>IF(Таблица1[[#This Row],[ПДАсИ Мах Итог]]=Таблица1[[#This Row],[К-средних]],1,0)</f>
        <v>0</v>
      </c>
      <c r="DL44" s="238">
        <v>0.79041174870866848</v>
      </c>
      <c r="DM44" s="238">
        <v>0.17012638000212302</v>
      </c>
      <c r="DN44" s="238">
        <v>3.9461871168510215E-2</v>
      </c>
      <c r="DO44" s="238">
        <v>1.1324452876373827E-12</v>
      </c>
      <c r="DP44" s="238">
        <v>1.1956576785604847E-10</v>
      </c>
      <c r="DQ44" s="238">
        <v>0</v>
      </c>
      <c r="DR44" s="238">
        <v>0</v>
      </c>
      <c r="DS44" s="224">
        <f>MATCH(MAX(Таблица1[[#This Row],[ПДАсИ Ап 1]:[ПДАсИ Ап 7]]),Таблица1[[#This Row],[ПДАсИ Ап 1]:[ПДАсИ Ап 7]],0)</f>
        <v>1</v>
      </c>
      <c r="DT44" s="212">
        <f>IF(Таблица1[[#This Row],[ПДАсИ Ап Итог]]=Таблица1[[#This Row],[Train]],1,0)</f>
        <v>0</v>
      </c>
      <c r="DU44" s="212">
        <f>IF(Таблица1[[#This Row],[ПДАсИ Ап Итог]]=Таблица1[[#This Row],[К-средних]],1,0)</f>
        <v>0</v>
      </c>
    </row>
    <row r="45" spans="1:125" ht="13.8">
      <c r="A45" s="205" t="s">
        <v>314</v>
      </c>
      <c r="B45" s="319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320">
        <v>-0.38534759796621387</v>
      </c>
      <c r="K45" s="324">
        <v>1.8832580965494981</v>
      </c>
      <c r="L45" s="325">
        <v>-0.61657227555087213</v>
      </c>
      <c r="M45" s="328">
        <v>1.5414574393763294</v>
      </c>
      <c r="N45" s="310">
        <v>0.63521409124979455</v>
      </c>
      <c r="O45" s="329">
        <v>0.39567657058056693</v>
      </c>
      <c r="P45" s="206">
        <v>5</v>
      </c>
      <c r="Q45" s="207">
        <v>3</v>
      </c>
      <c r="R45" s="206">
        <v>7</v>
      </c>
      <c r="S45" s="208">
        <v>1</v>
      </c>
      <c r="T45" s="271">
        <v>1</v>
      </c>
      <c r="U45" s="271">
        <v>3</v>
      </c>
      <c r="V45" s="272">
        <v>7</v>
      </c>
      <c r="W45" s="272">
        <v>7</v>
      </c>
      <c r="X45" s="312">
        <v>1</v>
      </c>
      <c r="Y45" s="313">
        <v>3</v>
      </c>
      <c r="Z45" s="271">
        <v>2</v>
      </c>
      <c r="AA45" s="314">
        <v>5</v>
      </c>
      <c r="AB45" s="343">
        <v>1</v>
      </c>
      <c r="AC45" s="343">
        <f>IF(Таблица1[[#This Row],[Train]]=Таблица1[[#This Row],[НС]],1,0)</f>
        <v>0</v>
      </c>
      <c r="AD45" s="343">
        <f>IF(Таблица1[[#This Row],[НС]]=Таблица1[[#This Row],[К-средних]],1,0)</f>
        <v>1</v>
      </c>
      <c r="AE45" s="208"/>
      <c r="AF45" s="209">
        <f>SUMXMY2(Таблица1[[#This Row],[X1]:[X9]],Таблица1[[#Totals],[X1]:[X9]])</f>
        <v>10.311484317467611</v>
      </c>
      <c r="AG45" s="239" t="s">
        <v>2588</v>
      </c>
      <c r="AH45" s="239" t="s">
        <v>2586</v>
      </c>
      <c r="AI45" s="239" t="s">
        <v>2587</v>
      </c>
      <c r="AJ45" s="239" t="s">
        <v>2589</v>
      </c>
      <c r="AK45" s="239" t="s">
        <v>2590</v>
      </c>
      <c r="AL45" s="239" t="s">
        <v>2591</v>
      </c>
      <c r="AM45" s="239" t="s">
        <v>2592</v>
      </c>
      <c r="AN45" s="239" t="str">
        <f>RIGHT(Таблица1[[#This Row],[ДА1]],1)</f>
        <v>1</v>
      </c>
      <c r="AO45" s="214">
        <v>1</v>
      </c>
      <c r="AP45" s="213">
        <f>IF(Таблица1[[#This Row],[ДА Итог Копия]]=Таблица1[[#This Row],[Train]],1,0)</f>
        <v>0</v>
      </c>
      <c r="AQ45" s="213">
        <f>IF(Таблица1[[#This Row],[ДА Итог Копия]]=Таблица1[[#This Row],[К-средних]],1,0)</f>
        <v>1</v>
      </c>
      <c r="AR45" s="216">
        <v>15.266389941661098</v>
      </c>
      <c r="AS45" s="216">
        <v>48.979514479322702</v>
      </c>
      <c r="AT45" s="216">
        <v>37.045556769406048</v>
      </c>
      <c r="AU45" s="216">
        <v>108.37712457103379</v>
      </c>
      <c r="AV45" s="216">
        <v>138.98929897636069</v>
      </c>
      <c r="AW45" s="216">
        <v>622.10903357274867</v>
      </c>
      <c r="AX45" s="217">
        <v>283.8049153929278</v>
      </c>
      <c r="AY45" s="218">
        <f>MATCH(MIN(Таблица1[[#This Row],[1 ДА Мах]:[7_ДА_Мах]]),Таблица1[[#This Row],[1 ДА Мах]:[7_ДА_Мах]],0)</f>
        <v>1</v>
      </c>
      <c r="AZ45" s="219">
        <f>IF(Таблица1[[#This Row],[ДА_Мах_Итог]]=Таблица1[[#This Row],[Train]],1,0)</f>
        <v>0</v>
      </c>
      <c r="BA45" s="219">
        <f>IF(Таблица1[[#This Row],[ДА_Мах_Итог]]=Таблица1[[#This Row],[К-средних]],1,0)</f>
        <v>1</v>
      </c>
      <c r="BB45" s="220">
        <v>0.99996885140633196</v>
      </c>
      <c r="BC45" s="220">
        <v>6.3710825391344727E-8</v>
      </c>
      <c r="BD45" s="220">
        <v>3.1084882842649147E-5</v>
      </c>
      <c r="BE45" s="220">
        <v>2.014308983676107E-21</v>
      </c>
      <c r="BF45" s="220">
        <v>4.5370846070133014E-28</v>
      </c>
      <c r="BG45" s="220">
        <v>0</v>
      </c>
      <c r="BH45" s="220">
        <v>0</v>
      </c>
      <c r="BI45" s="218">
        <f>MATCH(MAX(Таблица1[[#This Row],[1_ДА_Ап]:[7_ДА_Ап]]),Таблица1[[#This Row],[1_ДА_Ап]:[7_ДА_Ап]],0)</f>
        <v>1</v>
      </c>
      <c r="BJ45" s="219">
        <f>IF(Таблица1[[#This Row],[ДА_Ап_Итог]]=Таблица1[[#This Row],[Train]],1,0)</f>
        <v>0</v>
      </c>
      <c r="BK45" s="219">
        <f>IF(Таблица1[[#This Row],[ДА_Ап_Итог]]=Таблица1[[#This Row],[К-средних]],1,0)</f>
        <v>1</v>
      </c>
      <c r="BL45" s="234" t="s">
        <v>2588</v>
      </c>
      <c r="BM45" s="234" t="s">
        <v>2586</v>
      </c>
      <c r="BN45" s="234" t="s">
        <v>2587</v>
      </c>
      <c r="BO45" s="234" t="s">
        <v>2590</v>
      </c>
      <c r="BP45" s="234" t="s">
        <v>2589</v>
      </c>
      <c r="BQ45" s="234" t="s">
        <v>2591</v>
      </c>
      <c r="BR45" s="234" t="s">
        <v>2592</v>
      </c>
      <c r="BS45" s="234" t="str">
        <f>RIGHT(Таблица1[[#This Row],[ПДАсВ 1]],1)</f>
        <v>1</v>
      </c>
      <c r="BT45" s="227">
        <v>1</v>
      </c>
      <c r="BU45" s="212">
        <f>IF(Таблица1[[#This Row],[ПДАсВ Итог Копия]]=Таблица1[[#This Row],[Train]],1,0)</f>
        <v>0</v>
      </c>
      <c r="BV45" s="212">
        <f>IF(Таблица1[[#This Row],[ПДАсВ Итог Копия]]=Таблица1[[#This Row],[К-средних]],1,0)</f>
        <v>1</v>
      </c>
      <c r="BW45" s="235">
        <v>10.015911167375862</v>
      </c>
      <c r="BX45" s="235">
        <v>44.530084820240056</v>
      </c>
      <c r="BY45" s="235">
        <v>34.114018367841936</v>
      </c>
      <c r="BZ45" s="235">
        <v>95.993414493398475</v>
      </c>
      <c r="CA45" s="235">
        <v>95.385944671779626</v>
      </c>
      <c r="CB45" s="235">
        <v>591.8364672965547</v>
      </c>
      <c r="CC45" s="235">
        <v>214.13190152026871</v>
      </c>
      <c r="CD45" s="218">
        <f>MATCH(MIN(Таблица1[[#This Row],[1 ДА Мах]:[7_ДА_Мах]]),Таблица1[[#This Row],[1 ДА Мах]:[7_ДА_Мах]],0)</f>
        <v>1</v>
      </c>
      <c r="CE45" s="219">
        <f>IF(Таблица1[[#This Row],[ДА_Мах_Итог]]=Таблица1[[#This Row],[Train]],1,0)</f>
        <v>0</v>
      </c>
      <c r="CF45" s="219">
        <f>IF(Таблица1[[#This Row],[ДА_Мах_Итог]]=Таблица1[[#This Row],[К-средних]],1,0)</f>
        <v>1</v>
      </c>
      <c r="CG45" s="236">
        <v>0.99999020726117993</v>
      </c>
      <c r="CH45" s="236">
        <v>4.2685158776417841E-8</v>
      </c>
      <c r="CI45" s="236">
        <v>9.7500536612295158E-6</v>
      </c>
      <c r="CJ45" s="236">
        <v>7.1301203624640874E-20</v>
      </c>
      <c r="CK45" s="236">
        <v>9.6606702147261623E-20</v>
      </c>
      <c r="CL45" s="236">
        <v>0</v>
      </c>
      <c r="CM45" s="236">
        <v>0</v>
      </c>
      <c r="CN45" s="218">
        <f>MATCH(MAX(Таблица1[[#This Row],[1_ДА_Ап]:[7_ДА_Ап]]),Таблица1[[#This Row],[1_ДА_Ап]:[7_ДА_Ап]],0)</f>
        <v>1</v>
      </c>
      <c r="CO45" s="219">
        <f>IF(Таблица1[[#This Row],[ПДАсВ Итог Копия]]=Таблица1[[#This Row],[Train]],1,0)</f>
        <v>0</v>
      </c>
      <c r="CP45" s="219">
        <f>IF(Таблица1[[#This Row],[ПДАсВ Итог Копия]]=Таблица1[[#This Row],[К-средних]],1,0)</f>
        <v>1</v>
      </c>
      <c r="CQ45" s="234" t="s">
        <v>2588</v>
      </c>
      <c r="CR45" s="234" t="s">
        <v>2586</v>
      </c>
      <c r="CS45" s="234" t="s">
        <v>2587</v>
      </c>
      <c r="CT45" s="234" t="s">
        <v>2589</v>
      </c>
      <c r="CU45" s="234" t="s">
        <v>2590</v>
      </c>
      <c r="CV45" s="234" t="s">
        <v>2591</v>
      </c>
      <c r="CW45" s="234" t="s">
        <v>2592</v>
      </c>
      <c r="CX45" s="234" t="str">
        <f>RIGHT(Таблица1[[#This Row],[ПДАсИ 1]],1)</f>
        <v>1</v>
      </c>
      <c r="CY45" s="212">
        <v>1</v>
      </c>
      <c r="CZ45" s="212">
        <f>IF(Таблица1[[#This Row],[ПДАсИ Итог Копия]]=Таблица1[[#This Row],[Train]],1,0)</f>
        <v>0</v>
      </c>
      <c r="DA45" s="212">
        <f>IF(Таблица1[[#This Row],[ПДАсИ Итог Копия]]=Таблица1[[#This Row],[К-средних]],1,0)</f>
        <v>1</v>
      </c>
      <c r="DB45" s="237">
        <v>14.002413338034073</v>
      </c>
      <c r="DC45" s="237">
        <v>43.857660818438447</v>
      </c>
      <c r="DD45" s="237">
        <v>34.447629814856171</v>
      </c>
      <c r="DE45" s="237">
        <v>73.248152039313226</v>
      </c>
      <c r="DF45" s="237">
        <v>117.07723069291768</v>
      </c>
      <c r="DG45" s="237">
        <v>418.07068555300333</v>
      </c>
      <c r="DH45" s="237">
        <v>255.51715978325959</v>
      </c>
      <c r="DI45" s="224">
        <f>MATCH(MIN(Таблица1[[#This Row],[ПДАсИ Мах 1]:[ПДАсИ Мах 7]]),Таблица1[[#This Row],[ПДАсИ Мах 1]:[ПДАсИ Мах 7]],0)</f>
        <v>1</v>
      </c>
      <c r="DJ45" s="212">
        <f>IF(Таблица1[[#This Row],[ПДАсИ Мах Итог]]=Таблица1[[#This Row],[Train]],1,0)</f>
        <v>0</v>
      </c>
      <c r="DK45" s="212">
        <f>IF(Таблица1[[#This Row],[ПДАсИ Мах Итог]]=Таблица1[[#This Row],[К-средних]],1,0)</f>
        <v>1</v>
      </c>
      <c r="DL45" s="238">
        <v>0.9999389995842789</v>
      </c>
      <c r="DM45" s="238">
        <v>4.3845762326239564E-7</v>
      </c>
      <c r="DN45" s="238">
        <v>6.0561958052347353E-5</v>
      </c>
      <c r="DO45" s="238">
        <v>4.5478230154966167E-14</v>
      </c>
      <c r="DP45" s="238">
        <v>1.3817836581066387E-23</v>
      </c>
      <c r="DQ45" s="238">
        <v>0</v>
      </c>
      <c r="DR45" s="238">
        <v>0</v>
      </c>
      <c r="DS45" s="224">
        <f>MATCH(MAX(Таблица1[[#This Row],[ПДАсИ Ап 1]:[ПДАсИ Ап 7]]),Таблица1[[#This Row],[ПДАсИ Ап 1]:[ПДАсИ Ап 7]],0)</f>
        <v>1</v>
      </c>
      <c r="DT45" s="212">
        <f>IF(Таблица1[[#This Row],[ПДАсИ Ап Итог]]=Таблица1[[#This Row],[Train]],1,0)</f>
        <v>0</v>
      </c>
      <c r="DU45" s="212">
        <f>IF(Таблица1[[#This Row],[ПДАсИ Ап Итог]]=Таблица1[[#This Row],[К-средних]],1,0)</f>
        <v>1</v>
      </c>
    </row>
    <row r="46" spans="1:125" ht="13.8">
      <c r="A46" s="205" t="s">
        <v>315</v>
      </c>
      <c r="B46" s="319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320">
        <v>1.7951665092366154</v>
      </c>
      <c r="K46" s="324">
        <v>0.31842677389158502</v>
      </c>
      <c r="L46" s="325">
        <v>1.3568222239238188</v>
      </c>
      <c r="M46" s="328">
        <v>0.27716707443646965</v>
      </c>
      <c r="N46" s="310">
        <v>-0.85941949973088017</v>
      </c>
      <c r="O46" s="329">
        <v>0.44903948251619169</v>
      </c>
      <c r="P46" s="206">
        <v>4</v>
      </c>
      <c r="Q46" s="207">
        <v>5</v>
      </c>
      <c r="R46" s="206">
        <v>4</v>
      </c>
      <c r="S46" s="208">
        <v>2</v>
      </c>
      <c r="T46" s="271">
        <v>6</v>
      </c>
      <c r="U46" s="271">
        <v>7</v>
      </c>
      <c r="V46" s="272">
        <v>2</v>
      </c>
      <c r="W46" s="272">
        <v>6</v>
      </c>
      <c r="X46" s="312">
        <v>3</v>
      </c>
      <c r="Y46" s="313">
        <v>2</v>
      </c>
      <c r="Z46" s="271">
        <v>4</v>
      </c>
      <c r="AA46" s="314">
        <v>3</v>
      </c>
      <c r="AB46" s="343">
        <v>2</v>
      </c>
      <c r="AC46" s="343">
        <f>IF(Таблица1[[#This Row],[Train]]=Таблица1[[#This Row],[НС]],1,0)</f>
        <v>0</v>
      </c>
      <c r="AD46" s="343">
        <f>IF(Таблица1[[#This Row],[НС]]=Таблица1[[#This Row],[К-средних]],1,0)</f>
        <v>1</v>
      </c>
      <c r="AE46" s="208"/>
      <c r="AF46" s="209">
        <f>SUMXMY2(Таблица1[[#This Row],[X1]:[X9]],Таблица1[[#Totals],[X1]:[X9]])</f>
        <v>12.467768153084085</v>
      </c>
      <c r="AG46" s="239" t="s">
        <v>2592</v>
      </c>
      <c r="AH46" s="239" t="s">
        <v>2589</v>
      </c>
      <c r="AI46" s="239" t="s">
        <v>2587</v>
      </c>
      <c r="AJ46" s="239" t="s">
        <v>2586</v>
      </c>
      <c r="AK46" s="239" t="s">
        <v>2588</v>
      </c>
      <c r="AL46" s="239" t="s">
        <v>2590</v>
      </c>
      <c r="AM46" s="239" t="s">
        <v>2591</v>
      </c>
      <c r="AN46" s="239" t="str">
        <f>RIGHT(Таблица1[[#This Row],[ДА1]],1)</f>
        <v>7</v>
      </c>
      <c r="AO46" s="214">
        <v>7</v>
      </c>
      <c r="AP46" s="213">
        <f>IF(Таблица1[[#This Row],[ДА Итог Копия]]=Таблица1[[#This Row],[Train]],1,0)</f>
        <v>0</v>
      </c>
      <c r="AQ46" s="213">
        <f>IF(Таблица1[[#This Row],[ДА Итог Копия]]=Таблица1[[#This Row],[К-средних]],1,0)</f>
        <v>0</v>
      </c>
      <c r="AR46" s="216">
        <v>222.66131715211193</v>
      </c>
      <c r="AS46" s="216">
        <v>158.95437813410427</v>
      </c>
      <c r="AT46" s="216">
        <v>192.06929296909141</v>
      </c>
      <c r="AU46" s="216">
        <v>149.79218427888895</v>
      </c>
      <c r="AV46" s="216">
        <v>350.5348094651514</v>
      </c>
      <c r="AW46" s="216">
        <v>926.50911253177537</v>
      </c>
      <c r="AX46" s="217">
        <v>131.8766071354718</v>
      </c>
      <c r="AY46" s="218">
        <f>MATCH(MIN(Таблица1[[#This Row],[1 ДА Мах]:[7_ДА_Мах]]),Таблица1[[#This Row],[1 ДА Мах]:[7_ДА_Мах]],0)</f>
        <v>7</v>
      </c>
      <c r="AZ46" s="219">
        <f>IF(Таблица1[[#This Row],[ДА_Мах_Итог]]=Таблица1[[#This Row],[Train]],1,0)</f>
        <v>0</v>
      </c>
      <c r="BA46" s="219">
        <f>IF(Таблица1[[#This Row],[ДА_Мах_Итог]]=Таблица1[[#This Row],[К-средних]],1,0)</f>
        <v>0</v>
      </c>
      <c r="BB46" s="220">
        <v>5.7998099159386798E-20</v>
      </c>
      <c r="BC46" s="220">
        <v>5.2739806735108196E-6</v>
      </c>
      <c r="BD46" s="220">
        <v>4.2485052203806278E-13</v>
      </c>
      <c r="BE46" s="220">
        <v>1.2871336944881732E-4</v>
      </c>
      <c r="BF46" s="220">
        <v>0</v>
      </c>
      <c r="BG46" s="220">
        <v>0</v>
      </c>
      <c r="BH46" s="220">
        <v>0.99986601264945285</v>
      </c>
      <c r="BI46" s="218">
        <f>MATCH(MAX(Таблица1[[#This Row],[1_ДА_Ап]:[7_ДА_Ап]]),Таблица1[[#This Row],[1_ДА_Ап]:[7_ДА_Ап]],0)</f>
        <v>7</v>
      </c>
      <c r="BJ46" s="219">
        <f>IF(Таблица1[[#This Row],[ДА_Ап_Итог]]=Таблица1[[#This Row],[Train]],1,0)</f>
        <v>0</v>
      </c>
      <c r="BK46" s="219">
        <f>IF(Таблица1[[#This Row],[ДА_Ап_Итог]]=Таблица1[[#This Row],[К-средних]],1,0)</f>
        <v>0</v>
      </c>
      <c r="BL46" s="234" t="s">
        <v>2592</v>
      </c>
      <c r="BM46" s="234" t="s">
        <v>2589</v>
      </c>
      <c r="BN46" s="234" t="s">
        <v>2587</v>
      </c>
      <c r="BO46" s="234" t="s">
        <v>2586</v>
      </c>
      <c r="BP46" s="234" t="s">
        <v>2588</v>
      </c>
      <c r="BQ46" s="234" t="s">
        <v>2590</v>
      </c>
      <c r="BR46" s="234" t="s">
        <v>2591</v>
      </c>
      <c r="BS46" s="234" t="str">
        <f>RIGHT(Таблица1[[#This Row],[ПДАсВ 1]],1)</f>
        <v>7</v>
      </c>
      <c r="BT46" s="227">
        <v>7</v>
      </c>
      <c r="BU46" s="212">
        <f>IF(Таблица1[[#This Row],[ПДАсВ Итог Копия]]=Таблица1[[#This Row],[Train]],1,0)</f>
        <v>0</v>
      </c>
      <c r="BV46" s="212">
        <f>IF(Таблица1[[#This Row],[ПДАсВ Итог Копия]]=Таблица1[[#This Row],[К-средних]],1,0)</f>
        <v>0</v>
      </c>
      <c r="BW46" s="235">
        <v>134.34046338385659</v>
      </c>
      <c r="BX46" s="235">
        <v>98.768250498822923</v>
      </c>
      <c r="BY46" s="235">
        <v>126.03861588377094</v>
      </c>
      <c r="BZ46" s="235">
        <v>73.638761768887377</v>
      </c>
      <c r="CA46" s="235">
        <v>166.56576192996991</v>
      </c>
      <c r="CB46" s="235">
        <v>804.53233763280639</v>
      </c>
      <c r="CC46" s="235">
        <v>51.693728507309423</v>
      </c>
      <c r="CD46" s="218">
        <f>MATCH(MIN(Таблица1[[#This Row],[1 ДА Мах]:[7_ДА_Мах]]),Таблица1[[#This Row],[1 ДА Мах]:[7_ДА_Мах]],0)</f>
        <v>7</v>
      </c>
      <c r="CE46" s="219">
        <f>IF(Таблица1[[#This Row],[ДА_Мах_Итог]]=Таблица1[[#This Row],[Train]],1,0)</f>
        <v>0</v>
      </c>
      <c r="CF46" s="219">
        <f>IF(Таблица1[[#This Row],[ДА_Мах_Итог]]=Таблица1[[#This Row],[К-средних]],1,0)</f>
        <v>0</v>
      </c>
      <c r="CG46" s="236">
        <v>3.3931522517607591E-18</v>
      </c>
      <c r="CH46" s="236">
        <v>2.3985565720849502E-10</v>
      </c>
      <c r="CI46" s="236">
        <v>3.5906690316551955E-16</v>
      </c>
      <c r="CJ46" s="236">
        <v>1.7166790970873375E-5</v>
      </c>
      <c r="CK46" s="236">
        <v>1.1372276860942152E-25</v>
      </c>
      <c r="CL46" s="236">
        <v>0</v>
      </c>
      <c r="CM46" s="236">
        <v>0.99998283296917312</v>
      </c>
      <c r="CN46" s="218">
        <f>MATCH(MAX(Таблица1[[#This Row],[1_ДА_Ап]:[7_ДА_Ап]]),Таблица1[[#This Row],[1_ДА_Ап]:[7_ДА_Ап]],0)</f>
        <v>7</v>
      </c>
      <c r="CO46" s="219">
        <f>IF(Таблица1[[#This Row],[ПДАсВ Итог Копия]]=Таблица1[[#This Row],[Train]],1,0)</f>
        <v>0</v>
      </c>
      <c r="CP46" s="219">
        <f>IF(Таблица1[[#This Row],[ПДАсВ Итог Копия]]=Таблица1[[#This Row],[К-средних]],1,0)</f>
        <v>0</v>
      </c>
      <c r="CQ46" s="234" t="s">
        <v>2592</v>
      </c>
      <c r="CR46" s="234" t="s">
        <v>2589</v>
      </c>
      <c r="CS46" s="234" t="s">
        <v>2587</v>
      </c>
      <c r="CT46" s="234" t="s">
        <v>2586</v>
      </c>
      <c r="CU46" s="234" t="s">
        <v>2588</v>
      </c>
      <c r="CV46" s="234" t="s">
        <v>2590</v>
      </c>
      <c r="CW46" s="234" t="s">
        <v>2591</v>
      </c>
      <c r="CX46" s="234" t="str">
        <f>RIGHT(Таблица1[[#This Row],[ПДАсИ 1]],1)</f>
        <v>7</v>
      </c>
      <c r="CY46" s="212">
        <v>7</v>
      </c>
      <c r="CZ46" s="212">
        <f>IF(Таблица1[[#This Row],[ПДАсИ Итог Копия]]=Таблица1[[#This Row],[Train]],1,0)</f>
        <v>0</v>
      </c>
      <c r="DA46" s="212">
        <f>IF(Таблица1[[#This Row],[ПДАсИ Итог Копия]]=Таблица1[[#This Row],[К-средних]],1,0)</f>
        <v>0</v>
      </c>
      <c r="DB46" s="237">
        <v>179.65757265774505</v>
      </c>
      <c r="DC46" s="237">
        <v>139.39877327461593</v>
      </c>
      <c r="DD46" s="237">
        <v>152.82749706630358</v>
      </c>
      <c r="DE46" s="237">
        <v>95.40466119550895</v>
      </c>
      <c r="DF46" s="237">
        <v>283.39783420504591</v>
      </c>
      <c r="DG46" s="237">
        <v>774.56038435288258</v>
      </c>
      <c r="DH46" s="237">
        <v>57.704886396002749</v>
      </c>
      <c r="DI46" s="224">
        <f>MATCH(MIN(Таблица1[[#This Row],[ПДАсИ Мах 1]:[ПДАсИ Мах 7]]),Таблица1[[#This Row],[ПДАсИ Мах 1]:[ПДАсИ Мах 7]],0)</f>
        <v>7</v>
      </c>
      <c r="DJ46" s="212">
        <f>IF(Таблица1[[#This Row],[ПДАсИ Мах Итог]]=Таблица1[[#This Row],[Train]],1,0)</f>
        <v>0</v>
      </c>
      <c r="DK46" s="212">
        <f>IF(Таблица1[[#This Row],[ПДАсИ Мах Итог]]=Таблица1[[#This Row],[К-средних]],1,0)</f>
        <v>0</v>
      </c>
      <c r="DL46" s="238">
        <v>9.8953669437952633E-27</v>
      </c>
      <c r="DM46" s="238">
        <v>7.2854746299230642E-18</v>
      </c>
      <c r="DN46" s="238">
        <v>1.1049879507972098E-20</v>
      </c>
      <c r="DO46" s="238">
        <v>6.5102537286958267E-9</v>
      </c>
      <c r="DP46" s="238">
        <v>0</v>
      </c>
      <c r="DQ46" s="238">
        <v>0</v>
      </c>
      <c r="DR46" s="238">
        <v>0.99999999348974633</v>
      </c>
      <c r="DS46" s="224">
        <f>MATCH(MAX(Таблица1[[#This Row],[ПДАсИ Ап 1]:[ПДАсИ Ап 7]]),Таблица1[[#This Row],[ПДАсИ Ап 1]:[ПДАсИ Ап 7]],0)</f>
        <v>7</v>
      </c>
      <c r="DT46" s="212">
        <f>IF(Таблица1[[#This Row],[ПДАсИ Ап Итог]]=Таблица1[[#This Row],[Train]],1,0)</f>
        <v>0</v>
      </c>
      <c r="DU46" s="212">
        <f>IF(Таблица1[[#This Row],[ПДАсИ Ап Итог]]=Таблица1[[#This Row],[К-средних]],1,0)</f>
        <v>0</v>
      </c>
    </row>
    <row r="47" spans="1:125" ht="13.8">
      <c r="A47" s="205" t="s">
        <v>316</v>
      </c>
      <c r="B47" s="319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320">
        <v>-0.35790056724617852</v>
      </c>
      <c r="K47" s="324">
        <v>1.3010984636579551E-2</v>
      </c>
      <c r="L47" s="325">
        <v>-7.1492088820078431E-2</v>
      </c>
      <c r="M47" s="328">
        <v>0.18897555408591893</v>
      </c>
      <c r="N47" s="310">
        <v>-2.8376599872376951E-2</v>
      </c>
      <c r="O47" s="329">
        <v>0.63304267674883674</v>
      </c>
      <c r="P47" s="206">
        <v>5</v>
      </c>
      <c r="Q47" s="207">
        <v>5</v>
      </c>
      <c r="R47" s="206">
        <v>5</v>
      </c>
      <c r="S47" s="208">
        <v>3</v>
      </c>
      <c r="T47" s="271">
        <v>2</v>
      </c>
      <c r="U47" s="271">
        <v>6</v>
      </c>
      <c r="V47" s="272">
        <v>4</v>
      </c>
      <c r="W47" s="272">
        <v>1</v>
      </c>
      <c r="X47" s="312">
        <v>3</v>
      </c>
      <c r="Y47" s="313">
        <v>1</v>
      </c>
      <c r="Z47" s="271">
        <v>5</v>
      </c>
      <c r="AA47" s="314">
        <v>1</v>
      </c>
      <c r="AB47" s="314">
        <v>3</v>
      </c>
      <c r="AC47" s="314">
        <f>IF(Таблица1[[#This Row],[Train]]=Таблица1[[#This Row],[НС]],1,0)</f>
        <v>1</v>
      </c>
      <c r="AD47" s="314">
        <f>IF(Таблица1[[#This Row],[НС]]=Таблица1[[#This Row],[К-средних]],1,0)</f>
        <v>1</v>
      </c>
      <c r="AE47" s="208">
        <v>3</v>
      </c>
      <c r="AF47" s="209">
        <f>SUMXMY2(Таблица1[[#This Row],[X1]:[X9]],Таблица1[[#Totals],[X1]:[X9]])</f>
        <v>2.2137214112492778</v>
      </c>
      <c r="AG47" s="239" t="s">
        <v>2586</v>
      </c>
      <c r="AH47" s="239" t="s">
        <v>2588</v>
      </c>
      <c r="AI47" s="239" t="s">
        <v>2587</v>
      </c>
      <c r="AJ47" s="239" t="s">
        <v>2589</v>
      </c>
      <c r="AK47" s="239" t="s">
        <v>2590</v>
      </c>
      <c r="AL47" s="239" t="s">
        <v>2591</v>
      </c>
      <c r="AM47" s="239" t="s">
        <v>2592</v>
      </c>
      <c r="AN47" s="239" t="str">
        <f>RIGHT(Таблица1[[#This Row],[ДА1]],1)</f>
        <v>3</v>
      </c>
      <c r="AO47" s="214">
        <v>3</v>
      </c>
      <c r="AP47" s="213">
        <f>IF(Таблица1[[#This Row],[ДА Итог Копия]]=Таблица1[[#This Row],[Train]],1,0)</f>
        <v>1</v>
      </c>
      <c r="AQ47" s="213">
        <f>IF(Таблица1[[#This Row],[ДА Итог Копия]]=Таблица1[[#This Row],[К-средних]],1,0)</f>
        <v>1</v>
      </c>
      <c r="AR47" s="216">
        <v>22.832988512594319</v>
      </c>
      <c r="AS47" s="216">
        <v>34.347429723473063</v>
      </c>
      <c r="AT47" s="216">
        <v>7.351320742908106</v>
      </c>
      <c r="AU47" s="216">
        <v>85.095149872295394</v>
      </c>
      <c r="AV47" s="216">
        <v>101.61699774584409</v>
      </c>
      <c r="AW47" s="216">
        <v>667.12832739223961</v>
      </c>
      <c r="AX47" s="217">
        <v>386.93542080662132</v>
      </c>
      <c r="AY47" s="218">
        <f>MATCH(MIN(Таблица1[[#This Row],[1 ДА Мах]:[7_ДА_Мах]]),Таблица1[[#This Row],[1 ДА Мах]:[7_ДА_Мах]],0)</f>
        <v>3</v>
      </c>
      <c r="AZ47" s="219">
        <f>IF(Таблица1[[#This Row],[ДА_Мах_Итог]]=Таблица1[[#This Row],[Train]],1,0)</f>
        <v>1</v>
      </c>
      <c r="BA47" s="219">
        <f>IF(Таблица1[[#This Row],[ДА_Мах_Итог]]=Таблица1[[#This Row],[К-средних]],1,0)</f>
        <v>1</v>
      </c>
      <c r="BB47" s="220">
        <v>2.6075705742758295E-4</v>
      </c>
      <c r="BC47" s="220">
        <v>1.0986153634552081E-6</v>
      </c>
      <c r="BD47" s="220">
        <v>0.99973814432720898</v>
      </c>
      <c r="BE47" s="220">
        <v>2.6245706133635742E-18</v>
      </c>
      <c r="BF47" s="220">
        <v>6.7824184507826427E-22</v>
      </c>
      <c r="BG47" s="220">
        <v>0</v>
      </c>
      <c r="BH47" s="220">
        <v>0</v>
      </c>
      <c r="BI47" s="218">
        <f>MATCH(MAX(Таблица1[[#This Row],[1_ДА_Ап]:[7_ДА_Ап]]),Таблица1[[#This Row],[1_ДА_Ап]:[7_ДА_Ап]],0)</f>
        <v>3</v>
      </c>
      <c r="BJ47" s="219">
        <f>IF(Таблица1[[#This Row],[ДА_Ап_Итог]]=Таблица1[[#This Row],[Train]],1,0)</f>
        <v>1</v>
      </c>
      <c r="BK47" s="219">
        <f>IF(Таблица1[[#This Row],[ДА_Ап_Итог]]=Таблица1[[#This Row],[К-средних]],1,0)</f>
        <v>1</v>
      </c>
      <c r="BL47" s="234" t="s">
        <v>2586</v>
      </c>
      <c r="BM47" s="234" t="s">
        <v>2588</v>
      </c>
      <c r="BN47" s="234" t="s">
        <v>2587</v>
      </c>
      <c r="BO47" s="234" t="s">
        <v>2590</v>
      </c>
      <c r="BP47" s="234" t="s">
        <v>2589</v>
      </c>
      <c r="BQ47" s="234" t="s">
        <v>2591</v>
      </c>
      <c r="BR47" s="234" t="s">
        <v>2592</v>
      </c>
      <c r="BS47" s="234" t="str">
        <f>RIGHT(Таблица1[[#This Row],[ПДАсВ 1]],1)</f>
        <v>3</v>
      </c>
      <c r="BT47" s="227">
        <v>3</v>
      </c>
      <c r="BU47" s="212">
        <f>IF(Таблица1[[#This Row],[ПДАсВ Итог Копия]]=Таблица1[[#This Row],[Train]],1,0)</f>
        <v>1</v>
      </c>
      <c r="BV47" s="212">
        <f>IF(Таблица1[[#This Row],[ПДАсВ Итог Копия]]=Таблица1[[#This Row],[К-средних]],1,0)</f>
        <v>1</v>
      </c>
      <c r="BW47" s="235">
        <v>17.935905627811284</v>
      </c>
      <c r="BX47" s="235">
        <v>24.864728915544919</v>
      </c>
      <c r="BY47" s="235">
        <v>5.4328559084271699</v>
      </c>
      <c r="BZ47" s="235">
        <v>78.030090258766393</v>
      </c>
      <c r="CA47" s="235">
        <v>61.793720259710973</v>
      </c>
      <c r="CB47" s="235">
        <v>635.14140148909689</v>
      </c>
      <c r="CC47" s="235">
        <v>323.37013922629001</v>
      </c>
      <c r="CD47" s="218">
        <f>MATCH(MIN(Таблица1[[#This Row],[1 ДА Мах]:[7_ДА_Мах]]),Таблица1[[#This Row],[1 ДА Мах]:[7_ДА_Мах]],0)</f>
        <v>3</v>
      </c>
      <c r="CE47" s="219">
        <f>IF(Таблица1[[#This Row],[ДА_Мах_Итог]]=Таблица1[[#This Row],[Train]],1,0)</f>
        <v>1</v>
      </c>
      <c r="CF47" s="219">
        <f>IF(Таблица1[[#This Row],[ДА_Мах_Итог]]=Таблица1[[#This Row],[К-средних]],1,0)</f>
        <v>1</v>
      </c>
      <c r="CG47" s="236">
        <v>1.1551159879119512E-3</v>
      </c>
      <c r="CH47" s="236">
        <v>4.8193611411086261E-5</v>
      </c>
      <c r="CI47" s="236">
        <v>0.99879669040056174</v>
      </c>
      <c r="CJ47" s="236">
        <v>3.4373040548320611E-17</v>
      </c>
      <c r="CK47" s="236">
        <v>1.1531900824151042E-13</v>
      </c>
      <c r="CL47" s="236">
        <v>0</v>
      </c>
      <c r="CM47" s="236">
        <v>0</v>
      </c>
      <c r="CN47" s="218">
        <f>MATCH(MAX(Таблица1[[#This Row],[1_ДА_Ап]:[7_ДА_Ап]]),Таблица1[[#This Row],[1_ДА_Ап]:[7_ДА_Ап]],0)</f>
        <v>3</v>
      </c>
      <c r="CO47" s="219">
        <f>IF(Таблица1[[#This Row],[ПДАсВ Итог Копия]]=Таблица1[[#This Row],[Train]],1,0)</f>
        <v>1</v>
      </c>
      <c r="CP47" s="219">
        <f>IF(Таблица1[[#This Row],[ПДАсВ Итог Копия]]=Таблица1[[#This Row],[К-средних]],1,0)</f>
        <v>1</v>
      </c>
      <c r="CQ47" s="234" t="s">
        <v>2586</v>
      </c>
      <c r="CR47" s="234" t="s">
        <v>2588</v>
      </c>
      <c r="CS47" s="234" t="s">
        <v>2587</v>
      </c>
      <c r="CT47" s="234" t="s">
        <v>2589</v>
      </c>
      <c r="CU47" s="234" t="s">
        <v>2590</v>
      </c>
      <c r="CV47" s="234" t="s">
        <v>2591</v>
      </c>
      <c r="CW47" s="234" t="s">
        <v>2592</v>
      </c>
      <c r="CX47" s="234" t="str">
        <f>RIGHT(Таблица1[[#This Row],[ПДАсИ 1]],1)</f>
        <v>3</v>
      </c>
      <c r="CY47" s="212">
        <v>3</v>
      </c>
      <c r="CZ47" s="212">
        <f>IF(Таблица1[[#This Row],[ПДАсИ Итог Копия]]=Таблица1[[#This Row],[Train]],1,0)</f>
        <v>1</v>
      </c>
      <c r="DA47" s="212">
        <f>IF(Таблица1[[#This Row],[ПДАсИ Итог Копия]]=Таблица1[[#This Row],[К-средних]],1,0)</f>
        <v>1</v>
      </c>
      <c r="DB47" s="237">
        <v>20.036783422246902</v>
      </c>
      <c r="DC47" s="237">
        <v>21.354893533796272</v>
      </c>
      <c r="DD47" s="237">
        <v>4.5983868753768755</v>
      </c>
      <c r="DE47" s="237">
        <v>49.419414483423253</v>
      </c>
      <c r="DF47" s="237">
        <v>77.113063744205036</v>
      </c>
      <c r="DG47" s="237">
        <v>443.39166171666039</v>
      </c>
      <c r="DH47" s="237">
        <v>361.9674857682586</v>
      </c>
      <c r="DI47" s="224">
        <f>MATCH(MIN(Таблица1[[#This Row],[ПДАсИ Мах 1]:[ПДАсИ Мах 7]]),Таблица1[[#This Row],[ПДАсИ Мах 1]:[ПДАсИ Мах 7]],0)</f>
        <v>3</v>
      </c>
      <c r="DJ47" s="212">
        <f>IF(Таблица1[[#This Row],[ПДАсИ Мах Итог]]=Таблица1[[#This Row],[Train]],1,0)</f>
        <v>1</v>
      </c>
      <c r="DK47" s="212">
        <f>IF(Таблица1[[#This Row],[ПДАсИ Мах Итог]]=Таблица1[[#This Row],[К-средних]],1,0)</f>
        <v>1</v>
      </c>
      <c r="DL47" s="238">
        <v>2.6640997545214018E-4</v>
      </c>
      <c r="DM47" s="238">
        <v>1.8376603508113502E-4</v>
      </c>
      <c r="DN47" s="238">
        <v>0.99954982395247771</v>
      </c>
      <c r="DO47" s="238">
        <v>3.6988946399972618E-11</v>
      </c>
      <c r="DP47" s="238">
        <v>3.5848619177510196E-17</v>
      </c>
      <c r="DQ47" s="238">
        <v>0</v>
      </c>
      <c r="DR47" s="238">
        <v>0</v>
      </c>
      <c r="DS47" s="224">
        <f>MATCH(MAX(Таблица1[[#This Row],[ПДАсИ Ап 1]:[ПДАсИ Ап 7]]),Таблица1[[#This Row],[ПДАсИ Ап 1]:[ПДАсИ Ап 7]],0)</f>
        <v>3</v>
      </c>
      <c r="DT47" s="212">
        <f>IF(Таблица1[[#This Row],[ПДАсИ Ап Итог]]=Таблица1[[#This Row],[Train]],1,0)</f>
        <v>1</v>
      </c>
      <c r="DU47" s="212">
        <f>IF(Таблица1[[#This Row],[ПДАсИ Ап Итог]]=Таблица1[[#This Row],[К-средних]],1,0)</f>
        <v>1</v>
      </c>
    </row>
    <row r="48" spans="1:125" ht="13.8">
      <c r="A48" s="205" t="s">
        <v>317</v>
      </c>
      <c r="B48" s="319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320">
        <v>0.29472882987466847</v>
      </c>
      <c r="K48" s="324">
        <v>0.26247666877664366</v>
      </c>
      <c r="L48" s="325">
        <v>1.0498866289616577</v>
      </c>
      <c r="M48" s="328">
        <v>0.31936206672239775</v>
      </c>
      <c r="N48" s="310">
        <v>-0.76351603174158855</v>
      </c>
      <c r="O48" s="329">
        <v>-0.24586695814262752</v>
      </c>
      <c r="P48" s="206">
        <v>5</v>
      </c>
      <c r="Q48" s="207">
        <v>5</v>
      </c>
      <c r="R48" s="206">
        <v>4</v>
      </c>
      <c r="S48" s="208">
        <v>2</v>
      </c>
      <c r="T48" s="271">
        <v>6</v>
      </c>
      <c r="U48" s="271">
        <v>7</v>
      </c>
      <c r="V48" s="272">
        <v>2</v>
      </c>
      <c r="W48" s="272">
        <v>6</v>
      </c>
      <c r="X48" s="312">
        <v>2</v>
      </c>
      <c r="Y48" s="313">
        <v>2</v>
      </c>
      <c r="Z48" s="271">
        <v>4</v>
      </c>
      <c r="AA48" s="314">
        <v>3</v>
      </c>
      <c r="AB48" s="343">
        <v>2</v>
      </c>
      <c r="AC48" s="343">
        <f>IF(Таблица1[[#This Row],[Train]]=Таблица1[[#This Row],[НС]],1,0)</f>
        <v>0</v>
      </c>
      <c r="AD48" s="343">
        <f>IF(Таблица1[[#This Row],[НС]]=Таблица1[[#This Row],[К-средних]],1,0)</f>
        <v>1</v>
      </c>
      <c r="AE48" s="208"/>
      <c r="AF48" s="209">
        <f>SUMXMY2(Таблица1[[#This Row],[X1]:[X9]],Таблица1[[#Totals],[X1]:[X9]])</f>
        <v>4.5653473909643409</v>
      </c>
      <c r="AG48" s="239" t="s">
        <v>2587</v>
      </c>
      <c r="AH48" s="239" t="s">
        <v>2586</v>
      </c>
      <c r="AI48" s="239" t="s">
        <v>2588</v>
      </c>
      <c r="AJ48" s="239" t="s">
        <v>2589</v>
      </c>
      <c r="AK48" s="239" t="s">
        <v>2590</v>
      </c>
      <c r="AL48" s="239" t="s">
        <v>2592</v>
      </c>
      <c r="AM48" s="239" t="s">
        <v>2591</v>
      </c>
      <c r="AN48" s="239" t="str">
        <f>RIGHT(Таблица1[[#This Row],[ДА1]],1)</f>
        <v>2</v>
      </c>
      <c r="AO48" s="214">
        <v>2</v>
      </c>
      <c r="AP48" s="213">
        <f>IF(Таблица1[[#This Row],[ДА Итог Копия]]=Таблица1[[#This Row],[Train]],1,0)</f>
        <v>0</v>
      </c>
      <c r="AQ48" s="213">
        <f>IF(Таблица1[[#This Row],[ДА Итог Копия]]=Таблица1[[#This Row],[К-средних]],1,0)</f>
        <v>1</v>
      </c>
      <c r="AR48" s="216">
        <v>71.12476484859458</v>
      </c>
      <c r="AS48" s="216">
        <v>42.060410867457044</v>
      </c>
      <c r="AT48" s="216">
        <v>59.5498083809631</v>
      </c>
      <c r="AU48" s="216">
        <v>81.686198296364608</v>
      </c>
      <c r="AV48" s="216">
        <v>156.14135847809723</v>
      </c>
      <c r="AW48" s="216">
        <v>810.75522187060164</v>
      </c>
      <c r="AX48" s="217">
        <v>177.21432649316978</v>
      </c>
      <c r="AY48" s="218">
        <f>MATCH(MIN(Таблица1[[#This Row],[1 ДА Мах]:[7_ДА_Мах]]),Таблица1[[#This Row],[1 ДА Мах]:[7_ДА_Мах]],0)</f>
        <v>2</v>
      </c>
      <c r="AZ48" s="219">
        <f>IF(Таблица1[[#This Row],[ДА_Мах_Итог]]=Таблица1[[#This Row],[Train]],1,0)</f>
        <v>0</v>
      </c>
      <c r="BA48" s="219">
        <f>IF(Таблица1[[#This Row],[ДА_Мах_Итог]]=Таблица1[[#This Row],[К-средних]],1,0)</f>
        <v>1</v>
      </c>
      <c r="BB48" s="220">
        <v>3.6621013112926156E-7</v>
      </c>
      <c r="BC48" s="220">
        <v>0.99980054338922697</v>
      </c>
      <c r="BD48" s="220">
        <v>1.9908977945396644E-4</v>
      </c>
      <c r="BE48" s="220">
        <v>6.2118786968231004E-10</v>
      </c>
      <c r="BF48" s="220">
        <v>4.2217290638457221E-26</v>
      </c>
      <c r="BG48" s="220">
        <v>0</v>
      </c>
      <c r="BH48" s="220">
        <v>1.1208654827469961E-30</v>
      </c>
      <c r="BI48" s="218">
        <f>MATCH(MAX(Таблица1[[#This Row],[1_ДА_Ап]:[7_ДА_Ап]]),Таблица1[[#This Row],[1_ДА_Ап]:[7_ДА_Ап]],0)</f>
        <v>2</v>
      </c>
      <c r="BJ48" s="219">
        <f>IF(Таблица1[[#This Row],[ДА_Ап_Итог]]=Таблица1[[#This Row],[Train]],1,0)</f>
        <v>0</v>
      </c>
      <c r="BK48" s="219">
        <f>IF(Таблица1[[#This Row],[ДА_Ап_Итог]]=Таблица1[[#This Row],[К-средних]],1,0)</f>
        <v>1</v>
      </c>
      <c r="BL48" s="234" t="s">
        <v>2587</v>
      </c>
      <c r="BM48" s="234" t="s">
        <v>2586</v>
      </c>
      <c r="BN48" s="234" t="s">
        <v>2588</v>
      </c>
      <c r="BO48" s="234" t="s">
        <v>2589</v>
      </c>
      <c r="BP48" s="234" t="s">
        <v>2590</v>
      </c>
      <c r="BQ48" s="234" t="s">
        <v>2592</v>
      </c>
      <c r="BR48" s="234" t="s">
        <v>2591</v>
      </c>
      <c r="BS48" s="234" t="str">
        <f>RIGHT(Таблица1[[#This Row],[ПДАсВ 1]],1)</f>
        <v>2</v>
      </c>
      <c r="BT48" s="227">
        <v>2</v>
      </c>
      <c r="BU48" s="212">
        <f>IF(Таблица1[[#This Row],[ПДАсВ Итог Копия]]=Таблица1[[#This Row],[Train]],1,0)</f>
        <v>0</v>
      </c>
      <c r="BV48" s="212">
        <f>IF(Таблица1[[#This Row],[ПДАсВ Итог Копия]]=Таблица1[[#This Row],[К-средних]],1,0)</f>
        <v>1</v>
      </c>
      <c r="BW48" s="235">
        <v>57.119081231885218</v>
      </c>
      <c r="BX48" s="235">
        <v>26.771476944846338</v>
      </c>
      <c r="BY48" s="235">
        <v>47.691018299836273</v>
      </c>
      <c r="BZ48" s="235">
        <v>59.287403106048806</v>
      </c>
      <c r="CA48" s="235">
        <v>98.79032804516568</v>
      </c>
      <c r="CB48" s="235">
        <v>757.31454462890383</v>
      </c>
      <c r="CC48" s="235">
        <v>125.20228605518618</v>
      </c>
      <c r="CD48" s="218">
        <f>MATCH(MIN(Таблица1[[#This Row],[1 ДА Мах]:[7_ДА_Мах]]),Таблица1[[#This Row],[1 ДА Мах]:[7_ДА_Мах]],0)</f>
        <v>2</v>
      </c>
      <c r="CE48" s="219">
        <f>IF(Таблица1[[#This Row],[ДА_Мах_Итог]]=Таблица1[[#This Row],[Train]],1,0)</f>
        <v>0</v>
      </c>
      <c r="CF48" s="219">
        <f>IF(Таблица1[[#This Row],[ДА_Мах_Итог]]=Таблица1[[#This Row],[К-средних]],1,0)</f>
        <v>1</v>
      </c>
      <c r="CG48" s="236">
        <v>1.9281777531721488E-7</v>
      </c>
      <c r="CH48" s="236">
        <v>0.99996395322990772</v>
      </c>
      <c r="CI48" s="236">
        <v>3.583221626320965E-5</v>
      </c>
      <c r="CJ48" s="236">
        <v>2.1736053811478502E-8</v>
      </c>
      <c r="CK48" s="236">
        <v>5.7441998398411499E-17</v>
      </c>
      <c r="CL48" s="236">
        <v>0</v>
      </c>
      <c r="CM48" s="236">
        <v>1.0566854574719061E-22</v>
      </c>
      <c r="CN48" s="218">
        <f>MATCH(MAX(Таблица1[[#This Row],[1_ДА_Ап]:[7_ДА_Ап]]),Таблица1[[#This Row],[1_ДА_Ап]:[7_ДА_Ап]],0)</f>
        <v>2</v>
      </c>
      <c r="CO48" s="219">
        <f>IF(Таблица1[[#This Row],[ПДАсВ Итог Копия]]=Таблица1[[#This Row],[Train]],1,0)</f>
        <v>0</v>
      </c>
      <c r="CP48" s="219">
        <f>IF(Таблица1[[#This Row],[ПДАсВ Итог Копия]]=Таблица1[[#This Row],[К-средних]],1,0)</f>
        <v>1</v>
      </c>
      <c r="CQ48" s="234" t="s">
        <v>2587</v>
      </c>
      <c r="CR48" s="234" t="s">
        <v>2586</v>
      </c>
      <c r="CS48" s="234" t="s">
        <v>2589</v>
      </c>
      <c r="CT48" s="234" t="s">
        <v>2588</v>
      </c>
      <c r="CU48" s="234" t="s">
        <v>2590</v>
      </c>
      <c r="CV48" s="234" t="s">
        <v>2592</v>
      </c>
      <c r="CW48" s="234" t="s">
        <v>2591</v>
      </c>
      <c r="CX48" s="234" t="str">
        <f>RIGHT(Таблица1[[#This Row],[ПДАсИ 1]],1)</f>
        <v>2</v>
      </c>
      <c r="CY48" s="212">
        <v>2</v>
      </c>
      <c r="CZ48" s="212">
        <f>IF(Таблица1[[#This Row],[ПДАсИ Итог Копия]]=Таблица1[[#This Row],[Train]],1,0)</f>
        <v>0</v>
      </c>
      <c r="DA48" s="212">
        <f>IF(Таблица1[[#This Row],[ПДАсИ Итог Копия]]=Таблица1[[#This Row],[К-средних]],1,0)</f>
        <v>1</v>
      </c>
      <c r="DB48" s="237">
        <v>69.523900933617782</v>
      </c>
      <c r="DC48" s="237">
        <v>35.696595078014582</v>
      </c>
      <c r="DD48" s="237">
        <v>51.773470292278368</v>
      </c>
      <c r="DE48" s="237">
        <v>50.727789936590803</v>
      </c>
      <c r="DF48" s="237">
        <v>148.14774386741945</v>
      </c>
      <c r="DG48" s="237">
        <v>638.03488552011231</v>
      </c>
      <c r="DH48" s="237">
        <v>156.66370185081465</v>
      </c>
      <c r="DI48" s="224">
        <f>MATCH(MIN(Таблица1[[#This Row],[ПДАсИ Мах 1]:[ПДАсИ Мах 7]]),Таблица1[[#This Row],[ПДАсИ Мах 1]:[ПДАсИ Мах 7]],0)</f>
        <v>2</v>
      </c>
      <c r="DJ48" s="212">
        <f>IF(Таблица1[[#This Row],[ПДАсИ Мах Итог]]=Таблица1[[#This Row],[Train]],1,0)</f>
        <v>0</v>
      </c>
      <c r="DK48" s="212">
        <f>IF(Таблица1[[#This Row],[ПДАсИ Мах Итог]]=Таблица1[[#This Row],[К-средних]],1,0)</f>
        <v>1</v>
      </c>
      <c r="DL48" s="238">
        <v>3.3831465490808205E-8</v>
      </c>
      <c r="DM48" s="238">
        <v>0.99946060995164354</v>
      </c>
      <c r="DN48" s="238">
        <v>4.0329849355461673E-4</v>
      </c>
      <c r="DO48" s="238">
        <v>1.3605772333630047E-4</v>
      </c>
      <c r="DP48" s="238">
        <v>9.5334257813145258E-26</v>
      </c>
      <c r="DQ48" s="238">
        <v>0</v>
      </c>
      <c r="DR48" s="238">
        <v>1.349062933022354E-27</v>
      </c>
      <c r="DS48" s="224">
        <f>MATCH(MAX(Таблица1[[#This Row],[ПДАсИ Ап 1]:[ПДАсИ Ап 7]]),Таблица1[[#This Row],[ПДАсИ Ап 1]:[ПДАсИ Ап 7]],0)</f>
        <v>2</v>
      </c>
      <c r="DT48" s="212">
        <f>IF(Таблица1[[#This Row],[ПДАсИ Ап Итог]]=Таблица1[[#This Row],[Train]],1,0)</f>
        <v>0</v>
      </c>
      <c r="DU48" s="212">
        <f>IF(Таблица1[[#This Row],[ПДАсИ Ап Итог]]=Таблица1[[#This Row],[К-средних]],1,0)</f>
        <v>1</v>
      </c>
    </row>
    <row r="49" spans="1:125" ht="13.8">
      <c r="A49" s="205" t="s">
        <v>318</v>
      </c>
      <c r="B49" s="319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320">
        <v>-1.4771294866076305</v>
      </c>
      <c r="K49" s="324">
        <v>1.5900207776688355</v>
      </c>
      <c r="L49" s="325">
        <v>-0.16828258056050027</v>
      </c>
      <c r="M49" s="328">
        <v>1.2162066054675873</v>
      </c>
      <c r="N49" s="310">
        <v>0.34740363893602044</v>
      </c>
      <c r="O49" s="329">
        <v>0.63457056795749833</v>
      </c>
      <c r="P49" s="206">
        <v>2</v>
      </c>
      <c r="Q49" s="207">
        <v>2</v>
      </c>
      <c r="R49" s="206">
        <v>1</v>
      </c>
      <c r="S49" s="208">
        <v>7</v>
      </c>
      <c r="T49" s="271">
        <v>1</v>
      </c>
      <c r="U49" s="271">
        <v>3</v>
      </c>
      <c r="V49" s="272">
        <v>7</v>
      </c>
      <c r="W49" s="272">
        <v>7</v>
      </c>
      <c r="X49" s="312">
        <v>1</v>
      </c>
      <c r="Y49" s="313">
        <v>3</v>
      </c>
      <c r="Z49" s="271">
        <v>2</v>
      </c>
      <c r="AA49" s="314">
        <v>5</v>
      </c>
      <c r="AB49" s="314">
        <v>7</v>
      </c>
      <c r="AC49" s="314">
        <f>IF(Таблица1[[#This Row],[Train]]=Таблица1[[#This Row],[НС]],1,0)</f>
        <v>1</v>
      </c>
      <c r="AD49" s="314">
        <f>IF(Таблица1[[#This Row],[НС]]=Таблица1[[#This Row],[К-средних]],1,0)</f>
        <v>1</v>
      </c>
      <c r="AE49" s="208">
        <v>7</v>
      </c>
      <c r="AF49" s="209">
        <f>SUMXMY2(Таблица1[[#This Row],[X1]:[X9]],Таблица1[[#Totals],[X1]:[X9]])</f>
        <v>21.712381007422362</v>
      </c>
      <c r="AG49" s="239" t="s">
        <v>2592</v>
      </c>
      <c r="AH49" s="239" t="s">
        <v>2588</v>
      </c>
      <c r="AI49" s="239" t="s">
        <v>2587</v>
      </c>
      <c r="AJ49" s="239" t="s">
        <v>2586</v>
      </c>
      <c r="AK49" s="239" t="s">
        <v>2589</v>
      </c>
      <c r="AL49" s="239" t="s">
        <v>2590</v>
      </c>
      <c r="AM49" s="239" t="s">
        <v>2591</v>
      </c>
      <c r="AN49" s="239" t="str">
        <f>RIGHT(Таблица1[[#This Row],[ДА1]],1)</f>
        <v>7</v>
      </c>
      <c r="AO49" s="214">
        <v>7</v>
      </c>
      <c r="AP49" s="213">
        <f>IF(Таблица1[[#This Row],[ДА Итог Копия]]=Таблица1[[#This Row],[Train]],1,0)</f>
        <v>1</v>
      </c>
      <c r="AQ49" s="213">
        <f>IF(Таблица1[[#This Row],[ДА Итог Копия]]=Таблица1[[#This Row],[К-средних]],1,0)</f>
        <v>1</v>
      </c>
      <c r="AR49" s="216">
        <v>363.08835258808841</v>
      </c>
      <c r="AS49" s="216">
        <v>334.57574598295054</v>
      </c>
      <c r="AT49" s="216">
        <v>355.21385250105294</v>
      </c>
      <c r="AU49" s="216">
        <v>247.14609221985793</v>
      </c>
      <c r="AV49" s="216">
        <v>509.39434686834409</v>
      </c>
      <c r="AW49" s="216">
        <v>972.79600352675823</v>
      </c>
      <c r="AX49" s="217">
        <v>6.0316215223247607</v>
      </c>
      <c r="AY49" s="218">
        <f>MATCH(MIN(Таблица1[[#This Row],[1 ДА Мах]:[7_ДА_Мах]]),Таблица1[[#This Row],[1 ДА Мах]:[7_ДА_Мах]],0)</f>
        <v>7</v>
      </c>
      <c r="AZ49" s="219">
        <f>IF(Таблица1[[#This Row],[ДА_Мах_Итог]]=Таблица1[[#This Row],[Train]],1,0)</f>
        <v>1</v>
      </c>
      <c r="BA49" s="219">
        <f>IF(Таблица1[[#This Row],[ДА_Мах_Итог]]=Таблица1[[#This Row],[К-средних]],1,0)</f>
        <v>1</v>
      </c>
      <c r="BB49" s="220">
        <v>0</v>
      </c>
      <c r="BC49" s="220">
        <v>0</v>
      </c>
      <c r="BD49" s="220">
        <v>0</v>
      </c>
      <c r="BE49" s="220">
        <v>0</v>
      </c>
      <c r="BF49" s="220">
        <v>0</v>
      </c>
      <c r="BG49" s="220">
        <v>0</v>
      </c>
      <c r="BH49" s="220">
        <v>1</v>
      </c>
      <c r="BI49" s="218">
        <f>MATCH(MAX(Таблица1[[#This Row],[1_ДА_Ап]:[7_ДА_Ап]]),Таблица1[[#This Row],[1_ДА_Ап]:[7_ДА_Ап]],0)</f>
        <v>7</v>
      </c>
      <c r="BJ49" s="219">
        <f>IF(Таблица1[[#This Row],[ДА_Ап_Итог]]=Таблица1[[#This Row],[Train]],1,0)</f>
        <v>1</v>
      </c>
      <c r="BK49" s="219">
        <f>IF(Таблица1[[#This Row],[ДА_Ап_Итог]]=Таблица1[[#This Row],[К-средних]],1,0)</f>
        <v>1</v>
      </c>
      <c r="BL49" s="234" t="s">
        <v>2592</v>
      </c>
      <c r="BM49" s="234" t="s">
        <v>2588</v>
      </c>
      <c r="BN49" s="234" t="s">
        <v>2587</v>
      </c>
      <c r="BO49" s="234" t="s">
        <v>2586</v>
      </c>
      <c r="BP49" s="234" t="s">
        <v>2589</v>
      </c>
      <c r="BQ49" s="234" t="s">
        <v>2590</v>
      </c>
      <c r="BR49" s="234" t="s">
        <v>2591</v>
      </c>
      <c r="BS49" s="234" t="str">
        <f>RIGHT(Таблица1[[#This Row],[ПДАсВ 1]],1)</f>
        <v>7</v>
      </c>
      <c r="BT49" s="227">
        <v>7</v>
      </c>
      <c r="BU49" s="212">
        <f>IF(Таблица1[[#This Row],[ПДАсВ Итог Копия]]=Таблица1[[#This Row],[Train]],1,0)</f>
        <v>1</v>
      </c>
      <c r="BV49" s="212">
        <f>IF(Таблица1[[#This Row],[ПДАсВ Итог Копия]]=Таблица1[[#This Row],[К-средних]],1,0)</f>
        <v>1</v>
      </c>
      <c r="BW49" s="235">
        <v>270.78600050983641</v>
      </c>
      <c r="BX49" s="235">
        <v>241.29992525664386</v>
      </c>
      <c r="BY49" s="235">
        <v>288.00842950150718</v>
      </c>
      <c r="BZ49" s="235">
        <v>187.35764991403576</v>
      </c>
      <c r="CA49" s="235">
        <v>326.24486378067542</v>
      </c>
      <c r="CB49" s="235">
        <v>806.54936052811729</v>
      </c>
      <c r="CC49" s="235">
        <v>5.1401410086015495</v>
      </c>
      <c r="CD49" s="218">
        <f>MATCH(MIN(Таблица1[[#This Row],[1 ДА Мах]:[7_ДА_Мах]]),Таблица1[[#This Row],[1 ДА Мах]:[7_ДА_Мах]],0)</f>
        <v>7</v>
      </c>
      <c r="CE49" s="219">
        <f>IF(Таблица1[[#This Row],[ДА_Мах_Итог]]=Таблица1[[#This Row],[Train]],1,0)</f>
        <v>1</v>
      </c>
      <c r="CF49" s="219">
        <f>IF(Таблица1[[#This Row],[ДА_Мах_Итог]]=Таблица1[[#This Row],[К-средних]],1,0)</f>
        <v>1</v>
      </c>
      <c r="CG49" s="236">
        <v>0</v>
      </c>
      <c r="CH49" s="236">
        <v>0</v>
      </c>
      <c r="CI49" s="236">
        <v>0</v>
      </c>
      <c r="CJ49" s="236">
        <v>0</v>
      </c>
      <c r="CK49" s="236">
        <v>0</v>
      </c>
      <c r="CL49" s="236">
        <v>0</v>
      </c>
      <c r="CM49" s="236">
        <v>1</v>
      </c>
      <c r="CN49" s="218">
        <f>MATCH(MAX(Таблица1[[#This Row],[1_ДА_Ап]:[7_ДА_Ап]]),Таблица1[[#This Row],[1_ДА_Ап]:[7_ДА_Ап]],0)</f>
        <v>7</v>
      </c>
      <c r="CO49" s="219">
        <f>IF(Таблица1[[#This Row],[ПДАсВ Итог Копия]]=Таблица1[[#This Row],[Train]],1,0)</f>
        <v>1</v>
      </c>
      <c r="CP49" s="219">
        <f>IF(Таблица1[[#This Row],[ПДАсВ Итог Копия]]=Таблица1[[#This Row],[К-средних]],1,0)</f>
        <v>1</v>
      </c>
      <c r="CQ49" s="234" t="s">
        <v>2592</v>
      </c>
      <c r="CR49" s="234" t="s">
        <v>2588</v>
      </c>
      <c r="CS49" s="234" t="s">
        <v>2587</v>
      </c>
      <c r="CT49" s="234" t="s">
        <v>2586</v>
      </c>
      <c r="CU49" s="234" t="s">
        <v>2589</v>
      </c>
      <c r="CV49" s="234" t="s">
        <v>2590</v>
      </c>
      <c r="CW49" s="234" t="s">
        <v>2591</v>
      </c>
      <c r="CX49" s="234" t="str">
        <f>RIGHT(Таблица1[[#This Row],[ПДАсИ 1]],1)</f>
        <v>7</v>
      </c>
      <c r="CY49" s="212">
        <v>7</v>
      </c>
      <c r="CZ49" s="212">
        <f>IF(Таблица1[[#This Row],[ПДАсИ Итог Копия]]=Таблица1[[#This Row],[Train]],1,0)</f>
        <v>1</v>
      </c>
      <c r="DA49" s="212">
        <f>IF(Таблица1[[#This Row],[ПДАсИ Итог Копия]]=Таблица1[[#This Row],[К-средних]],1,0)</f>
        <v>1</v>
      </c>
      <c r="DB49" s="237">
        <v>347.62456873486167</v>
      </c>
      <c r="DC49" s="237">
        <v>313.55500345876692</v>
      </c>
      <c r="DD49" s="237">
        <v>338.94321492343204</v>
      </c>
      <c r="DE49" s="237">
        <v>242.69095085247415</v>
      </c>
      <c r="DF49" s="237">
        <v>501.51050651215991</v>
      </c>
      <c r="DG49" s="237">
        <v>860.26984290566429</v>
      </c>
      <c r="DH49" s="237">
        <v>5.2047368691310112</v>
      </c>
      <c r="DI49" s="224">
        <f>MATCH(MIN(Таблица1[[#This Row],[ПДАсИ Мах 1]:[ПДАсИ Мах 7]]),Таблица1[[#This Row],[ПДАсИ Мах 1]:[ПДАсИ Мах 7]],0)</f>
        <v>7</v>
      </c>
      <c r="DJ49" s="212">
        <f>IF(Таблица1[[#This Row],[ПДАсИ Мах Итог]]=Таблица1[[#This Row],[Train]],1,0)</f>
        <v>1</v>
      </c>
      <c r="DK49" s="212">
        <f>IF(Таблица1[[#This Row],[ПДАсИ Мах Итог]]=Таблица1[[#This Row],[К-средних]],1,0)</f>
        <v>1</v>
      </c>
      <c r="DL49" s="238">
        <v>0</v>
      </c>
      <c r="DM49" s="238">
        <v>0</v>
      </c>
      <c r="DN49" s="238">
        <v>0</v>
      </c>
      <c r="DO49" s="238">
        <v>0</v>
      </c>
      <c r="DP49" s="238">
        <v>0</v>
      </c>
      <c r="DQ49" s="238">
        <v>0</v>
      </c>
      <c r="DR49" s="238">
        <v>1</v>
      </c>
      <c r="DS49" s="224">
        <f>MATCH(MAX(Таблица1[[#This Row],[ПДАсИ Ап 1]:[ПДАсИ Ап 7]]),Таблица1[[#This Row],[ПДАсИ Ап 1]:[ПДАсИ Ап 7]],0)</f>
        <v>7</v>
      </c>
      <c r="DT49" s="212">
        <f>IF(Таблица1[[#This Row],[ПДАсИ Ап Итог]]=Таблица1[[#This Row],[Train]],1,0)</f>
        <v>1</v>
      </c>
      <c r="DU49" s="212">
        <f>IF(Таблица1[[#This Row],[ПДАсИ Ап Итог]]=Таблица1[[#This Row],[К-средних]],1,0)</f>
        <v>1</v>
      </c>
    </row>
    <row r="50" spans="1:125" ht="13.8">
      <c r="A50" s="205" t="s">
        <v>320</v>
      </c>
      <c r="B50" s="319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320">
        <v>3.0546802522782492</v>
      </c>
      <c r="K50" s="324">
        <v>1.2449821091177646</v>
      </c>
      <c r="L50" s="325">
        <v>1.2500740127821388</v>
      </c>
      <c r="M50" s="328">
        <v>0.94439089946215848</v>
      </c>
      <c r="N50" s="310">
        <v>-0.68030117014047553</v>
      </c>
      <c r="O50" s="329">
        <v>-0.74142362040647658</v>
      </c>
      <c r="P50" s="206">
        <v>5</v>
      </c>
      <c r="Q50" s="207">
        <v>5</v>
      </c>
      <c r="R50" s="206">
        <v>6</v>
      </c>
      <c r="S50" s="208">
        <v>2</v>
      </c>
      <c r="T50" s="271">
        <v>6</v>
      </c>
      <c r="U50" s="271">
        <v>7</v>
      </c>
      <c r="V50" s="272">
        <v>2</v>
      </c>
      <c r="W50" s="272">
        <v>2</v>
      </c>
      <c r="X50" s="312">
        <v>2</v>
      </c>
      <c r="Y50" s="313">
        <v>4</v>
      </c>
      <c r="Z50" s="271">
        <v>4</v>
      </c>
      <c r="AA50" s="314">
        <v>1</v>
      </c>
      <c r="AB50" s="343">
        <v>1</v>
      </c>
      <c r="AC50" s="343">
        <f>IF(Таблица1[[#This Row],[Train]]=Таблица1[[#This Row],[НС]],1,0)</f>
        <v>0</v>
      </c>
      <c r="AD50" s="343">
        <f>IF(Таблица1[[#This Row],[НС]]=Таблица1[[#This Row],[К-средних]],1,0)</f>
        <v>0</v>
      </c>
      <c r="AE50" s="208"/>
      <c r="AF50" s="209">
        <f>SUMXMY2(Таблица1[[#This Row],[X1]:[X9]],Таблица1[[#Totals],[X1]:[X9]])</f>
        <v>17.129727337504395</v>
      </c>
      <c r="AG50" s="239" t="s">
        <v>2587</v>
      </c>
      <c r="AH50" s="239" t="s">
        <v>2588</v>
      </c>
      <c r="AI50" s="239" t="s">
        <v>2586</v>
      </c>
      <c r="AJ50" s="239" t="s">
        <v>2589</v>
      </c>
      <c r="AK50" s="239" t="s">
        <v>2590</v>
      </c>
      <c r="AL50" s="239" t="s">
        <v>2591</v>
      </c>
      <c r="AM50" s="239" t="s">
        <v>2592</v>
      </c>
      <c r="AN50" s="239" t="str">
        <f>RIGHT(Таблица1[[#This Row],[ДА1]],1)</f>
        <v>2</v>
      </c>
      <c r="AO50" s="214">
        <v>2</v>
      </c>
      <c r="AP50" s="213">
        <f>IF(Таблица1[[#This Row],[ДА Итог Копия]]=Таблица1[[#This Row],[Train]],1,0)</f>
        <v>0</v>
      </c>
      <c r="AQ50" s="213">
        <f>IF(Таблица1[[#This Row],[ДА Итог Копия]]=Таблица1[[#This Row],[К-средних]],1,0)</f>
        <v>1</v>
      </c>
      <c r="AR50" s="216">
        <v>116.90858095197618</v>
      </c>
      <c r="AS50" s="216">
        <v>105.65313639198223</v>
      </c>
      <c r="AT50" s="216">
        <v>133.07887479301294</v>
      </c>
      <c r="AU50" s="216">
        <v>166.79221826582841</v>
      </c>
      <c r="AV50" s="216">
        <v>232.21839605882158</v>
      </c>
      <c r="AW50" s="216">
        <v>840.35322363056946</v>
      </c>
      <c r="AX50" s="217">
        <v>293.42578448897382</v>
      </c>
      <c r="AY50" s="218">
        <f>MATCH(MIN(Таблица1[[#This Row],[1 ДА Мах]:[7_ДА_Мах]]),Таблица1[[#This Row],[1 ДА Мах]:[7_ДА_Мах]],0)</f>
        <v>2</v>
      </c>
      <c r="AZ50" s="219">
        <f>IF(Таблица1[[#This Row],[ДА_Мах_Итог]]=Таблица1[[#This Row],[Train]],1,0)</f>
        <v>0</v>
      </c>
      <c r="BA50" s="219">
        <f>IF(Таблица1[[#This Row],[ДА_Мах_Итог]]=Таблица1[[#This Row],[К-средних]],1,0)</f>
        <v>1</v>
      </c>
      <c r="BB50" s="220">
        <v>2.6903077929582844E-3</v>
      </c>
      <c r="BC50" s="220">
        <v>0.99730831081792382</v>
      </c>
      <c r="BD50" s="220">
        <v>1.3813891046638327E-6</v>
      </c>
      <c r="BE50" s="220">
        <v>1.3200382132122907E-14</v>
      </c>
      <c r="BF50" s="220">
        <v>8.1935575758650253E-29</v>
      </c>
      <c r="BG50" s="220">
        <v>0</v>
      </c>
      <c r="BH50" s="220">
        <v>0</v>
      </c>
      <c r="BI50" s="218">
        <f>MATCH(MAX(Таблица1[[#This Row],[1_ДА_Ап]:[7_ДА_Ап]]),Таблица1[[#This Row],[1_ДА_Ап]:[7_ДА_Ап]],0)</f>
        <v>2</v>
      </c>
      <c r="BJ50" s="219">
        <f>IF(Таблица1[[#This Row],[ДА_Ап_Итог]]=Таблица1[[#This Row],[Train]],1,0)</f>
        <v>0</v>
      </c>
      <c r="BK50" s="219">
        <f>IF(Таблица1[[#This Row],[ДА_Ап_Итог]]=Таблица1[[#This Row],[К-средних]],1,0)</f>
        <v>1</v>
      </c>
      <c r="BL50" s="234" t="s">
        <v>2588</v>
      </c>
      <c r="BM50" s="234" t="s">
        <v>2587</v>
      </c>
      <c r="BN50" s="234" t="s">
        <v>2586</v>
      </c>
      <c r="BO50" s="234" t="s">
        <v>2589</v>
      </c>
      <c r="BP50" s="234" t="s">
        <v>2590</v>
      </c>
      <c r="BQ50" s="234" t="s">
        <v>2592</v>
      </c>
      <c r="BR50" s="234" t="s">
        <v>2591</v>
      </c>
      <c r="BS50" s="234" t="str">
        <f>RIGHT(Таблица1[[#This Row],[ПДАсВ 1]],1)</f>
        <v>1</v>
      </c>
      <c r="BT50" s="227">
        <v>1</v>
      </c>
      <c r="BU50" s="212">
        <f>IF(Таблица1[[#This Row],[ПДАсВ Итог Копия]]=Таблица1[[#This Row],[Train]],1,0)</f>
        <v>0</v>
      </c>
      <c r="BV50" s="212">
        <f>IF(Таблица1[[#This Row],[ПДАсВ Итог Копия]]=Таблица1[[#This Row],[К-средних]],1,0)</f>
        <v>0</v>
      </c>
      <c r="BW50" s="235">
        <v>55.279214443273936</v>
      </c>
      <c r="BX50" s="235">
        <v>70.351398347391111</v>
      </c>
      <c r="BY50" s="235">
        <v>70.933627326715978</v>
      </c>
      <c r="BZ50" s="235">
        <v>74.82647736161627</v>
      </c>
      <c r="CA50" s="235">
        <v>114.81555204130093</v>
      </c>
      <c r="CB50" s="235">
        <v>761.90764283800343</v>
      </c>
      <c r="CC50" s="235">
        <v>143.9025360215025</v>
      </c>
      <c r="CD50" s="218">
        <f>MATCH(MIN(Таблица1[[#This Row],[1 ДА Мах]:[7_ДА_Мах]]),Таблица1[[#This Row],[1 ДА Мах]:[7_ДА_Мах]],0)</f>
        <v>2</v>
      </c>
      <c r="CE50" s="219">
        <f>IF(Таблица1[[#This Row],[ДА_Мах_Итог]]=Таблица1[[#This Row],[Train]],1,0)</f>
        <v>0</v>
      </c>
      <c r="CF50" s="219">
        <f>IF(Таблица1[[#This Row],[ДА_Мах_Итог]]=Таблица1[[#This Row],[К-средних]],1,0)</f>
        <v>1</v>
      </c>
      <c r="CG50" s="236">
        <v>0.99860709755297672</v>
      </c>
      <c r="CH50" s="236">
        <v>7.1031377208075931E-4</v>
      </c>
      <c r="CI50" s="236">
        <v>6.6363736721041411E-4</v>
      </c>
      <c r="CJ50" s="236">
        <v>1.8951307692884293E-5</v>
      </c>
      <c r="CK50" s="236">
        <v>3.9275520383450711E-14</v>
      </c>
      <c r="CL50" s="236">
        <v>0</v>
      </c>
      <c r="CM50" s="236">
        <v>1.89654708406883E-20</v>
      </c>
      <c r="CN50" s="218">
        <f>MATCH(MAX(Таблица1[[#This Row],[1_ДА_Ап]:[7_ДА_Ап]]),Таблица1[[#This Row],[1_ДА_Ап]:[7_ДА_Ап]],0)</f>
        <v>2</v>
      </c>
      <c r="CO50" s="219">
        <f>IF(Таблица1[[#This Row],[ПДАсВ Итог Копия]]=Таблица1[[#This Row],[Train]],1,0)</f>
        <v>0</v>
      </c>
      <c r="CP50" s="219">
        <f>IF(Таблица1[[#This Row],[ПДАсВ Итог Копия]]=Таблица1[[#This Row],[К-средних]],1,0)</f>
        <v>0</v>
      </c>
      <c r="CQ50" s="234" t="s">
        <v>2588</v>
      </c>
      <c r="CR50" s="234" t="s">
        <v>2586</v>
      </c>
      <c r="CS50" s="234" t="s">
        <v>2589</v>
      </c>
      <c r="CT50" s="234" t="s">
        <v>2587</v>
      </c>
      <c r="CU50" s="234" t="s">
        <v>2590</v>
      </c>
      <c r="CV50" s="234" t="s">
        <v>2592</v>
      </c>
      <c r="CW50" s="234" t="s">
        <v>2591</v>
      </c>
      <c r="CX50" s="234" t="str">
        <f>RIGHT(Таблица1[[#This Row],[ПДАсИ 1]],1)</f>
        <v>1</v>
      </c>
      <c r="CY50" s="212">
        <v>1</v>
      </c>
      <c r="CZ50" s="212">
        <f>IF(Таблица1[[#This Row],[ПДАсИ Итог Копия]]=Таблица1[[#This Row],[Train]],1,0)</f>
        <v>0</v>
      </c>
      <c r="DA50" s="212">
        <f>IF(Таблица1[[#This Row],[ПДАсИ Итог Копия]]=Таблица1[[#This Row],[К-средних]],1,0)</f>
        <v>0</v>
      </c>
      <c r="DB50" s="237">
        <v>62.430956287561223</v>
      </c>
      <c r="DC50" s="237">
        <v>76.221588556349133</v>
      </c>
      <c r="DD50" s="237">
        <v>70.786617679641466</v>
      </c>
      <c r="DE50" s="237">
        <v>69.611899240244099</v>
      </c>
      <c r="DF50" s="237">
        <v>159.57365768807281</v>
      </c>
      <c r="DG50" s="237">
        <v>656.03005599259825</v>
      </c>
      <c r="DH50" s="237">
        <v>185.99409337883878</v>
      </c>
      <c r="DI50" s="224">
        <f>MATCH(MIN(Таблица1[[#This Row],[ПДАсИ Мах 1]:[ПДАсИ Мах 7]]),Таблица1[[#This Row],[ПДАсИ Мах 1]:[ПДАсИ Мах 7]],0)</f>
        <v>1</v>
      </c>
      <c r="DJ50" s="212">
        <f>IF(Таблица1[[#This Row],[ПДАсИ Мах Итог]]=Таблица1[[#This Row],[Train]],1,0)</f>
        <v>0</v>
      </c>
      <c r="DK50" s="212">
        <f>IF(Таблица1[[#This Row],[ПДАсИ Мах Итог]]=Таблица1[[#This Row],[К-средних]],1,0)</f>
        <v>0</v>
      </c>
      <c r="DL50" s="238">
        <v>0.96515965320666952</v>
      </c>
      <c r="DM50" s="238">
        <v>1.3029871932763221E-3</v>
      </c>
      <c r="DN50" s="238">
        <v>2.4662613146119828E-2</v>
      </c>
      <c r="DO50" s="238">
        <v>8.8747464539343582E-3</v>
      </c>
      <c r="DP50" s="238">
        <v>2.5894546905510619E-22</v>
      </c>
      <c r="DQ50" s="238">
        <v>0</v>
      </c>
      <c r="DR50" s="238">
        <v>4.743332851898143E-28</v>
      </c>
      <c r="DS50" s="224">
        <f>MATCH(MAX(Таблица1[[#This Row],[ПДАсИ Ап 1]:[ПДАсИ Ап 7]]),Таблица1[[#This Row],[ПДАсИ Ап 1]:[ПДАсИ Ап 7]],0)</f>
        <v>1</v>
      </c>
      <c r="DT50" s="212">
        <f>IF(Таблица1[[#This Row],[ПДАсИ Ап Итог]]=Таблица1[[#This Row],[Train]],1,0)</f>
        <v>0</v>
      </c>
      <c r="DU50" s="212">
        <f>IF(Таблица1[[#This Row],[ПДАсИ Ап Итог]]=Таблица1[[#This Row],[К-средних]],1,0)</f>
        <v>0</v>
      </c>
    </row>
    <row r="51" spans="1:125" ht="13.8">
      <c r="A51" s="205" t="s">
        <v>321</v>
      </c>
      <c r="B51" s="319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320">
        <v>0.2733811393146407</v>
      </c>
      <c r="K51" s="324">
        <v>-1.7465284351683674</v>
      </c>
      <c r="L51" s="325">
        <v>0.19250875829998629</v>
      </c>
      <c r="M51" s="328">
        <v>-1.3639080995454036</v>
      </c>
      <c r="N51" s="310">
        <v>-0.28866564207353762</v>
      </c>
      <c r="O51" s="329">
        <v>0.89920456122923575</v>
      </c>
      <c r="P51" s="206">
        <v>4</v>
      </c>
      <c r="Q51" s="207">
        <v>5</v>
      </c>
      <c r="R51" s="206">
        <v>5</v>
      </c>
      <c r="S51" s="208">
        <v>4</v>
      </c>
      <c r="T51" s="271">
        <v>4</v>
      </c>
      <c r="U51" s="271">
        <v>6</v>
      </c>
      <c r="V51" s="272">
        <v>1</v>
      </c>
      <c r="W51" s="272">
        <v>1</v>
      </c>
      <c r="X51" s="312">
        <v>6</v>
      </c>
      <c r="Y51" s="313">
        <v>1</v>
      </c>
      <c r="Z51" s="271">
        <v>3</v>
      </c>
      <c r="AA51" s="314">
        <v>6</v>
      </c>
      <c r="AB51" s="343">
        <v>3</v>
      </c>
      <c r="AC51" s="343">
        <f>IF(Таблица1[[#This Row],[Train]]=Таблица1[[#This Row],[НС]],1,0)</f>
        <v>0</v>
      </c>
      <c r="AD51" s="343">
        <f>IF(Таблица1[[#This Row],[НС]]=Таблица1[[#This Row],[К-средних]],1,0)</f>
        <v>0</v>
      </c>
      <c r="AE51" s="208"/>
      <c r="AF51" s="209">
        <f>SUMXMY2(Таблица1[[#This Row],[X1]:[X9]],Таблица1[[#Totals],[X1]:[X9]])</f>
        <v>15.22631674184418</v>
      </c>
      <c r="AG51" s="239" t="s">
        <v>2589</v>
      </c>
      <c r="AH51" s="239" t="s">
        <v>2586</v>
      </c>
      <c r="AI51" s="239" t="s">
        <v>2587</v>
      </c>
      <c r="AJ51" s="239" t="s">
        <v>2588</v>
      </c>
      <c r="AK51" s="239" t="s">
        <v>2590</v>
      </c>
      <c r="AL51" s="239" t="s">
        <v>2591</v>
      </c>
      <c r="AM51" s="239" t="s">
        <v>2592</v>
      </c>
      <c r="AN51" s="239" t="str">
        <f>RIGHT(Таблица1[[#This Row],[ДА1]],1)</f>
        <v>4</v>
      </c>
      <c r="AO51" s="214">
        <v>4</v>
      </c>
      <c r="AP51" s="213">
        <f>IF(Таблица1[[#This Row],[ДА Итог Копия]]=Таблица1[[#This Row],[Train]],1,0)</f>
        <v>0</v>
      </c>
      <c r="AQ51" s="213">
        <f>IF(Таблица1[[#This Row],[ДА Итог Копия]]=Таблица1[[#This Row],[К-средних]],1,0)</f>
        <v>1</v>
      </c>
      <c r="AR51" s="216">
        <v>130.5104057229608</v>
      </c>
      <c r="AS51" s="216">
        <v>97.794684728498552</v>
      </c>
      <c r="AT51" s="216">
        <v>75.665672972343117</v>
      </c>
      <c r="AU51" s="216">
        <v>30.713177763290261</v>
      </c>
      <c r="AV51" s="216">
        <v>146.57103858643299</v>
      </c>
      <c r="AW51" s="216">
        <v>693.9421962262569</v>
      </c>
      <c r="AX51" s="217">
        <v>310.19913405168353</v>
      </c>
      <c r="AY51" s="218">
        <f>MATCH(MIN(Таблица1[[#This Row],[1 ДА Мах]:[7_ДА_Мах]]),Таблица1[[#This Row],[1 ДА Мах]:[7_ДА_Мах]],0)</f>
        <v>4</v>
      </c>
      <c r="AZ51" s="219">
        <f>IF(Таблица1[[#This Row],[ДА_Мах_Итог]]=Таблица1[[#This Row],[Train]],1,0)</f>
        <v>0</v>
      </c>
      <c r="BA51" s="219">
        <f>IF(Таблица1[[#This Row],[ДА_Мах_Итог]]=Таблица1[[#This Row],[К-средних]],1,0)</f>
        <v>1</v>
      </c>
      <c r="BB51" s="220">
        <v>6.403664174727379E-22</v>
      </c>
      <c r="BC51" s="220">
        <v>1.0851651415087667E-14</v>
      </c>
      <c r="BD51" s="220">
        <v>8.6628280764476062E-10</v>
      </c>
      <c r="BE51" s="220">
        <v>0.9999999991337063</v>
      </c>
      <c r="BF51" s="220">
        <v>6.9468061376165727E-26</v>
      </c>
      <c r="BG51" s="220">
        <v>0</v>
      </c>
      <c r="BH51" s="220">
        <v>0</v>
      </c>
      <c r="BI51" s="218">
        <f>MATCH(MAX(Таблица1[[#This Row],[1_ДА_Ап]:[7_ДА_Ап]]),Таблица1[[#This Row],[1_ДА_Ап]:[7_ДА_Ап]],0)</f>
        <v>4</v>
      </c>
      <c r="BJ51" s="219">
        <f>IF(Таблица1[[#This Row],[ДА_Ап_Итог]]=Таблица1[[#This Row],[Train]],1,0)</f>
        <v>0</v>
      </c>
      <c r="BK51" s="219">
        <f>IF(Таблица1[[#This Row],[ДА_Ап_Итог]]=Таблица1[[#This Row],[К-средних]],1,0)</f>
        <v>1</v>
      </c>
      <c r="BL51" s="234" t="s">
        <v>2589</v>
      </c>
      <c r="BM51" s="234" t="s">
        <v>2590</v>
      </c>
      <c r="BN51" s="234" t="s">
        <v>2586</v>
      </c>
      <c r="BO51" s="234" t="s">
        <v>2587</v>
      </c>
      <c r="BP51" s="234" t="s">
        <v>2588</v>
      </c>
      <c r="BQ51" s="234" t="s">
        <v>2591</v>
      </c>
      <c r="BR51" s="234" t="s">
        <v>2592</v>
      </c>
      <c r="BS51" s="234" t="str">
        <f>RIGHT(Таблица1[[#This Row],[ПДАсВ 1]],1)</f>
        <v>4</v>
      </c>
      <c r="BT51" s="227">
        <v>4</v>
      </c>
      <c r="BU51" s="212">
        <f>IF(Таблица1[[#This Row],[ПДАсВ Итог Копия]]=Таблица1[[#This Row],[Train]],1,0)</f>
        <v>0</v>
      </c>
      <c r="BV51" s="212">
        <f>IF(Таблица1[[#This Row],[ПДАсВ Итог Копия]]=Таблица1[[#This Row],[К-средних]],1,0)</f>
        <v>1</v>
      </c>
      <c r="BW51" s="235">
        <v>103.63035022791674</v>
      </c>
      <c r="BX51" s="235">
        <v>74.277273034760128</v>
      </c>
      <c r="BY51" s="235">
        <v>64.997736908099938</v>
      </c>
      <c r="BZ51" s="235">
        <v>22.059492132285826</v>
      </c>
      <c r="CA51" s="235">
        <v>57.21770989722021</v>
      </c>
      <c r="CB51" s="235">
        <v>634.98073954594565</v>
      </c>
      <c r="CC51" s="235">
        <v>271.42120811434819</v>
      </c>
      <c r="CD51" s="218">
        <f>MATCH(MIN(Таблица1[[#This Row],[1 ДА Мах]:[7_ДА_Мах]]),Таблица1[[#This Row],[1 ДА Мах]:[7_ДА_Мах]],0)</f>
        <v>4</v>
      </c>
      <c r="CE51" s="219">
        <f>IF(Таблица1[[#This Row],[ДА_Мах_Итог]]=Таблица1[[#This Row],[Train]],1,0)</f>
        <v>0</v>
      </c>
      <c r="CF51" s="219">
        <f>IF(Таблица1[[#This Row],[ДА_Мах_Итог]]=Таблица1[[#This Row],[К-средних]],1,0)</f>
        <v>1</v>
      </c>
      <c r="CG51" s="236">
        <v>5.8107804416867134E-18</v>
      </c>
      <c r="CH51" s="236">
        <v>1.8327909369547366E-11</v>
      </c>
      <c r="CI51" s="236">
        <v>2.3716391389143678E-9</v>
      </c>
      <c r="CJ51" s="236">
        <v>0.99999997440992505</v>
      </c>
      <c r="CK51" s="236">
        <v>2.3200107885282441E-8</v>
      </c>
      <c r="CL51" s="236">
        <v>0</v>
      </c>
      <c r="CM51" s="236">
        <v>0</v>
      </c>
      <c r="CN51" s="218">
        <f>MATCH(MAX(Таблица1[[#This Row],[1_ДА_Ап]:[7_ДА_Ап]]),Таблица1[[#This Row],[1_ДА_Ап]:[7_ДА_Ап]],0)</f>
        <v>4</v>
      </c>
      <c r="CO51" s="219">
        <f>IF(Таблица1[[#This Row],[ПДАсВ Итог Копия]]=Таблица1[[#This Row],[Train]],1,0)</f>
        <v>0</v>
      </c>
      <c r="CP51" s="219">
        <f>IF(Таблица1[[#This Row],[ПДАсВ Итог Копия]]=Таблица1[[#This Row],[К-средних]],1,0)</f>
        <v>1</v>
      </c>
      <c r="CQ51" s="234" t="s">
        <v>2589</v>
      </c>
      <c r="CR51" s="234" t="s">
        <v>2586</v>
      </c>
      <c r="CS51" s="234" t="s">
        <v>2587</v>
      </c>
      <c r="CT51" s="234" t="s">
        <v>2588</v>
      </c>
      <c r="CU51" s="234" t="s">
        <v>2590</v>
      </c>
      <c r="CV51" s="234" t="s">
        <v>2591</v>
      </c>
      <c r="CW51" s="234" t="s">
        <v>2592</v>
      </c>
      <c r="CX51" s="234" t="str">
        <f>RIGHT(Таблица1[[#This Row],[ПДАсИ 1]],1)</f>
        <v>4</v>
      </c>
      <c r="CY51" s="212">
        <v>4</v>
      </c>
      <c r="CZ51" s="212">
        <f>IF(Таблица1[[#This Row],[ПДАсИ Итог Копия]]=Таблица1[[#This Row],[Train]],1,0)</f>
        <v>0</v>
      </c>
      <c r="DA51" s="212">
        <f>IF(Таблица1[[#This Row],[ПДАсИ Итог Копия]]=Таблица1[[#This Row],[К-средних]],1,0)</f>
        <v>1</v>
      </c>
      <c r="DB51" s="237">
        <v>117.79718120835759</v>
      </c>
      <c r="DC51" s="237">
        <v>87.311759414123671</v>
      </c>
      <c r="DD51" s="237">
        <v>67.574814671829287</v>
      </c>
      <c r="DE51" s="237">
        <v>25.40851294875036</v>
      </c>
      <c r="DF51" s="237">
        <v>124.82501656304328</v>
      </c>
      <c r="DG51" s="237">
        <v>567.5149918666425</v>
      </c>
      <c r="DH51" s="237">
        <v>299.16029432828168</v>
      </c>
      <c r="DI51" s="224">
        <f>MATCH(MIN(Таблица1[[#This Row],[ПДАсИ Мах 1]:[ПДАсИ Мах 7]]),Таблица1[[#This Row],[ПДАсИ Мах 1]:[ПДАсИ Мах 7]],0)</f>
        <v>4</v>
      </c>
      <c r="DJ51" s="212">
        <f>IF(Таблица1[[#This Row],[ПДАсИ Мах Итог]]=Таблица1[[#This Row],[Train]],1,0)</f>
        <v>0</v>
      </c>
      <c r="DK51" s="212">
        <f>IF(Таблица1[[#This Row],[ПДАсИ Мах Итог]]=Таблица1[[#This Row],[К-средних]],1,0)</f>
        <v>1</v>
      </c>
      <c r="DL51" s="238">
        <v>2.6012185680655808E-20</v>
      </c>
      <c r="DM51" s="238">
        <v>1.4452427981730881E-13</v>
      </c>
      <c r="DN51" s="238">
        <v>3.4887827193385212E-9</v>
      </c>
      <c r="DO51" s="238">
        <v>0.99999999651107285</v>
      </c>
      <c r="DP51" s="238">
        <v>2.5821444483736545E-22</v>
      </c>
      <c r="DQ51" s="238">
        <v>0</v>
      </c>
      <c r="DR51" s="238">
        <v>0</v>
      </c>
      <c r="DS51" s="224">
        <f>MATCH(MAX(Таблица1[[#This Row],[ПДАсИ Ап 1]:[ПДАсИ Ап 7]]),Таблица1[[#This Row],[ПДАсИ Ап 1]:[ПДАсИ Ап 7]],0)</f>
        <v>4</v>
      </c>
      <c r="DT51" s="212">
        <f>IF(Таблица1[[#This Row],[ПДАсИ Ап Итог]]=Таблица1[[#This Row],[Train]],1,0)</f>
        <v>0</v>
      </c>
      <c r="DU51" s="212">
        <f>IF(Таблица1[[#This Row],[ПДАсИ Ап Итог]]=Таблица1[[#This Row],[К-средних]],1,0)</f>
        <v>1</v>
      </c>
    </row>
    <row r="52" spans="1:125" ht="13.8">
      <c r="A52" s="205" t="s">
        <v>322</v>
      </c>
      <c r="B52" s="319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320">
        <v>0.56005012683501276</v>
      </c>
      <c r="K52" s="324">
        <v>-1.1585940839303204</v>
      </c>
      <c r="L52" s="325">
        <v>0.52081779384099725</v>
      </c>
      <c r="M52" s="328">
        <v>-1.0215603976517669</v>
      </c>
      <c r="N52" s="310">
        <v>-0.58643085594068856</v>
      </c>
      <c r="O52" s="329">
        <v>9.1542100806660975E-2</v>
      </c>
      <c r="P52" s="206">
        <v>4</v>
      </c>
      <c r="Q52" s="207">
        <v>5</v>
      </c>
      <c r="R52" s="206">
        <v>5</v>
      </c>
      <c r="S52" s="208">
        <v>2</v>
      </c>
      <c r="T52" s="271">
        <v>3</v>
      </c>
      <c r="U52" s="271">
        <v>7</v>
      </c>
      <c r="V52" s="272">
        <v>3</v>
      </c>
      <c r="W52" s="272">
        <v>6</v>
      </c>
      <c r="X52" s="312">
        <v>6</v>
      </c>
      <c r="Y52" s="313">
        <v>2</v>
      </c>
      <c r="Z52" s="271">
        <v>6</v>
      </c>
      <c r="AA52" s="314">
        <v>6</v>
      </c>
      <c r="AB52" s="343">
        <v>4</v>
      </c>
      <c r="AC52" s="343">
        <f>IF(Таблица1[[#This Row],[Train]]=Таблица1[[#This Row],[НС]],1,0)</f>
        <v>0</v>
      </c>
      <c r="AD52" s="343">
        <f>IF(Таблица1[[#This Row],[НС]]=Таблица1[[#This Row],[К-средних]],1,0)</f>
        <v>0</v>
      </c>
      <c r="AE52" s="208"/>
      <c r="AF52" s="209">
        <f>SUMXMY2(Таблица1[[#This Row],[X1]:[X9]],Таблица1[[#Totals],[X1]:[X9]])</f>
        <v>5.2970155591319523</v>
      </c>
      <c r="AG52" s="239" t="s">
        <v>2589</v>
      </c>
      <c r="AH52" s="239" t="s">
        <v>2586</v>
      </c>
      <c r="AI52" s="239" t="s">
        <v>2587</v>
      </c>
      <c r="AJ52" s="239" t="s">
        <v>2588</v>
      </c>
      <c r="AK52" s="239" t="s">
        <v>2590</v>
      </c>
      <c r="AL52" s="239" t="s">
        <v>2591</v>
      </c>
      <c r="AM52" s="239" t="s">
        <v>2592</v>
      </c>
      <c r="AN52" s="239" t="str">
        <f>RIGHT(Таблица1[[#This Row],[ДА1]],1)</f>
        <v>4</v>
      </c>
      <c r="AO52" s="214">
        <v>4</v>
      </c>
      <c r="AP52" s="213">
        <f>IF(Таблица1[[#This Row],[ДА Итог Копия]]=Таблица1[[#This Row],[Train]],1,0)</f>
        <v>0</v>
      </c>
      <c r="AQ52" s="213">
        <f>IF(Таблица1[[#This Row],[ДА Итог Копия]]=Таблица1[[#This Row],[К-средних]],1,0)</f>
        <v>0</v>
      </c>
      <c r="AR52" s="216">
        <v>52.216064826265161</v>
      </c>
      <c r="AS52" s="216">
        <v>36.651285543140595</v>
      </c>
      <c r="AT52" s="216">
        <v>29.819404351047201</v>
      </c>
      <c r="AU52" s="216">
        <v>23.048923256760844</v>
      </c>
      <c r="AV52" s="216">
        <v>54.83148179714383</v>
      </c>
      <c r="AW52" s="216">
        <v>645.23193088594701</v>
      </c>
      <c r="AX52" s="217">
        <v>349.7572373620049</v>
      </c>
      <c r="AY52" s="218">
        <f>MATCH(MIN(Таблица1[[#This Row],[1 ДА Мах]:[7_ДА_Мах]]),Таблица1[[#This Row],[1 ДА Мах]:[7_ДА_Мах]],0)</f>
        <v>4</v>
      </c>
      <c r="AZ52" s="219">
        <f>IF(Таблица1[[#This Row],[ДА_Мах_Итог]]=Таблица1[[#This Row],[Train]],1,0)</f>
        <v>0</v>
      </c>
      <c r="BA52" s="219">
        <f>IF(Таблица1[[#This Row],[ДА_Мах_Итог]]=Таблица1[[#This Row],[К-средних]],1,0)</f>
        <v>0</v>
      </c>
      <c r="BB52" s="220">
        <v>1.1856684517810755E-6</v>
      </c>
      <c r="BC52" s="220">
        <v>3.7909746321286059E-3</v>
      </c>
      <c r="BD52" s="220">
        <v>0.14427299338986282</v>
      </c>
      <c r="BE52" s="220">
        <v>0.85193473942586884</v>
      </c>
      <c r="BF52" s="220">
        <v>1.0688368795397236E-7</v>
      </c>
      <c r="BG52" s="220">
        <v>0</v>
      </c>
      <c r="BH52" s="220">
        <v>0</v>
      </c>
      <c r="BI52" s="218">
        <f>MATCH(MAX(Таблица1[[#This Row],[1_ДА_Ап]:[7_ДА_Ап]]),Таблица1[[#This Row],[1_ДА_Ап]:[7_ДА_Ап]],0)</f>
        <v>4</v>
      </c>
      <c r="BJ52" s="219">
        <f>IF(Таблица1[[#This Row],[ДА_Ап_Итог]]=Таблица1[[#This Row],[Train]],1,0)</f>
        <v>0</v>
      </c>
      <c r="BK52" s="219">
        <f>IF(Таблица1[[#This Row],[ДА_Ап_Итог]]=Таблица1[[#This Row],[К-средних]],1,0)</f>
        <v>0</v>
      </c>
      <c r="BL52" s="234" t="s">
        <v>2589</v>
      </c>
      <c r="BM52" s="234" t="s">
        <v>2586</v>
      </c>
      <c r="BN52" s="234" t="s">
        <v>2590</v>
      </c>
      <c r="BO52" s="234" t="s">
        <v>2587</v>
      </c>
      <c r="BP52" s="234" t="s">
        <v>2588</v>
      </c>
      <c r="BQ52" s="234" t="s">
        <v>2591</v>
      </c>
      <c r="BR52" s="234" t="s">
        <v>2592</v>
      </c>
      <c r="BS52" s="234" t="str">
        <f>RIGHT(Таблица1[[#This Row],[ПДАсВ 1]],1)</f>
        <v>4</v>
      </c>
      <c r="BT52" s="227">
        <v>4</v>
      </c>
      <c r="BU52" s="212">
        <f>IF(Таблица1[[#This Row],[ПДАсВ Итог Копия]]=Таблица1[[#This Row],[Train]],1,0)</f>
        <v>0</v>
      </c>
      <c r="BV52" s="212">
        <f>IF(Таблица1[[#This Row],[ПДАсВ Итог Копия]]=Таблица1[[#This Row],[К-средних]],1,0)</f>
        <v>0</v>
      </c>
      <c r="BW52" s="235">
        <v>48.561912463901919</v>
      </c>
      <c r="BX52" s="235">
        <v>33.648023804133537</v>
      </c>
      <c r="BY52" s="235">
        <v>25.659458962364944</v>
      </c>
      <c r="BZ52" s="235">
        <v>10.126652865576309</v>
      </c>
      <c r="CA52" s="235">
        <v>27.177810353810898</v>
      </c>
      <c r="CB52" s="235">
        <v>637.43310581419735</v>
      </c>
      <c r="CC52" s="235">
        <v>234.7221484251989</v>
      </c>
      <c r="CD52" s="218">
        <f>MATCH(MIN(Таблица1[[#This Row],[1 ДА Мах]:[7_ДА_Мах]]),Таблица1[[#This Row],[1 ДА Мах]:[7_ДА_Мах]],0)</f>
        <v>4</v>
      </c>
      <c r="CE52" s="219">
        <f>IF(Таблица1[[#This Row],[ДА_Мах_Итог]]=Таблица1[[#This Row],[Train]],1,0)</f>
        <v>0</v>
      </c>
      <c r="CF52" s="219">
        <f>IF(Таблица1[[#This Row],[ДА_Мах_Итог]]=Таблица1[[#This Row],[К-средних]],1,0)</f>
        <v>0</v>
      </c>
      <c r="CG52" s="236">
        <v>1.3489381771688003E-8</v>
      </c>
      <c r="CH52" s="236">
        <v>3.1148745261311072E-5</v>
      </c>
      <c r="CI52" s="236">
        <v>2.1137099149548151E-3</v>
      </c>
      <c r="CJ52" s="236">
        <v>0.99765726258368792</v>
      </c>
      <c r="CK52" s="236">
        <v>1.9786526671405869E-4</v>
      </c>
      <c r="CL52" s="236">
        <v>0</v>
      </c>
      <c r="CM52" s="236">
        <v>0</v>
      </c>
      <c r="CN52" s="218">
        <f>MATCH(MAX(Таблица1[[#This Row],[1_ДА_Ап]:[7_ДА_Ап]]),Таблица1[[#This Row],[1_ДА_Ап]:[7_ДА_Ап]],0)</f>
        <v>4</v>
      </c>
      <c r="CO52" s="219">
        <f>IF(Таблица1[[#This Row],[ПДАсВ Итог Копия]]=Таблица1[[#This Row],[Train]],1,0)</f>
        <v>0</v>
      </c>
      <c r="CP52" s="219">
        <f>IF(Таблица1[[#This Row],[ПДАсВ Итог Копия]]=Таблица1[[#This Row],[К-средних]],1,0)</f>
        <v>0</v>
      </c>
      <c r="CQ52" s="234" t="s">
        <v>2589</v>
      </c>
      <c r="CR52" s="234" t="s">
        <v>2586</v>
      </c>
      <c r="CS52" s="234" t="s">
        <v>2587</v>
      </c>
      <c r="CT52" s="234" t="s">
        <v>2590</v>
      </c>
      <c r="CU52" s="234" t="s">
        <v>2588</v>
      </c>
      <c r="CV52" s="234" t="s">
        <v>2591</v>
      </c>
      <c r="CW52" s="234" t="s">
        <v>2592</v>
      </c>
      <c r="CX52" s="234" t="str">
        <f>RIGHT(Таблица1[[#This Row],[ПДАсИ 1]],1)</f>
        <v>4</v>
      </c>
      <c r="CY52" s="212">
        <v>4</v>
      </c>
      <c r="CZ52" s="212">
        <f>IF(Таблица1[[#This Row],[ПДАсИ Итог Копия]]=Таблица1[[#This Row],[Train]],1,0)</f>
        <v>0</v>
      </c>
      <c r="DA52" s="212">
        <f>IF(Таблица1[[#This Row],[ПДАсИ Итог Копия]]=Таблица1[[#This Row],[К-средних]],1,0)</f>
        <v>0</v>
      </c>
      <c r="DB52" s="237">
        <v>47.788414298148616</v>
      </c>
      <c r="DC52" s="237">
        <v>34.429302226841692</v>
      </c>
      <c r="DD52" s="237">
        <v>27.020896777804392</v>
      </c>
      <c r="DE52" s="237">
        <v>6.2859846980276144</v>
      </c>
      <c r="DF52" s="237">
        <v>35.476683864602265</v>
      </c>
      <c r="DG52" s="237">
        <v>491.64229927987014</v>
      </c>
      <c r="DH52" s="237">
        <v>331.14427215028394</v>
      </c>
      <c r="DI52" s="224">
        <f>MATCH(MIN(Таблица1[[#This Row],[ПДАсИ Мах 1]:[ПДАсИ Мах 7]]),Таблица1[[#This Row],[ПДАсИ Мах 1]:[ПДАсИ Мах 7]],0)</f>
        <v>4</v>
      </c>
      <c r="DJ52" s="212">
        <f>IF(Таблица1[[#This Row],[ПДАсИ Мах Итог]]=Таблица1[[#This Row],[Train]],1,0)</f>
        <v>0</v>
      </c>
      <c r="DK52" s="212">
        <f>IF(Таблица1[[#This Row],[ПДАсИ Мах Итог]]=Таблица1[[#This Row],[К-средних]],1,0)</f>
        <v>0</v>
      </c>
      <c r="DL52" s="238">
        <v>2.9168450946100531E-9</v>
      </c>
      <c r="DM52" s="238">
        <v>3.0956113479768325E-6</v>
      </c>
      <c r="DN52" s="238">
        <v>1.5717057649949922E-4</v>
      </c>
      <c r="DO52" s="238">
        <v>0.99983927248918869</v>
      </c>
      <c r="DP52" s="238">
        <v>4.5840611868596755E-7</v>
      </c>
      <c r="DQ52" s="238">
        <v>0</v>
      </c>
      <c r="DR52" s="238">
        <v>0</v>
      </c>
      <c r="DS52" s="224">
        <f>MATCH(MAX(Таблица1[[#This Row],[ПДАсИ Ап 1]:[ПДАсИ Ап 7]]),Таблица1[[#This Row],[ПДАсИ Ап 1]:[ПДАсИ Ап 7]],0)</f>
        <v>4</v>
      </c>
      <c r="DT52" s="212">
        <f>IF(Таблица1[[#This Row],[ПДАсИ Ап Итог]]=Таблица1[[#This Row],[Train]],1,0)</f>
        <v>0</v>
      </c>
      <c r="DU52" s="212">
        <f>IF(Таблица1[[#This Row],[ПДАсИ Ап Итог]]=Таблица1[[#This Row],[К-средних]],1,0)</f>
        <v>0</v>
      </c>
    </row>
    <row r="53" spans="1:125" ht="13.8">
      <c r="A53" s="205" t="s">
        <v>323</v>
      </c>
      <c r="B53" s="319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320">
        <v>-0.77265569812671653</v>
      </c>
      <c r="K53" s="324">
        <v>0.92312929691281453</v>
      </c>
      <c r="L53" s="325">
        <v>-9.8501531737235887E-2</v>
      </c>
      <c r="M53" s="328">
        <v>0.73201137140234551</v>
      </c>
      <c r="N53" s="310">
        <v>2.5415025734926516E-2</v>
      </c>
      <c r="O53" s="329">
        <v>-0.70370268780884682</v>
      </c>
      <c r="P53" s="206">
        <v>5</v>
      </c>
      <c r="Q53" s="207">
        <v>5</v>
      </c>
      <c r="R53" s="206">
        <v>7</v>
      </c>
      <c r="S53" s="208">
        <v>1</v>
      </c>
      <c r="T53" s="271">
        <v>5</v>
      </c>
      <c r="U53" s="271">
        <v>4</v>
      </c>
      <c r="V53" s="272">
        <v>4</v>
      </c>
      <c r="W53" s="272">
        <v>2</v>
      </c>
      <c r="X53" s="312">
        <v>4</v>
      </c>
      <c r="Y53" s="313">
        <v>4</v>
      </c>
      <c r="Z53" s="271">
        <v>5</v>
      </c>
      <c r="AA53" s="314">
        <v>1</v>
      </c>
      <c r="AB53" s="343">
        <v>1</v>
      </c>
      <c r="AC53" s="343">
        <f>IF(Таблица1[[#This Row],[Train]]=Таблица1[[#This Row],[НС]],1,0)</f>
        <v>0</v>
      </c>
      <c r="AD53" s="343">
        <f>IF(Таблица1[[#This Row],[НС]]=Таблица1[[#This Row],[К-средних]],1,0)</f>
        <v>1</v>
      </c>
      <c r="AE53" s="208"/>
      <c r="AF53" s="209">
        <f>SUMXMY2(Таблица1[[#This Row],[X1]:[X9]],Таблица1[[#Totals],[X1]:[X9]])</f>
        <v>4.5236548872191866</v>
      </c>
      <c r="AG53" s="239" t="s">
        <v>2588</v>
      </c>
      <c r="AH53" s="239" t="s">
        <v>2587</v>
      </c>
      <c r="AI53" s="239" t="s">
        <v>2586</v>
      </c>
      <c r="AJ53" s="239" t="s">
        <v>2590</v>
      </c>
      <c r="AK53" s="239" t="s">
        <v>2589</v>
      </c>
      <c r="AL53" s="239" t="s">
        <v>2591</v>
      </c>
      <c r="AM53" s="239" t="s">
        <v>2592</v>
      </c>
      <c r="AN53" s="239" t="str">
        <f>RIGHT(Таблица1[[#This Row],[ДА1]],1)</f>
        <v>1</v>
      </c>
      <c r="AO53" s="214">
        <v>1</v>
      </c>
      <c r="AP53" s="213">
        <f>IF(Таблица1[[#This Row],[ДА Итог Копия]]=Таблица1[[#This Row],[Train]],1,0)</f>
        <v>0</v>
      </c>
      <c r="AQ53" s="213">
        <f>IF(Таблица1[[#This Row],[ДА Итог Копия]]=Таблица1[[#This Row],[К-средних]],1,0)</f>
        <v>1</v>
      </c>
      <c r="AR53" s="216">
        <v>15.23200326274266</v>
      </c>
      <c r="AS53" s="216">
        <v>41.931463787301894</v>
      </c>
      <c r="AT53" s="216">
        <v>46.877553768149404</v>
      </c>
      <c r="AU53" s="216">
        <v>118.08277415379273</v>
      </c>
      <c r="AV53" s="216">
        <v>95.821459861715311</v>
      </c>
      <c r="AW53" s="216">
        <v>592.23188071118341</v>
      </c>
      <c r="AX53" s="217">
        <v>323.9632809176137</v>
      </c>
      <c r="AY53" s="218">
        <f>MATCH(MIN(Таблица1[[#This Row],[1 ДА Мах]:[7_ДА_Мах]]),Таблица1[[#This Row],[1 ДА Мах]:[7_ДА_Мах]],0)</f>
        <v>1</v>
      </c>
      <c r="AZ53" s="219">
        <f>IF(Таблица1[[#This Row],[ДА_Мах_Итог]]=Таблица1[[#This Row],[Train]],1,0)</f>
        <v>0</v>
      </c>
      <c r="BA53" s="219">
        <f>IF(Таблица1[[#This Row],[ДА_Мах_Итог]]=Таблица1[[#This Row],[К-средних]],1,0)</f>
        <v>1</v>
      </c>
      <c r="BB53" s="220">
        <v>0.99999765173683319</v>
      </c>
      <c r="BC53" s="220">
        <v>2.1243375654481515E-6</v>
      </c>
      <c r="BD53" s="220">
        <v>2.2392560132493724E-7</v>
      </c>
      <c r="BE53" s="220">
        <v>1.5456693556077641E-23</v>
      </c>
      <c r="BF53" s="220">
        <v>1.0546286742870089E-18</v>
      </c>
      <c r="BG53" s="220">
        <v>0</v>
      </c>
      <c r="BH53" s="220">
        <v>0</v>
      </c>
      <c r="BI53" s="218">
        <f>MATCH(MAX(Таблица1[[#This Row],[1_ДА_Ап]:[7_ДА_Ап]]),Таблица1[[#This Row],[1_ДА_Ап]:[7_ДА_Ап]],0)</f>
        <v>1</v>
      </c>
      <c r="BJ53" s="219">
        <f>IF(Таблица1[[#This Row],[ДА_Ап_Итог]]=Таблица1[[#This Row],[Train]],1,0)</f>
        <v>0</v>
      </c>
      <c r="BK53" s="219">
        <f>IF(Таблица1[[#This Row],[ДА_Ап_Итог]]=Таблица1[[#This Row],[К-средних]],1,0)</f>
        <v>1</v>
      </c>
      <c r="BL53" s="234" t="s">
        <v>2588</v>
      </c>
      <c r="BM53" s="234" t="s">
        <v>2587</v>
      </c>
      <c r="BN53" s="234" t="s">
        <v>2586</v>
      </c>
      <c r="BO53" s="234" t="s">
        <v>2590</v>
      </c>
      <c r="BP53" s="234" t="s">
        <v>2589</v>
      </c>
      <c r="BQ53" s="234" t="s">
        <v>2591</v>
      </c>
      <c r="BR53" s="234" t="s">
        <v>2592</v>
      </c>
      <c r="BS53" s="234" t="str">
        <f>RIGHT(Таблица1[[#This Row],[ПДАсВ 1]],1)</f>
        <v>1</v>
      </c>
      <c r="BT53" s="227">
        <v>1</v>
      </c>
      <c r="BU53" s="212">
        <f>IF(Таблица1[[#This Row],[ПДАсВ Итог Копия]]=Таблица1[[#This Row],[Train]],1,0)</f>
        <v>0</v>
      </c>
      <c r="BV53" s="212">
        <f>IF(Таблица1[[#This Row],[ПДАсВ Итог Копия]]=Таблица1[[#This Row],[К-средних]],1,0)</f>
        <v>1</v>
      </c>
      <c r="BW53" s="235">
        <v>8.1676976162254995</v>
      </c>
      <c r="BX53" s="235">
        <v>21.072736455625662</v>
      </c>
      <c r="BY53" s="235">
        <v>27.909732882332705</v>
      </c>
      <c r="BZ53" s="235">
        <v>86.596659574266667</v>
      </c>
      <c r="CA53" s="235">
        <v>86.514203697304609</v>
      </c>
      <c r="CB53" s="235">
        <v>566.53745902837136</v>
      </c>
      <c r="CC53" s="235">
        <v>200.32415696329016</v>
      </c>
      <c r="CD53" s="218">
        <f>MATCH(MIN(Таблица1[[#This Row],[1 ДА Мах]:[7_ДА_Мах]]),Таблица1[[#This Row],[1 ДА Мах]:[7_ДА_Мах]],0)</f>
        <v>1</v>
      </c>
      <c r="CE53" s="219">
        <f>IF(Таблица1[[#This Row],[ДА_Мах_Итог]]=Таблица1[[#This Row],[Train]],1,0)</f>
        <v>0</v>
      </c>
      <c r="CF53" s="219">
        <f>IF(Таблица1[[#This Row],[ДА_Мах_Итог]]=Таблица1[[#This Row],[К-средних]],1,0)</f>
        <v>1</v>
      </c>
      <c r="CG53" s="236">
        <v>0.99781663370848517</v>
      </c>
      <c r="CH53" s="236">
        <v>2.0974706751912976E-3</v>
      </c>
      <c r="CI53" s="236">
        <v>8.5895616323525164E-5</v>
      </c>
      <c r="CJ53" s="236">
        <v>3.099536712968815E-18</v>
      </c>
      <c r="CK53" s="236">
        <v>3.2299950068753167E-18</v>
      </c>
      <c r="CL53" s="236">
        <v>0</v>
      </c>
      <c r="CM53" s="236">
        <v>0</v>
      </c>
      <c r="CN53" s="218">
        <f>MATCH(MAX(Таблица1[[#This Row],[1_ДА_Ап]:[7_ДА_Ап]]),Таблица1[[#This Row],[1_ДА_Ап]:[7_ДА_Ап]],0)</f>
        <v>1</v>
      </c>
      <c r="CO53" s="219">
        <f>IF(Таблица1[[#This Row],[ПДАсВ Итог Копия]]=Таблица1[[#This Row],[Train]],1,0)</f>
        <v>0</v>
      </c>
      <c r="CP53" s="219">
        <f>IF(Таблица1[[#This Row],[ПДАсВ Итог Копия]]=Таблица1[[#This Row],[К-средних]],1,0)</f>
        <v>1</v>
      </c>
      <c r="CQ53" s="234" t="s">
        <v>2588</v>
      </c>
      <c r="CR53" s="234" t="s">
        <v>2587</v>
      </c>
      <c r="CS53" s="234" t="s">
        <v>2586</v>
      </c>
      <c r="CT53" s="234" t="s">
        <v>2589</v>
      </c>
      <c r="CU53" s="234" t="s">
        <v>2590</v>
      </c>
      <c r="CV53" s="234" t="s">
        <v>2591</v>
      </c>
      <c r="CW53" s="234" t="s">
        <v>2592</v>
      </c>
      <c r="CX53" s="234" t="str">
        <f>RIGHT(Таблица1[[#This Row],[ПДАсИ 1]],1)</f>
        <v>1</v>
      </c>
      <c r="CY53" s="212">
        <v>1</v>
      </c>
      <c r="CZ53" s="212">
        <f>IF(Таблица1[[#This Row],[ПДАсИ Итог Копия]]=Таблица1[[#This Row],[Train]],1,0)</f>
        <v>0</v>
      </c>
      <c r="DA53" s="212">
        <f>IF(Таблица1[[#This Row],[ПДАсИ Итог Копия]]=Таблица1[[#This Row],[К-средних]],1,0)</f>
        <v>1</v>
      </c>
      <c r="DB53" s="237">
        <v>8.5385093019802412</v>
      </c>
      <c r="DC53" s="237">
        <v>23.046480664393759</v>
      </c>
      <c r="DD53" s="237">
        <v>32.11461573289295</v>
      </c>
      <c r="DE53" s="237">
        <v>83.717643585128556</v>
      </c>
      <c r="DF53" s="237">
        <v>89.900177790222571</v>
      </c>
      <c r="DG53" s="237">
        <v>410.71376283742472</v>
      </c>
      <c r="DH53" s="237">
        <v>306.8694573176341</v>
      </c>
      <c r="DI53" s="224">
        <f>MATCH(MIN(Таблица1[[#This Row],[ПДАсИ Мах 1]:[ПДАсИ Мах 7]]),Таблица1[[#This Row],[ПДАсИ Мах 1]:[ПДАсИ Мах 7]],0)</f>
        <v>1</v>
      </c>
      <c r="DJ53" s="212">
        <f>IF(Таблица1[[#This Row],[ПДАсИ Мах Итог]]=Таблица1[[#This Row],[Train]],1,0)</f>
        <v>0</v>
      </c>
      <c r="DK53" s="212">
        <f>IF(Таблица1[[#This Row],[ПДАсИ Мах Итог]]=Таблица1[[#This Row],[К-средних]],1,0)</f>
        <v>1</v>
      </c>
      <c r="DL53" s="238">
        <v>0.99904512208717078</v>
      </c>
      <c r="DM53" s="238">
        <v>9.4223208136715714E-4</v>
      </c>
      <c r="DN53" s="238">
        <v>1.2645831462042696E-5</v>
      </c>
      <c r="DO53" s="238">
        <v>1.5758768012073149E-17</v>
      </c>
      <c r="DP53" s="238">
        <v>7.1614673705661764E-19</v>
      </c>
      <c r="DQ53" s="238">
        <v>0</v>
      </c>
      <c r="DR53" s="238">
        <v>0</v>
      </c>
      <c r="DS53" s="224">
        <f>MATCH(MAX(Таблица1[[#This Row],[ПДАсИ Ап 1]:[ПДАсИ Ап 7]]),Таблица1[[#This Row],[ПДАсИ Ап 1]:[ПДАсИ Ап 7]],0)</f>
        <v>1</v>
      </c>
      <c r="DT53" s="212">
        <f>IF(Таблица1[[#This Row],[ПДАсИ Ап Итог]]=Таблица1[[#This Row],[Train]],1,0)</f>
        <v>0</v>
      </c>
      <c r="DU53" s="212">
        <f>IF(Таблица1[[#This Row],[ПДАсИ Ап Итог]]=Таблица1[[#This Row],[К-средних]],1,0)</f>
        <v>1</v>
      </c>
    </row>
    <row r="54" spans="1:125" ht="13.8">
      <c r="A54" s="205" t="s">
        <v>324</v>
      </c>
      <c r="B54" s="319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320">
        <v>-5.2933559245782809E-2</v>
      </c>
      <c r="K54" s="324">
        <v>0.49726383204057012</v>
      </c>
      <c r="L54" s="325">
        <v>0.34363529892959965</v>
      </c>
      <c r="M54" s="328">
        <v>0.51382361247308439</v>
      </c>
      <c r="N54" s="310">
        <v>-0.43584061811415487</v>
      </c>
      <c r="O54" s="329">
        <v>0.64685230690678452</v>
      </c>
      <c r="P54" s="206">
        <v>4</v>
      </c>
      <c r="Q54" s="207">
        <v>5</v>
      </c>
      <c r="R54" s="206">
        <v>5</v>
      </c>
      <c r="S54" s="208">
        <v>3</v>
      </c>
      <c r="T54" s="271">
        <v>6</v>
      </c>
      <c r="U54" s="271">
        <v>6</v>
      </c>
      <c r="V54" s="272">
        <v>2</v>
      </c>
      <c r="W54" s="272">
        <v>1</v>
      </c>
      <c r="X54" s="312">
        <v>3</v>
      </c>
      <c r="Y54" s="313">
        <v>3</v>
      </c>
      <c r="Z54" s="271">
        <v>4</v>
      </c>
      <c r="AA54" s="314">
        <v>1</v>
      </c>
      <c r="AB54" s="343">
        <v>3</v>
      </c>
      <c r="AC54" s="343">
        <f>IF(Таблица1[[#This Row],[Train]]=Таблица1[[#This Row],[НС]],1,0)</f>
        <v>0</v>
      </c>
      <c r="AD54" s="343">
        <f>IF(Таблица1[[#This Row],[НС]]=Таблица1[[#This Row],[К-средних]],1,0)</f>
        <v>1</v>
      </c>
      <c r="AE54" s="208"/>
      <c r="AF54" s="209">
        <f>SUMXMY2(Таблица1[[#This Row],[X1]:[X9]],Таблица1[[#Totals],[X1]:[X9]])</f>
        <v>3.774004635668216</v>
      </c>
      <c r="AG54" s="239" t="s">
        <v>2586</v>
      </c>
      <c r="AH54" s="239" t="s">
        <v>2588</v>
      </c>
      <c r="AI54" s="239" t="s">
        <v>2587</v>
      </c>
      <c r="AJ54" s="239" t="s">
        <v>2589</v>
      </c>
      <c r="AK54" s="239" t="s">
        <v>2590</v>
      </c>
      <c r="AL54" s="239" t="s">
        <v>2591</v>
      </c>
      <c r="AM54" s="239" t="s">
        <v>2592</v>
      </c>
      <c r="AN54" s="239" t="str">
        <f>RIGHT(Таблица1[[#This Row],[ДА1]],1)</f>
        <v>3</v>
      </c>
      <c r="AO54" s="214">
        <v>3</v>
      </c>
      <c r="AP54" s="213">
        <f>IF(Таблица1[[#This Row],[ДА Итог Копия]]=Таблица1[[#This Row],[Train]],1,0)</f>
        <v>0</v>
      </c>
      <c r="AQ54" s="213">
        <f>IF(Таблица1[[#This Row],[ДА Итог Копия]]=Таблица1[[#This Row],[К-средних]],1,0)</f>
        <v>1</v>
      </c>
      <c r="AR54" s="216">
        <v>27.863022886713768</v>
      </c>
      <c r="AS54" s="216">
        <v>49.806527297062679</v>
      </c>
      <c r="AT54" s="216">
        <v>21.176217212570993</v>
      </c>
      <c r="AU54" s="216">
        <v>109.90590003258882</v>
      </c>
      <c r="AV54" s="216">
        <v>128.44765235651434</v>
      </c>
      <c r="AW54" s="216">
        <v>773.53667113084555</v>
      </c>
      <c r="AX54" s="217">
        <v>392.78314223729984</v>
      </c>
      <c r="AY54" s="218">
        <f>MATCH(MIN(Таблица1[[#This Row],[1 ДА Мах]:[7_ДА_Мах]]),Таблица1[[#This Row],[1 ДА Мах]:[7_ДА_Мах]],0)</f>
        <v>3</v>
      </c>
      <c r="AZ54" s="219">
        <f>IF(Таблица1[[#This Row],[ДА_Мах_Итог]]=Таблица1[[#This Row],[Train]],1,0)</f>
        <v>0</v>
      </c>
      <c r="BA54" s="219">
        <f>IF(Таблица1[[#This Row],[ДА_Мах_Итог]]=Таблица1[[#This Row],[К-средних]],1,0)</f>
        <v>1</v>
      </c>
      <c r="BB54" s="220">
        <v>2.0750239356906577E-2</v>
      </c>
      <c r="BC54" s="220">
        <v>4.7532472741484793E-7</v>
      </c>
      <c r="BD54" s="220">
        <v>0.97924928531836597</v>
      </c>
      <c r="BE54" s="220">
        <v>1.0580774143008049E-20</v>
      </c>
      <c r="BF54" s="220">
        <v>9.9592603240326127E-25</v>
      </c>
      <c r="BG54" s="220">
        <v>0</v>
      </c>
      <c r="BH54" s="220">
        <v>0</v>
      </c>
      <c r="BI54" s="218">
        <f>MATCH(MAX(Таблица1[[#This Row],[1_ДА_Ап]:[7_ДА_Ап]]),Таблица1[[#This Row],[1_ДА_Ап]:[7_ДА_Ап]],0)</f>
        <v>3</v>
      </c>
      <c r="BJ54" s="219">
        <f>IF(Таблица1[[#This Row],[ДА_Ап_Итог]]=Таблица1[[#This Row],[Train]],1,0)</f>
        <v>0</v>
      </c>
      <c r="BK54" s="219">
        <f>IF(Таблица1[[#This Row],[ДА_Ап_Итог]]=Таблица1[[#This Row],[К-средних]],1,0)</f>
        <v>1</v>
      </c>
      <c r="BL54" s="234" t="s">
        <v>2586</v>
      </c>
      <c r="BM54" s="234" t="s">
        <v>2588</v>
      </c>
      <c r="BN54" s="234" t="s">
        <v>2587</v>
      </c>
      <c r="BO54" s="234" t="s">
        <v>2590</v>
      </c>
      <c r="BP54" s="234" t="s">
        <v>2589</v>
      </c>
      <c r="BQ54" s="234" t="s">
        <v>2591</v>
      </c>
      <c r="BR54" s="234" t="s">
        <v>2592</v>
      </c>
      <c r="BS54" s="234" t="str">
        <f>RIGHT(Таблица1[[#This Row],[ПДАсВ 1]],1)</f>
        <v>3</v>
      </c>
      <c r="BT54" s="227">
        <v>3</v>
      </c>
      <c r="BU54" s="212">
        <f>IF(Таблица1[[#This Row],[ПДАсВ Итог Копия]]=Таблица1[[#This Row],[Train]],1,0)</f>
        <v>0</v>
      </c>
      <c r="BV54" s="212">
        <f>IF(Таблица1[[#This Row],[ПДАсВ Итог Копия]]=Таблица1[[#This Row],[К-средних]],1,0)</f>
        <v>1</v>
      </c>
      <c r="BW54" s="235">
        <v>26.322485616746437</v>
      </c>
      <c r="BX54" s="235">
        <v>47.748177406271765</v>
      </c>
      <c r="BY54" s="235">
        <v>19.732822620712167</v>
      </c>
      <c r="BZ54" s="235">
        <v>99.590963786900119</v>
      </c>
      <c r="CA54" s="235">
        <v>98.510696772254562</v>
      </c>
      <c r="CB54" s="235">
        <v>758.40279925659274</v>
      </c>
      <c r="CC54" s="235">
        <v>299.20627866813044</v>
      </c>
      <c r="CD54" s="218">
        <f>MATCH(MIN(Таблица1[[#This Row],[1 ДА Мах]:[7_ДА_Мах]]),Таблица1[[#This Row],[1 ДА Мах]:[7_ДА_Мах]],0)</f>
        <v>3</v>
      </c>
      <c r="CE54" s="219">
        <f>IF(Таблица1[[#This Row],[ДА_Мах_Итог]]=Таблица1[[#This Row],[Train]],1,0)</f>
        <v>0</v>
      </c>
      <c r="CF54" s="219">
        <f>IF(Таблица1[[#This Row],[ДА_Мах_Итог]]=Таблица1[[#This Row],[К-средних]],1,0)</f>
        <v>1</v>
      </c>
      <c r="CG54" s="236">
        <v>2.1760507365235521E-2</v>
      </c>
      <c r="CH54" s="236">
        <v>6.4577004556021096E-7</v>
      </c>
      <c r="CI54" s="236">
        <v>0.97823884686471896</v>
      </c>
      <c r="CJ54" s="236">
        <v>8.9227737100104214E-19</v>
      </c>
      <c r="CK54" s="236">
        <v>1.5313585255399951E-18</v>
      </c>
      <c r="CL54" s="236">
        <v>0</v>
      </c>
      <c r="CM54" s="236">
        <v>0</v>
      </c>
      <c r="CN54" s="218">
        <f>MATCH(MAX(Таблица1[[#This Row],[1_ДА_Ап]:[7_ДА_Ап]]),Таблица1[[#This Row],[1_ДА_Ап]:[7_ДА_Ап]],0)</f>
        <v>3</v>
      </c>
      <c r="CO54" s="219">
        <f>IF(Таблица1[[#This Row],[ПДАсВ Итог Копия]]=Таблица1[[#This Row],[Train]],1,0)</f>
        <v>0</v>
      </c>
      <c r="CP54" s="219">
        <f>IF(Таблица1[[#This Row],[ПДАсВ Итог Копия]]=Таблица1[[#This Row],[К-средних]],1,0)</f>
        <v>1</v>
      </c>
      <c r="CQ54" s="234" t="s">
        <v>2586</v>
      </c>
      <c r="CR54" s="234" t="s">
        <v>2588</v>
      </c>
      <c r="CS54" s="234" t="s">
        <v>2587</v>
      </c>
      <c r="CT54" s="234" t="s">
        <v>2589</v>
      </c>
      <c r="CU54" s="234" t="s">
        <v>2590</v>
      </c>
      <c r="CV54" s="234" t="s">
        <v>2591</v>
      </c>
      <c r="CW54" s="234" t="s">
        <v>2592</v>
      </c>
      <c r="CX54" s="234" t="str">
        <f>RIGHT(Таблица1[[#This Row],[ПДАсИ 1]],1)</f>
        <v>3</v>
      </c>
      <c r="CY54" s="212">
        <v>3</v>
      </c>
      <c r="CZ54" s="212">
        <f>IF(Таблица1[[#This Row],[ПДАсИ Итог Копия]]=Таблица1[[#This Row],[Train]],1,0)</f>
        <v>0</v>
      </c>
      <c r="DA54" s="212">
        <f>IF(Таблица1[[#This Row],[ПДАсИ Итог Копия]]=Таблица1[[#This Row],[К-средних]],1,0)</f>
        <v>1</v>
      </c>
      <c r="DB54" s="237">
        <v>13.685516912798262</v>
      </c>
      <c r="DC54" s="237">
        <v>26.885755674371147</v>
      </c>
      <c r="DD54" s="237">
        <v>9.3558745495715812</v>
      </c>
      <c r="DE54" s="237">
        <v>44.595770799051024</v>
      </c>
      <c r="DF54" s="237">
        <v>75.092506745772084</v>
      </c>
      <c r="DG54" s="237">
        <v>485.41158546498781</v>
      </c>
      <c r="DH54" s="237">
        <v>337.18334895219402</v>
      </c>
      <c r="DI54" s="224">
        <f>MATCH(MIN(Таблица1[[#This Row],[ПДАсИ Мах 1]:[ПДАсИ Мах 7]]),Таблица1[[#This Row],[ПДАсИ Мах 1]:[ПДАсИ Мах 7]],0)</f>
        <v>3</v>
      </c>
      <c r="DJ54" s="212">
        <f>IF(Таблица1[[#This Row],[ПДАсИ Мах Итог]]=Таблица1[[#This Row],[Train]],1,0)</f>
        <v>0</v>
      </c>
      <c r="DK54" s="212">
        <f>IF(Таблица1[[#This Row],[ПДАсИ Мах Итог]]=Таблица1[[#This Row],[К-средних]],1,0)</f>
        <v>1</v>
      </c>
      <c r="DL54" s="238">
        <v>6.4418241507582408E-2</v>
      </c>
      <c r="DM54" s="238">
        <v>1.1682940769015898E-4</v>
      </c>
      <c r="DN54" s="238">
        <v>0.93546492491784394</v>
      </c>
      <c r="DO54" s="238">
        <v>4.1668825754048548E-9</v>
      </c>
      <c r="DP54" s="238">
        <v>9.9432691009402935E-16</v>
      </c>
      <c r="DQ54" s="238">
        <v>0</v>
      </c>
      <c r="DR54" s="238">
        <v>0</v>
      </c>
      <c r="DS54" s="224">
        <f>MATCH(MAX(Таблица1[[#This Row],[ПДАсИ Ап 1]:[ПДАсИ Ап 7]]),Таблица1[[#This Row],[ПДАсИ Ап 1]:[ПДАсИ Ап 7]],0)</f>
        <v>3</v>
      </c>
      <c r="DT54" s="212">
        <f>IF(Таблица1[[#This Row],[ПДАсИ Ап Итог]]=Таблица1[[#This Row],[Train]],1,0)</f>
        <v>0</v>
      </c>
      <c r="DU54" s="212">
        <f>IF(Таблица1[[#This Row],[ПДАсИ Ап Итог]]=Таблица1[[#This Row],[К-средних]],1,0)</f>
        <v>1</v>
      </c>
    </row>
    <row r="55" spans="1:125" ht="13.8">
      <c r="A55" s="205" t="s">
        <v>325</v>
      </c>
      <c r="B55" s="319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320">
        <v>-0.80010272884675226</v>
      </c>
      <c r="K55" s="324">
        <v>0.89689255044671046</v>
      </c>
      <c r="L55" s="325">
        <v>-0.5564981783703693</v>
      </c>
      <c r="M55" s="328">
        <v>0.72360352045571408</v>
      </c>
      <c r="N55" s="310">
        <v>0.42567916949608603</v>
      </c>
      <c r="O55" s="329">
        <v>-0.23379402017105649</v>
      </c>
      <c r="P55" s="206">
        <v>5</v>
      </c>
      <c r="Q55" s="207">
        <v>5</v>
      </c>
      <c r="R55" s="206">
        <v>7</v>
      </c>
      <c r="S55" s="208">
        <v>1</v>
      </c>
      <c r="T55" s="271">
        <v>5</v>
      </c>
      <c r="U55" s="271">
        <v>4</v>
      </c>
      <c r="V55" s="272">
        <v>4</v>
      </c>
      <c r="W55" s="272">
        <v>2</v>
      </c>
      <c r="X55" s="312">
        <v>4</v>
      </c>
      <c r="Y55" s="313">
        <v>4</v>
      </c>
      <c r="Z55" s="271">
        <v>5</v>
      </c>
      <c r="AA55" s="314">
        <v>1</v>
      </c>
      <c r="AB55" s="314">
        <v>1</v>
      </c>
      <c r="AC55" s="314">
        <f>IF(Таблица1[[#This Row],[Train]]=Таблица1[[#This Row],[НС]],1,0)</f>
        <v>1</v>
      </c>
      <c r="AD55" s="314">
        <f>IF(Таблица1[[#This Row],[НС]]=Таблица1[[#This Row],[К-средних]],1,0)</f>
        <v>1</v>
      </c>
      <c r="AE55" s="208">
        <v>1</v>
      </c>
      <c r="AF55" s="209">
        <f>SUMXMY2(Таблица1[[#This Row],[X1]:[X9]],Таблица1[[#Totals],[X1]:[X9]])</f>
        <v>5.3837499680176437</v>
      </c>
      <c r="AG55" s="239" t="s">
        <v>2588</v>
      </c>
      <c r="AH55" s="239" t="s">
        <v>2586</v>
      </c>
      <c r="AI55" s="239" t="s">
        <v>2587</v>
      </c>
      <c r="AJ55" s="239" t="s">
        <v>2590</v>
      </c>
      <c r="AK55" s="239" t="s">
        <v>2589</v>
      </c>
      <c r="AL55" s="239" t="s">
        <v>2591</v>
      </c>
      <c r="AM55" s="239" t="s">
        <v>2592</v>
      </c>
      <c r="AN55" s="239" t="str">
        <f>RIGHT(Таблица1[[#This Row],[ДА1]],1)</f>
        <v>1</v>
      </c>
      <c r="AO55" s="214">
        <v>1</v>
      </c>
      <c r="AP55" s="213">
        <f>IF(Таблица1[[#This Row],[ДА Итог Копия]]=Таблица1[[#This Row],[Train]],1,0)</f>
        <v>1</v>
      </c>
      <c r="AQ55" s="213">
        <f>IF(Таблица1[[#This Row],[ДА Итог Копия]]=Таблица1[[#This Row],[К-средних]],1,0)</f>
        <v>1</v>
      </c>
      <c r="AR55" s="216">
        <v>13.755221213753115</v>
      </c>
      <c r="AS55" s="216">
        <v>48.269445623064158</v>
      </c>
      <c r="AT55" s="216">
        <v>31.107448785173595</v>
      </c>
      <c r="AU55" s="216">
        <v>102.55983724547875</v>
      </c>
      <c r="AV55" s="216">
        <v>93.556732806298697</v>
      </c>
      <c r="AW55" s="216">
        <v>629.82008165501884</v>
      </c>
      <c r="AX55" s="217">
        <v>379.80882981050985</v>
      </c>
      <c r="AY55" s="218">
        <f>MATCH(MIN(Таблица1[[#This Row],[1 ДА Мах]:[7_ДА_Мах]]),Таблица1[[#This Row],[1 ДА Мах]:[7_ДА_Мах]],0)</f>
        <v>1</v>
      </c>
      <c r="AZ55" s="219">
        <f>IF(Таблица1[[#This Row],[ДА_Мах_Итог]]=Таблица1[[#This Row],[Train]],1,0)</f>
        <v>1</v>
      </c>
      <c r="BA55" s="219">
        <f>IF(Таблица1[[#This Row],[ДА_Мах_Итог]]=Таблица1[[#This Row],[К-средних]],1,0)</f>
        <v>1</v>
      </c>
      <c r="BB55" s="220">
        <v>0.99971568347623607</v>
      </c>
      <c r="BC55" s="220">
        <v>4.2672357607949134E-8</v>
      </c>
      <c r="BD55" s="220">
        <v>2.8427385140620241E-4</v>
      </c>
      <c r="BE55" s="220">
        <v>1.7341150027667478E-20</v>
      </c>
      <c r="BF55" s="220">
        <v>1.563425476120841E-18</v>
      </c>
      <c r="BG55" s="220">
        <v>0</v>
      </c>
      <c r="BH55" s="220">
        <v>0</v>
      </c>
      <c r="BI55" s="218">
        <f>MATCH(MAX(Таблица1[[#This Row],[1_ДА_Ап]:[7_ДА_Ап]]),Таблица1[[#This Row],[1_ДА_Ап]:[7_ДА_Ап]],0)</f>
        <v>1</v>
      </c>
      <c r="BJ55" s="219">
        <f>IF(Таблица1[[#This Row],[ДА_Ап_Итог]]=Таблица1[[#This Row],[Train]],1,0)</f>
        <v>1</v>
      </c>
      <c r="BK55" s="219">
        <f>IF(Таблица1[[#This Row],[ДА_Ап_Итог]]=Таблица1[[#This Row],[К-средних]],1,0)</f>
        <v>1</v>
      </c>
      <c r="BL55" s="234" t="s">
        <v>2588</v>
      </c>
      <c r="BM55" s="234" t="s">
        <v>2586</v>
      </c>
      <c r="BN55" s="234" t="s">
        <v>2587</v>
      </c>
      <c r="BO55" s="234" t="s">
        <v>2590</v>
      </c>
      <c r="BP55" s="234" t="s">
        <v>2589</v>
      </c>
      <c r="BQ55" s="234" t="s">
        <v>2591</v>
      </c>
      <c r="BR55" s="234" t="s">
        <v>2592</v>
      </c>
      <c r="BS55" s="234" t="str">
        <f>RIGHT(Таблица1[[#This Row],[ПДАсВ 1]],1)</f>
        <v>1</v>
      </c>
      <c r="BT55" s="227">
        <v>1</v>
      </c>
      <c r="BU55" s="212">
        <f>IF(Таблица1[[#This Row],[ПДАсВ Итог Копия]]=Таблица1[[#This Row],[Train]],1,0)</f>
        <v>1</v>
      </c>
      <c r="BV55" s="212">
        <f>IF(Таблица1[[#This Row],[ПДАсВ Итог Копия]]=Таблица1[[#This Row],[К-средних]],1,0)</f>
        <v>1</v>
      </c>
      <c r="BW55" s="235">
        <v>10.332798167265793</v>
      </c>
      <c r="BX55" s="235">
        <v>34.360673500528186</v>
      </c>
      <c r="BY55" s="235">
        <v>25.636615454524037</v>
      </c>
      <c r="BZ55" s="235">
        <v>91.692856074673273</v>
      </c>
      <c r="CA55" s="235">
        <v>69.563506276906836</v>
      </c>
      <c r="CB55" s="235">
        <v>603.26757887334088</v>
      </c>
      <c r="CC55" s="235">
        <v>296.11537993375447</v>
      </c>
      <c r="CD55" s="218">
        <f>MATCH(MIN(Таблица1[[#This Row],[1 ДА Мах]:[7_ДА_Мах]]),Таблица1[[#This Row],[1 ДА Мах]:[7_ДА_Мах]],0)</f>
        <v>1</v>
      </c>
      <c r="CE55" s="219">
        <f>IF(Таблица1[[#This Row],[ДА_Мах_Итог]]=Таблица1[[#This Row],[Train]],1,0)</f>
        <v>1</v>
      </c>
      <c r="CF55" s="219">
        <f>IF(Таблица1[[#This Row],[ДА_Мах_Итог]]=Таблица1[[#This Row],[К-средних]],1,0)</f>
        <v>1</v>
      </c>
      <c r="CG55" s="236">
        <v>0.99920066655623152</v>
      </c>
      <c r="CH55" s="236">
        <v>8.0724361229919192E-6</v>
      </c>
      <c r="CI55" s="236">
        <v>7.9126100759973651E-4</v>
      </c>
      <c r="CJ55" s="236">
        <v>7.1683526438912253E-19</v>
      </c>
      <c r="CK55" s="236">
        <v>4.5787466585944558E-14</v>
      </c>
      <c r="CL55" s="236">
        <v>0</v>
      </c>
      <c r="CM55" s="236">
        <v>0</v>
      </c>
      <c r="CN55" s="218">
        <f>MATCH(MAX(Таблица1[[#This Row],[1_ДА_Ап]:[7_ДА_Ап]]),Таблица1[[#This Row],[1_ДА_Ап]:[7_ДА_Ап]],0)</f>
        <v>1</v>
      </c>
      <c r="CO55" s="219">
        <f>IF(Таблица1[[#This Row],[ПДАсВ Итог Копия]]=Таблица1[[#This Row],[Train]],1,0)</f>
        <v>1</v>
      </c>
      <c r="CP55" s="219">
        <f>IF(Таблица1[[#This Row],[ПДАсВ Итог Копия]]=Таблица1[[#This Row],[К-средних]],1,0)</f>
        <v>1</v>
      </c>
      <c r="CQ55" s="234" t="s">
        <v>2588</v>
      </c>
      <c r="CR55" s="234" t="s">
        <v>2586</v>
      </c>
      <c r="CS55" s="234" t="s">
        <v>2587</v>
      </c>
      <c r="CT55" s="234" t="s">
        <v>2589</v>
      </c>
      <c r="CU55" s="234" t="s">
        <v>2590</v>
      </c>
      <c r="CV55" s="234" t="s">
        <v>2591</v>
      </c>
      <c r="CW55" s="234" t="s">
        <v>2592</v>
      </c>
      <c r="CX55" s="234" t="str">
        <f>RIGHT(Таблица1[[#This Row],[ПДАсИ 1]],1)</f>
        <v>1</v>
      </c>
      <c r="CY55" s="212">
        <v>1</v>
      </c>
      <c r="CZ55" s="212">
        <f>IF(Таблица1[[#This Row],[ПДАсИ Итог Копия]]=Таблица1[[#This Row],[Train]],1,0)</f>
        <v>1</v>
      </c>
      <c r="DA55" s="212">
        <f>IF(Таблица1[[#This Row],[ПДАсИ Итог Копия]]=Таблица1[[#This Row],[К-средних]],1,0)</f>
        <v>1</v>
      </c>
      <c r="DB55" s="237">
        <v>8.0800432569020355</v>
      </c>
      <c r="DC55" s="237">
        <v>33.888503455774767</v>
      </c>
      <c r="DD55" s="237">
        <v>22.158366889770083</v>
      </c>
      <c r="DE55" s="237">
        <v>88.023045685590517</v>
      </c>
      <c r="DF55" s="237">
        <v>88.999493416976492</v>
      </c>
      <c r="DG55" s="237">
        <v>481.86069179353746</v>
      </c>
      <c r="DH55" s="237">
        <v>374.85070989868512</v>
      </c>
      <c r="DI55" s="224">
        <f>MATCH(MIN(Таблица1[[#This Row],[ПДАсИ Мах 1]:[ПДАсИ Мах 7]]),Таблица1[[#This Row],[ПДАсИ Мах 1]:[ПДАсИ Мах 7]],0)</f>
        <v>1</v>
      </c>
      <c r="DJ55" s="212">
        <f>IF(Таблица1[[#This Row],[ПДАсИ Мах Итог]]=Таблица1[[#This Row],[Train]],1,0)</f>
        <v>1</v>
      </c>
      <c r="DK55" s="212">
        <f>IF(Таблица1[[#This Row],[ПДАсИ Мах Итог]]=Таблица1[[#This Row],[К-средних]],1,0)</f>
        <v>1</v>
      </c>
      <c r="DL55" s="238">
        <v>0.99853739031136068</v>
      </c>
      <c r="DM55" s="238">
        <v>3.3118231906532156E-6</v>
      </c>
      <c r="DN55" s="238">
        <v>1.459297865448799E-3</v>
      </c>
      <c r="DO55" s="238">
        <v>1.4549252002428544E-18</v>
      </c>
      <c r="DP55" s="238">
        <v>8.9291009991703541E-19</v>
      </c>
      <c r="DQ55" s="238">
        <v>0</v>
      </c>
      <c r="DR55" s="238">
        <v>0</v>
      </c>
      <c r="DS55" s="224">
        <f>MATCH(MAX(Таблица1[[#This Row],[ПДАсИ Ап 1]:[ПДАсИ Ап 7]]),Таблица1[[#This Row],[ПДАсИ Ап 1]:[ПДАсИ Ап 7]],0)</f>
        <v>1</v>
      </c>
      <c r="DT55" s="212">
        <f>IF(Таблица1[[#This Row],[ПДАсИ Ап Итог]]=Таблица1[[#This Row],[Train]],1,0)</f>
        <v>1</v>
      </c>
      <c r="DU55" s="212">
        <f>IF(Таблица1[[#This Row],[ПДАсИ Ап Итог]]=Таблица1[[#This Row],[К-средних]],1,0)</f>
        <v>1</v>
      </c>
    </row>
    <row r="56" spans="1:125" ht="13.8">
      <c r="A56" s="205" t="s">
        <v>326</v>
      </c>
      <c r="B56" s="319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320">
        <v>-0.60797351380650311</v>
      </c>
      <c r="K56" s="324">
        <v>-0.74395023330978849</v>
      </c>
      <c r="L56" s="325">
        <v>-0.58694886640448163</v>
      </c>
      <c r="M56" s="328">
        <v>-0.83130362044232398</v>
      </c>
      <c r="N56" s="310">
        <v>0.37302540028538628</v>
      </c>
      <c r="O56" s="329">
        <v>0.41775327242882387</v>
      </c>
      <c r="P56" s="206">
        <v>4</v>
      </c>
      <c r="Q56" s="207">
        <v>5</v>
      </c>
      <c r="R56" s="206">
        <v>5</v>
      </c>
      <c r="S56" s="208">
        <v>4</v>
      </c>
      <c r="T56" s="271">
        <v>4</v>
      </c>
      <c r="U56" s="271">
        <v>6</v>
      </c>
      <c r="V56" s="272">
        <v>1</v>
      </c>
      <c r="W56" s="272">
        <v>1</v>
      </c>
      <c r="X56" s="312">
        <v>6</v>
      </c>
      <c r="Y56" s="313">
        <v>1</v>
      </c>
      <c r="Z56" s="271">
        <v>3</v>
      </c>
      <c r="AA56" s="314">
        <v>6</v>
      </c>
      <c r="AB56" s="314">
        <v>4</v>
      </c>
      <c r="AC56" s="314">
        <f>IF(Таблица1[[#This Row],[Train]]=Таблица1[[#This Row],[НС]],1,0)</f>
        <v>1</v>
      </c>
      <c r="AD56" s="314">
        <f>IF(Таблица1[[#This Row],[НС]]=Таблица1[[#This Row],[К-средних]],1,0)</f>
        <v>1</v>
      </c>
      <c r="AE56" s="208">
        <v>4</v>
      </c>
      <c r="AF56" s="209">
        <f>SUMXMY2(Таблица1[[#This Row],[X1]:[X9]],Таблица1[[#Totals],[X1]:[X9]])</f>
        <v>6.5946273189049505</v>
      </c>
      <c r="AG56" s="239" t="s">
        <v>2589</v>
      </c>
      <c r="AH56" s="239" t="s">
        <v>2586</v>
      </c>
      <c r="AI56" s="239" t="s">
        <v>2590</v>
      </c>
      <c r="AJ56" s="239" t="s">
        <v>2587</v>
      </c>
      <c r="AK56" s="239" t="s">
        <v>2588</v>
      </c>
      <c r="AL56" s="239" t="s">
        <v>2591</v>
      </c>
      <c r="AM56" s="239" t="s">
        <v>2592</v>
      </c>
      <c r="AN56" s="239" t="str">
        <f>RIGHT(Таблица1[[#This Row],[ДА1]],1)</f>
        <v>4</v>
      </c>
      <c r="AO56" s="214">
        <v>4</v>
      </c>
      <c r="AP56" s="213">
        <f>IF(Таблица1[[#This Row],[ДА Итог Копия]]=Таблица1[[#This Row],[Train]],1,0)</f>
        <v>1</v>
      </c>
      <c r="AQ56" s="213">
        <f>IF(Таблица1[[#This Row],[ДА Итог Копия]]=Таблица1[[#This Row],[К-средних]],1,0)</f>
        <v>1</v>
      </c>
      <c r="AR56" s="216">
        <v>91.528978128138931</v>
      </c>
      <c r="AS56" s="216">
        <v>88.710567341213846</v>
      </c>
      <c r="AT56" s="216">
        <v>69.383521313603339</v>
      </c>
      <c r="AU56" s="216">
        <v>3.9320495836273608</v>
      </c>
      <c r="AV56" s="216">
        <v>76.636907368457628</v>
      </c>
      <c r="AW56" s="216">
        <v>615.76843133941782</v>
      </c>
      <c r="AX56" s="217">
        <v>296.36314581514443</v>
      </c>
      <c r="AY56" s="218">
        <f>MATCH(MIN(Таблица1[[#This Row],[1 ДА Мах]:[7_ДА_Мах]]),Таблица1[[#This Row],[1 ДА Мах]:[7_ДА_Мах]],0)</f>
        <v>4</v>
      </c>
      <c r="AZ56" s="219">
        <f>IF(Таблица1[[#This Row],[ДА_Мах_Итог]]=Таблица1[[#This Row],[Train]],1,0)</f>
        <v>1</v>
      </c>
      <c r="BA56" s="219">
        <f>IF(Таблица1[[#This Row],[ДА_Мах_Итог]]=Таблица1[[#This Row],[К-средних]],1,0)</f>
        <v>1</v>
      </c>
      <c r="BB56" s="220">
        <v>2.8555508973892571E-19</v>
      </c>
      <c r="BC56" s="220">
        <v>1.558255858271547E-18</v>
      </c>
      <c r="BD56" s="220">
        <v>3.0645273520688063E-14</v>
      </c>
      <c r="BE56" s="220">
        <v>0.99999999999996914</v>
      </c>
      <c r="BF56" s="220">
        <v>1.6305748078206686E-16</v>
      </c>
      <c r="BG56" s="220">
        <v>0</v>
      </c>
      <c r="BH56" s="220">
        <v>0</v>
      </c>
      <c r="BI56" s="218">
        <f>MATCH(MAX(Таблица1[[#This Row],[1_ДА_Ап]:[7_ДА_Ап]]),Таблица1[[#This Row],[1_ДА_Ап]:[7_ДА_Ап]],0)</f>
        <v>4</v>
      </c>
      <c r="BJ56" s="219">
        <f>IF(Таблица1[[#This Row],[ДА_Ап_Итог]]=Таблица1[[#This Row],[Train]],1,0)</f>
        <v>1</v>
      </c>
      <c r="BK56" s="219">
        <f>IF(Таблица1[[#This Row],[ДА_Ап_Итог]]=Таблица1[[#This Row],[К-средних]],1,0)</f>
        <v>1</v>
      </c>
      <c r="BL56" s="234" t="s">
        <v>2589</v>
      </c>
      <c r="BM56" s="234" t="s">
        <v>2590</v>
      </c>
      <c r="BN56" s="234" t="s">
        <v>2586</v>
      </c>
      <c r="BO56" s="234" t="s">
        <v>2587</v>
      </c>
      <c r="BP56" s="234" t="s">
        <v>2588</v>
      </c>
      <c r="BQ56" s="234" t="s">
        <v>2591</v>
      </c>
      <c r="BR56" s="234" t="s">
        <v>2592</v>
      </c>
      <c r="BS56" s="234" t="str">
        <f>RIGHT(Таблица1[[#This Row],[ПДАсВ 1]],1)</f>
        <v>4</v>
      </c>
      <c r="BT56" s="227">
        <v>4</v>
      </c>
      <c r="BU56" s="212">
        <f>IF(Таблица1[[#This Row],[ПДАсВ Итог Копия]]=Таблица1[[#This Row],[Train]],1,0)</f>
        <v>1</v>
      </c>
      <c r="BV56" s="212">
        <f>IF(Таблица1[[#This Row],[ПДАсВ Итог Копия]]=Таблица1[[#This Row],[К-средних]],1,0)</f>
        <v>1</v>
      </c>
      <c r="BW56" s="235">
        <v>78.281965445819353</v>
      </c>
      <c r="BX56" s="235">
        <v>70.025589741628181</v>
      </c>
      <c r="BY56" s="235">
        <v>65.23281501125274</v>
      </c>
      <c r="BZ56" s="235">
        <v>3.5771045074124199</v>
      </c>
      <c r="CA56" s="235">
        <v>27.058366279181232</v>
      </c>
      <c r="CB56" s="235">
        <v>586.69829954404861</v>
      </c>
      <c r="CC56" s="235">
        <v>220.76352260639072</v>
      </c>
      <c r="CD56" s="218">
        <f>MATCH(MIN(Таблица1[[#This Row],[1 ДА Мах]:[7_ДА_Мах]]),Таблица1[[#This Row],[1 ДА Мах]:[7_ДА_Мах]],0)</f>
        <v>4</v>
      </c>
      <c r="CE56" s="219">
        <f>IF(Таблица1[[#This Row],[ДА_Мах_Итог]]=Таблица1[[#This Row],[Train]],1,0)</f>
        <v>1</v>
      </c>
      <c r="CF56" s="219">
        <f>IF(Таблица1[[#This Row],[ДА_Мах_Итог]]=Таблица1[[#This Row],[К-средних]],1,0)</f>
        <v>1</v>
      </c>
      <c r="CG56" s="236">
        <v>1.7995476788803484E-16</v>
      </c>
      <c r="CH56" s="236">
        <v>1.4891940720360873E-14</v>
      </c>
      <c r="CI56" s="236">
        <v>2.0445565211009224E-13</v>
      </c>
      <c r="CJ56" s="236">
        <v>0.99999203647503931</v>
      </c>
      <c r="CK56" s="236">
        <v>7.9635247411477284E-6</v>
      </c>
      <c r="CL56" s="236">
        <v>0</v>
      </c>
      <c r="CM56" s="236">
        <v>0</v>
      </c>
      <c r="CN56" s="218">
        <f>MATCH(MAX(Таблица1[[#This Row],[1_ДА_Ап]:[7_ДА_Ап]]),Таблица1[[#This Row],[1_ДА_Ап]:[7_ДА_Ап]],0)</f>
        <v>4</v>
      </c>
      <c r="CO56" s="219">
        <f>IF(Таблица1[[#This Row],[ПДАсВ Итог Копия]]=Таблица1[[#This Row],[Train]],1,0)</f>
        <v>1</v>
      </c>
      <c r="CP56" s="219">
        <f>IF(Таблица1[[#This Row],[ПДАсВ Итог Копия]]=Таблица1[[#This Row],[К-средних]],1,0)</f>
        <v>1</v>
      </c>
      <c r="CQ56" s="234" t="s">
        <v>2589</v>
      </c>
      <c r="CR56" s="234" t="s">
        <v>2586</v>
      </c>
      <c r="CS56" s="234" t="s">
        <v>2590</v>
      </c>
      <c r="CT56" s="234" t="s">
        <v>2587</v>
      </c>
      <c r="CU56" s="234" t="s">
        <v>2588</v>
      </c>
      <c r="CV56" s="234" t="s">
        <v>2591</v>
      </c>
      <c r="CW56" s="234" t="s">
        <v>2592</v>
      </c>
      <c r="CX56" s="234" t="str">
        <f>RIGHT(Таблица1[[#This Row],[ПДАсИ 1]],1)</f>
        <v>4</v>
      </c>
      <c r="CY56" s="212">
        <v>4</v>
      </c>
      <c r="CZ56" s="212">
        <f>IF(Таблица1[[#This Row],[ПДАсИ Итог Копия]]=Таблица1[[#This Row],[Train]],1,0)</f>
        <v>1</v>
      </c>
      <c r="DA56" s="212">
        <f>IF(Таблица1[[#This Row],[ПДАсИ Итог Копия]]=Таблица1[[#This Row],[К-средних]],1,0)</f>
        <v>1</v>
      </c>
      <c r="DB56" s="237">
        <v>65.712798820128214</v>
      </c>
      <c r="DC56" s="237">
        <v>62.638624189562194</v>
      </c>
      <c r="DD56" s="237">
        <v>48.518742460449147</v>
      </c>
      <c r="DE56" s="237">
        <v>3.89289908799643</v>
      </c>
      <c r="DF56" s="237">
        <v>53.497068007188538</v>
      </c>
      <c r="DG56" s="237">
        <v>514.96201190813372</v>
      </c>
      <c r="DH56" s="237">
        <v>290.57996573202053</v>
      </c>
      <c r="DI56" s="224">
        <f>MATCH(MIN(Таблица1[[#This Row],[ПДАсИ Мах 1]:[ПДАсИ Мах 7]]),Таблица1[[#This Row],[ПДАсИ Мах 1]:[ПДАсИ Мах 7]],0)</f>
        <v>4</v>
      </c>
      <c r="DJ56" s="212">
        <f>IF(Таблица1[[#This Row],[ПДАсИ Мах Итог]]=Таблица1[[#This Row],[Train]],1,0)</f>
        <v>1</v>
      </c>
      <c r="DK56" s="212">
        <f>IF(Таблица1[[#This Row],[ПДАсИ Мах Итог]]=Таблица1[[#This Row],[К-средних]],1,0)</f>
        <v>1</v>
      </c>
      <c r="DL56" s="238">
        <v>1.1300576289414748E-13</v>
      </c>
      <c r="DM56" s="238">
        <v>7.0078995381513425E-13</v>
      </c>
      <c r="DN56" s="238">
        <v>1.019979023732351E-9</v>
      </c>
      <c r="DO56" s="238">
        <v>0.99999999896227987</v>
      </c>
      <c r="DP56" s="238">
        <v>1.6927451535233796E-11</v>
      </c>
      <c r="DQ56" s="238">
        <v>0</v>
      </c>
      <c r="DR56" s="238">
        <v>0</v>
      </c>
      <c r="DS56" s="224">
        <f>MATCH(MAX(Таблица1[[#This Row],[ПДАсИ Ап 1]:[ПДАсИ Ап 7]]),Таблица1[[#This Row],[ПДАсИ Ап 1]:[ПДАсИ Ап 7]],0)</f>
        <v>4</v>
      </c>
      <c r="DT56" s="212">
        <f>IF(Таблица1[[#This Row],[ПДАсИ Ап Итог]]=Таблица1[[#This Row],[Train]],1,0)</f>
        <v>1</v>
      </c>
      <c r="DU56" s="212">
        <f>IF(Таблица1[[#This Row],[ПДАсИ Ап Итог]]=Таблица1[[#This Row],[К-средних]],1,0)</f>
        <v>1</v>
      </c>
    </row>
    <row r="57" spans="1:125" ht="13.8">
      <c r="A57" s="205" t="s">
        <v>327</v>
      </c>
      <c r="B57" s="319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320">
        <v>0.8894144954754396</v>
      </c>
      <c r="K57" s="324">
        <v>0.79789907308724883</v>
      </c>
      <c r="L57" s="325">
        <v>0.16747489543875849</v>
      </c>
      <c r="M57" s="328">
        <v>0.32878432136274804</v>
      </c>
      <c r="N57" s="310">
        <v>0.16594011374847481</v>
      </c>
      <c r="O57" s="329">
        <v>-3.2992028222645775</v>
      </c>
      <c r="P57" s="206">
        <v>1</v>
      </c>
      <c r="Q57" s="207">
        <v>1</v>
      </c>
      <c r="R57" s="206">
        <v>6</v>
      </c>
      <c r="S57" s="208">
        <v>5</v>
      </c>
      <c r="T57" s="271">
        <v>5</v>
      </c>
      <c r="U57" s="271">
        <v>5</v>
      </c>
      <c r="V57" s="272">
        <v>4</v>
      </c>
      <c r="W57" s="272">
        <v>4</v>
      </c>
      <c r="X57" s="312">
        <v>5</v>
      </c>
      <c r="Y57" s="313">
        <v>6</v>
      </c>
      <c r="Z57" s="271">
        <v>5</v>
      </c>
      <c r="AA57" s="314">
        <v>1</v>
      </c>
      <c r="AB57" s="343">
        <v>1</v>
      </c>
      <c r="AC57" s="343">
        <f>IF(Таблица1[[#This Row],[Train]]=Таблица1[[#This Row],[НС]],1,0)</f>
        <v>0</v>
      </c>
      <c r="AD57" s="343">
        <f>IF(Таблица1[[#This Row],[НС]]=Таблица1[[#This Row],[К-средних]],1,0)</f>
        <v>0</v>
      </c>
      <c r="AE57" s="208"/>
      <c r="AF57" s="209">
        <f>SUMXMY2(Таблица1[[#This Row],[X1]:[X9]],Таблица1[[#Totals],[X1]:[X9]])</f>
        <v>41.830190201725372</v>
      </c>
      <c r="AG57" s="239" t="s">
        <v>2592</v>
      </c>
      <c r="AH57" s="239" t="s">
        <v>2589</v>
      </c>
      <c r="AI57" s="239" t="s">
        <v>2588</v>
      </c>
      <c r="AJ57" s="239" t="s">
        <v>2587</v>
      </c>
      <c r="AK57" s="239" t="s">
        <v>2590</v>
      </c>
      <c r="AL57" s="239" t="s">
        <v>2586</v>
      </c>
      <c r="AM57" s="239" t="s">
        <v>2591</v>
      </c>
      <c r="AN57" s="239" t="str">
        <f>RIGHT(Таблица1[[#This Row],[ДА1]],1)</f>
        <v>7</v>
      </c>
      <c r="AO57" s="214">
        <v>7</v>
      </c>
      <c r="AP57" s="213">
        <f>IF(Таблица1[[#This Row],[ДА Итог Копия]]=Таблица1[[#This Row],[Train]],1,0)</f>
        <v>0</v>
      </c>
      <c r="AQ57" s="213">
        <f>IF(Таблица1[[#This Row],[ДА Итог Копия]]=Таблица1[[#This Row],[К-средних]],1,0)</f>
        <v>0</v>
      </c>
      <c r="AR57" s="216">
        <v>363.66523278230602</v>
      </c>
      <c r="AS57" s="216">
        <v>376.19018673999648</v>
      </c>
      <c r="AT57" s="216">
        <v>439.71752608936043</v>
      </c>
      <c r="AU57" s="216">
        <v>351.8703490227212</v>
      </c>
      <c r="AV57" s="216">
        <v>385.76274928865007</v>
      </c>
      <c r="AW57" s="216">
        <v>692.95174903084205</v>
      </c>
      <c r="AX57" s="217">
        <v>278.87033656980469</v>
      </c>
      <c r="AY57" s="218">
        <f>MATCH(MIN(Таблица1[[#This Row],[1 ДА Мах]:[7_ДА_Мах]]),Таблица1[[#This Row],[1 ДА Мах]:[7_ДА_Мах]],0)</f>
        <v>7</v>
      </c>
      <c r="AZ57" s="219">
        <f>IF(Таблица1[[#This Row],[ДА_Мах_Итог]]=Таблица1[[#This Row],[Train]],1,0)</f>
        <v>0</v>
      </c>
      <c r="BA57" s="219">
        <f>IF(Таблица1[[#This Row],[ДА_Мах_Итог]]=Таблица1[[#This Row],[К-средних]],1,0)</f>
        <v>0</v>
      </c>
      <c r="BB57" s="220">
        <v>1.1591602914563788E-18</v>
      </c>
      <c r="BC57" s="220">
        <v>2.9466125690668699E-21</v>
      </c>
      <c r="BD57" s="220">
        <v>0</v>
      </c>
      <c r="BE57" s="220">
        <v>1.4068529527076961E-16</v>
      </c>
      <c r="BF57" s="220">
        <v>6.1462114796690499E-24</v>
      </c>
      <c r="BG57" s="220">
        <v>0</v>
      </c>
      <c r="BH57" s="220">
        <v>0.99999999999999978</v>
      </c>
      <c r="BI57" s="218">
        <f>MATCH(MAX(Таблица1[[#This Row],[1_ДА_Ап]:[7_ДА_Ап]]),Таблица1[[#This Row],[1_ДА_Ап]:[7_ДА_Ап]],0)</f>
        <v>7</v>
      </c>
      <c r="BJ57" s="219">
        <f>IF(Таблица1[[#This Row],[ДА_Ап_Итог]]=Таблица1[[#This Row],[Train]],1,0)</f>
        <v>0</v>
      </c>
      <c r="BK57" s="219">
        <f>IF(Таблица1[[#This Row],[ДА_Ап_Итог]]=Таблица1[[#This Row],[К-средних]],1,0)</f>
        <v>0</v>
      </c>
      <c r="BL57" s="234" t="s">
        <v>2592</v>
      </c>
      <c r="BM57" s="234" t="s">
        <v>2589</v>
      </c>
      <c r="BN57" s="234" t="s">
        <v>2588</v>
      </c>
      <c r="BO57" s="234" t="s">
        <v>2587</v>
      </c>
      <c r="BP57" s="234" t="s">
        <v>2586</v>
      </c>
      <c r="BQ57" s="234" t="s">
        <v>2590</v>
      </c>
      <c r="BR57" s="234" t="s">
        <v>2591</v>
      </c>
      <c r="BS57" s="234" t="str">
        <f>RIGHT(Таблица1[[#This Row],[ПДАсВ 1]],1)</f>
        <v>7</v>
      </c>
      <c r="BT57" s="227">
        <v>7</v>
      </c>
      <c r="BU57" s="212">
        <f>IF(Таблица1[[#This Row],[ПДАсВ Итог Копия]]=Таблица1[[#This Row],[Train]],1,0)</f>
        <v>0</v>
      </c>
      <c r="BV57" s="212">
        <f>IF(Таблица1[[#This Row],[ПДАсВ Итог Копия]]=Таблица1[[#This Row],[К-средних]],1,0)</f>
        <v>0</v>
      </c>
      <c r="BW57" s="235">
        <v>260.75319583603169</v>
      </c>
      <c r="BX57" s="235">
        <v>253.95299773117856</v>
      </c>
      <c r="BY57" s="235">
        <v>307.85708930664458</v>
      </c>
      <c r="BZ57" s="235">
        <v>186.72553750503789</v>
      </c>
      <c r="CA57" s="235">
        <v>287.36255121110599</v>
      </c>
      <c r="CB57" s="235">
        <v>530.15911357107586</v>
      </c>
      <c r="CC57" s="235">
        <v>88.085430806886038</v>
      </c>
      <c r="CD57" s="218">
        <f>MATCH(MIN(Таблица1[[#This Row],[1 ДА Мах]:[7_ДА_Мах]]),Таблица1[[#This Row],[1 ДА Мах]:[7_ДА_Мах]],0)</f>
        <v>7</v>
      </c>
      <c r="CE57" s="219">
        <f>IF(Таблица1[[#This Row],[ДА_Мах_Итог]]=Таблица1[[#This Row],[Train]],1,0)</f>
        <v>0</v>
      </c>
      <c r="CF57" s="219">
        <f>IF(Таблица1[[#This Row],[ДА_Мах_Итог]]=Таблица1[[#This Row],[К-средних]],1,0)</f>
        <v>0</v>
      </c>
      <c r="CG57" s="236">
        <v>0</v>
      </c>
      <c r="CH57" s="236">
        <v>0</v>
      </c>
      <c r="CI57" s="236">
        <v>0</v>
      </c>
      <c r="CJ57" s="236">
        <v>3.8069132752159019E-22</v>
      </c>
      <c r="CK57" s="236">
        <v>0</v>
      </c>
      <c r="CL57" s="236">
        <v>0</v>
      </c>
      <c r="CM57" s="236">
        <v>1</v>
      </c>
      <c r="CN57" s="218">
        <f>MATCH(MAX(Таблица1[[#This Row],[1_ДА_Ап]:[7_ДА_Ап]]),Таблица1[[#This Row],[1_ДА_Ап]:[7_ДА_Ап]],0)</f>
        <v>7</v>
      </c>
      <c r="CO57" s="219">
        <f>IF(Таблица1[[#This Row],[ПДАсВ Итог Копия]]=Таблица1[[#This Row],[Train]],1,0)</f>
        <v>0</v>
      </c>
      <c r="CP57" s="219">
        <f>IF(Таблица1[[#This Row],[ПДАсВ Итог Копия]]=Таблица1[[#This Row],[К-средних]],1,0)</f>
        <v>0</v>
      </c>
      <c r="CQ57" s="234" t="s">
        <v>2592</v>
      </c>
      <c r="CR57" s="234" t="s">
        <v>2589</v>
      </c>
      <c r="CS57" s="234" t="s">
        <v>2588</v>
      </c>
      <c r="CT57" s="234" t="s">
        <v>2587</v>
      </c>
      <c r="CU57" s="234" t="s">
        <v>2586</v>
      </c>
      <c r="CV57" s="234" t="s">
        <v>2590</v>
      </c>
      <c r="CW57" s="234" t="s">
        <v>2591</v>
      </c>
      <c r="CX57" s="234" t="str">
        <f>RIGHT(Таблица1[[#This Row],[ПДАсИ 1]],1)</f>
        <v>7</v>
      </c>
      <c r="CY57" s="212">
        <v>7</v>
      </c>
      <c r="CZ57" s="212">
        <f>IF(Таблица1[[#This Row],[ПДАсИ Итог Копия]]=Таблица1[[#This Row],[Train]],1,0)</f>
        <v>0</v>
      </c>
      <c r="DA57" s="212">
        <f>IF(Таблица1[[#This Row],[ПДАсИ Итог Копия]]=Таблица1[[#This Row],[К-средних]],1,0)</f>
        <v>0</v>
      </c>
      <c r="DB57" s="237">
        <v>170.74806038310322</v>
      </c>
      <c r="DC57" s="237">
        <v>179.95309926009776</v>
      </c>
      <c r="DD57" s="237">
        <v>209.18009553712773</v>
      </c>
      <c r="DE57" s="237">
        <v>154.05687270711371</v>
      </c>
      <c r="DF57" s="237">
        <v>274.22704265946606</v>
      </c>
      <c r="DG57" s="237">
        <v>538.94574101603962</v>
      </c>
      <c r="DH57" s="237">
        <v>109.42413440415386</v>
      </c>
      <c r="DI57" s="224">
        <f>MATCH(MIN(Таблица1[[#This Row],[ПДАсИ Мах 1]:[ПДАсИ Мах 7]]),Таблица1[[#This Row],[ПДАсИ Мах 1]:[ПДАсИ Мах 7]],0)</f>
        <v>7</v>
      </c>
      <c r="DJ57" s="212">
        <f>IF(Таблица1[[#This Row],[ПДАсИ Мах Итог]]=Таблица1[[#This Row],[Train]],1,0)</f>
        <v>0</v>
      </c>
      <c r="DK57" s="212">
        <f>IF(Таблица1[[#This Row],[ПДАсИ Мах Итог]]=Таблица1[[#This Row],[К-средних]],1,0)</f>
        <v>0</v>
      </c>
      <c r="DL57" s="238">
        <v>1.4481045695738808E-13</v>
      </c>
      <c r="DM57" s="238">
        <v>1.9359309615365489E-15</v>
      </c>
      <c r="DN57" s="238">
        <v>1.0895276989460906E-21</v>
      </c>
      <c r="DO57" s="238">
        <v>2.0329374732224754E-10</v>
      </c>
      <c r="DP57" s="238">
        <v>0</v>
      </c>
      <c r="DQ57" s="238">
        <v>0</v>
      </c>
      <c r="DR57" s="238">
        <v>0.9999999997965594</v>
      </c>
      <c r="DS57" s="224">
        <f>MATCH(MAX(Таблица1[[#This Row],[ПДАсИ Ап 1]:[ПДАсИ Ап 7]]),Таблица1[[#This Row],[ПДАсИ Ап 1]:[ПДАсИ Ап 7]],0)</f>
        <v>7</v>
      </c>
      <c r="DT57" s="212">
        <f>IF(Таблица1[[#This Row],[ПДАсИ Ап Итог]]=Таблица1[[#This Row],[Train]],1,0)</f>
        <v>0</v>
      </c>
      <c r="DU57" s="212">
        <f>IF(Таблица1[[#This Row],[ПДАсИ Ап Итог]]=Таблица1[[#This Row],[К-средних]],1,0)</f>
        <v>0</v>
      </c>
    </row>
    <row r="58" spans="1:125" ht="13.8">
      <c r="A58" s="205" t="s">
        <v>328</v>
      </c>
      <c r="B58" s="319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320">
        <v>-0.5195330814863881</v>
      </c>
      <c r="K58" s="324">
        <v>0.72322600461361142</v>
      </c>
      <c r="L58" s="325">
        <v>-0.8604536477137229</v>
      </c>
      <c r="M58" s="328">
        <v>0.69538334571736382</v>
      </c>
      <c r="N58" s="310">
        <v>0.80120068777524844</v>
      </c>
      <c r="O58" s="329">
        <v>1.1851070652493123</v>
      </c>
      <c r="P58" s="206">
        <v>5</v>
      </c>
      <c r="Q58" s="207">
        <v>3</v>
      </c>
      <c r="R58" s="206">
        <v>7</v>
      </c>
      <c r="S58" s="208">
        <v>1</v>
      </c>
      <c r="T58" s="271">
        <v>5</v>
      </c>
      <c r="U58" s="271">
        <v>3</v>
      </c>
      <c r="V58" s="272">
        <v>4</v>
      </c>
      <c r="W58" s="272">
        <v>7</v>
      </c>
      <c r="X58" s="312">
        <v>1</v>
      </c>
      <c r="Y58" s="313">
        <v>3</v>
      </c>
      <c r="Z58" s="271">
        <v>5</v>
      </c>
      <c r="AA58" s="314">
        <v>5</v>
      </c>
      <c r="AB58" s="343">
        <v>3</v>
      </c>
      <c r="AC58" s="343">
        <f>IF(Таблица1[[#This Row],[Train]]=Таблица1[[#This Row],[НС]],1,0)</f>
        <v>0</v>
      </c>
      <c r="AD58" s="343">
        <f>IF(Таблица1[[#This Row],[НС]]=Таблица1[[#This Row],[К-средних]],1,0)</f>
        <v>0</v>
      </c>
      <c r="AE58" s="208"/>
      <c r="AF58" s="209">
        <f>SUMXMY2(Таблица1[[#This Row],[X1]:[X9]],Таблица1[[#Totals],[X1]:[X9]])</f>
        <v>7.8406854533706394</v>
      </c>
      <c r="AG58" s="239" t="s">
        <v>2586</v>
      </c>
      <c r="AH58" s="239" t="s">
        <v>2588</v>
      </c>
      <c r="AI58" s="239" t="s">
        <v>2587</v>
      </c>
      <c r="AJ58" s="239" t="s">
        <v>2589</v>
      </c>
      <c r="AK58" s="239" t="s">
        <v>2590</v>
      </c>
      <c r="AL58" s="239" t="s">
        <v>2591</v>
      </c>
      <c r="AM58" s="239" t="s">
        <v>2592</v>
      </c>
      <c r="AN58" s="239" t="str">
        <f>RIGHT(Таблица1[[#This Row],[ДА1]],1)</f>
        <v>3</v>
      </c>
      <c r="AO58" s="214">
        <v>3</v>
      </c>
      <c r="AP58" s="213">
        <f>IF(Таблица1[[#This Row],[ДА Итог Копия]]=Таблица1[[#This Row],[Train]],1,0)</f>
        <v>0</v>
      </c>
      <c r="AQ58" s="213">
        <f>IF(Таблица1[[#This Row],[ДА Итог Копия]]=Таблица1[[#This Row],[К-средних]],1,0)</f>
        <v>0</v>
      </c>
      <c r="AR58" s="216">
        <v>34.255170296684753</v>
      </c>
      <c r="AS58" s="216">
        <v>39.595647555986268</v>
      </c>
      <c r="AT58" s="216">
        <v>18.657037798043888</v>
      </c>
      <c r="AU58" s="216">
        <v>80.637125289855604</v>
      </c>
      <c r="AV58" s="216">
        <v>134.05215211784881</v>
      </c>
      <c r="AW58" s="216">
        <v>583.46519076914433</v>
      </c>
      <c r="AX58" s="217">
        <v>356.61685713049127</v>
      </c>
      <c r="AY58" s="218">
        <f>MATCH(MIN(Таблица1[[#This Row],[1 ДА Мах]:[7_ДА_Мах]]),Таблица1[[#This Row],[1 ДА Мах]:[7_ДА_Мах]],0)</f>
        <v>3</v>
      </c>
      <c r="AZ58" s="219">
        <f>IF(Таблица1[[#This Row],[ДА_Мах_Итог]]=Таблица1[[#This Row],[Train]],1,0)</f>
        <v>0</v>
      </c>
      <c r="BA58" s="219">
        <f>IF(Таблица1[[#This Row],[ДА_Мах_Итог]]=Таблица1[[#This Row],[К-средних]],1,0)</f>
        <v>0</v>
      </c>
      <c r="BB58" s="220">
        <v>2.4600452609263189E-4</v>
      </c>
      <c r="BC58" s="220">
        <v>2.2709727963017763E-5</v>
      </c>
      <c r="BD58" s="220">
        <v>0.99973128574593739</v>
      </c>
      <c r="BE58" s="220">
        <v>6.9519763510285434E-15</v>
      </c>
      <c r="BF58" s="220">
        <v>1.7505825095420592E-26</v>
      </c>
      <c r="BG58" s="220">
        <v>0</v>
      </c>
      <c r="BH58" s="220">
        <v>0</v>
      </c>
      <c r="BI58" s="218">
        <f>MATCH(MAX(Таблица1[[#This Row],[1_ДА_Ап]:[7_ДА_Ап]]),Таблица1[[#This Row],[1_ДА_Ап]:[7_ДА_Ап]],0)</f>
        <v>3</v>
      </c>
      <c r="BJ58" s="219">
        <f>IF(Таблица1[[#This Row],[ДА_Ап_Итог]]=Таблица1[[#This Row],[Train]],1,0)</f>
        <v>0</v>
      </c>
      <c r="BK58" s="219">
        <f>IF(Таблица1[[#This Row],[ДА_Ап_Итог]]=Таблица1[[#This Row],[К-средних]],1,0)</f>
        <v>0</v>
      </c>
      <c r="BL58" s="234" t="s">
        <v>2586</v>
      </c>
      <c r="BM58" s="234" t="s">
        <v>2588</v>
      </c>
      <c r="BN58" s="234" t="s">
        <v>2587</v>
      </c>
      <c r="BO58" s="234" t="s">
        <v>2590</v>
      </c>
      <c r="BP58" s="234" t="s">
        <v>2589</v>
      </c>
      <c r="BQ58" s="234" t="s">
        <v>2591</v>
      </c>
      <c r="BR58" s="234" t="s">
        <v>2592</v>
      </c>
      <c r="BS58" s="234" t="str">
        <f>RIGHT(Таблица1[[#This Row],[ПДАсВ 1]],1)</f>
        <v>3</v>
      </c>
      <c r="BT58" s="227">
        <v>3</v>
      </c>
      <c r="BU58" s="212">
        <f>IF(Таблица1[[#This Row],[ПДАсВ Итог Копия]]=Таблица1[[#This Row],[Train]],1,0)</f>
        <v>0</v>
      </c>
      <c r="BV58" s="212">
        <f>IF(Таблица1[[#This Row],[ПДАсВ Итог Копия]]=Таблица1[[#This Row],[К-средних]],1,0)</f>
        <v>0</v>
      </c>
      <c r="BW58" s="235">
        <v>7.0004065783465057</v>
      </c>
      <c r="BX58" s="235">
        <v>19.025571583408858</v>
      </c>
      <c r="BY58" s="235">
        <v>7.9385835286606534</v>
      </c>
      <c r="BZ58" s="235">
        <v>71.379000436093875</v>
      </c>
      <c r="CA58" s="235">
        <v>45.243337558547879</v>
      </c>
      <c r="CB58" s="235">
        <v>533.28915067399294</v>
      </c>
      <c r="CC58" s="235">
        <v>301.27418186550977</v>
      </c>
      <c r="CD58" s="218">
        <f>MATCH(MIN(Таблица1[[#This Row],[1 ДА Мах]:[7_ДА_Мах]]),Таблица1[[#This Row],[1 ДА Мах]:[7_ДА_Мах]],0)</f>
        <v>3</v>
      </c>
      <c r="CE58" s="219">
        <f>IF(Таблица1[[#This Row],[ДА_Мах_Итог]]=Таблица1[[#This Row],[Train]],1,0)</f>
        <v>0</v>
      </c>
      <c r="CF58" s="219">
        <f>IF(Таблица1[[#This Row],[ДА_Мах_Итог]]=Таблица1[[#This Row],[К-средних]],1,0)</f>
        <v>0</v>
      </c>
      <c r="CG58" s="236">
        <v>0.4887862491581782</v>
      </c>
      <c r="CH58" s="236">
        <v>1.5952410375584074E-3</v>
      </c>
      <c r="CI58" s="236">
        <v>0.50961850899581607</v>
      </c>
      <c r="CJ58" s="236">
        <v>1.7075117161348276E-15</v>
      </c>
      <c r="CK58" s="236">
        <v>8.0844555322733621E-10</v>
      </c>
      <c r="CL58" s="236">
        <v>0</v>
      </c>
      <c r="CM58" s="236">
        <v>0</v>
      </c>
      <c r="CN58" s="218">
        <f>MATCH(MAX(Таблица1[[#This Row],[1_ДА_Ап]:[7_ДА_Ап]]),Таблица1[[#This Row],[1_ДА_Ап]:[7_ДА_Ап]],0)</f>
        <v>3</v>
      </c>
      <c r="CO58" s="219">
        <f>IF(Таблица1[[#This Row],[ПДАсВ Итог Копия]]=Таблица1[[#This Row],[Train]],1,0)</f>
        <v>0</v>
      </c>
      <c r="CP58" s="219">
        <f>IF(Таблица1[[#This Row],[ПДАсВ Итог Копия]]=Таблица1[[#This Row],[К-средних]],1,0)</f>
        <v>0</v>
      </c>
      <c r="CQ58" s="234" t="s">
        <v>2586</v>
      </c>
      <c r="CR58" s="234" t="s">
        <v>2588</v>
      </c>
      <c r="CS58" s="234" t="s">
        <v>2587</v>
      </c>
      <c r="CT58" s="234" t="s">
        <v>2589</v>
      </c>
      <c r="CU58" s="234" t="s">
        <v>2590</v>
      </c>
      <c r="CV58" s="234" t="s">
        <v>2591</v>
      </c>
      <c r="CW58" s="234" t="s">
        <v>2592</v>
      </c>
      <c r="CX58" s="234" t="str">
        <f>RIGHT(Таблица1[[#This Row],[ПДАсИ 1]],1)</f>
        <v>3</v>
      </c>
      <c r="CY58" s="212">
        <v>3</v>
      </c>
      <c r="CZ58" s="212">
        <f>IF(Таблица1[[#This Row],[ПДАсИ Итог Копия]]=Таблица1[[#This Row],[Train]],1,0)</f>
        <v>0</v>
      </c>
      <c r="DA58" s="212">
        <f>IF(Таблица1[[#This Row],[ПДАсИ Итог Копия]]=Таблица1[[#This Row],[К-средних]],1,0)</f>
        <v>0</v>
      </c>
      <c r="DB58" s="237">
        <v>20.226560696486271</v>
      </c>
      <c r="DC58" s="237">
        <v>28.489696531809972</v>
      </c>
      <c r="DD58" s="237">
        <v>12.619292696868145</v>
      </c>
      <c r="DE58" s="237">
        <v>62.556661237636831</v>
      </c>
      <c r="DF58" s="237">
        <v>95.669830308498646</v>
      </c>
      <c r="DG58" s="237">
        <v>413.06776453900386</v>
      </c>
      <c r="DH58" s="237">
        <v>331.04537119660569</v>
      </c>
      <c r="DI58" s="224">
        <f>MATCH(MIN(Таблица1[[#This Row],[ПДАсИ Мах 1]:[ПДАсИ Мах 7]]),Таблица1[[#This Row],[ПДАсИ Мах 1]:[ПДАсИ Мах 7]],0)</f>
        <v>3</v>
      </c>
      <c r="DJ58" s="212">
        <f>IF(Таблица1[[#This Row],[ПДАсИ Мах Итог]]=Таблица1[[#This Row],[Train]],1,0)</f>
        <v>0</v>
      </c>
      <c r="DK58" s="212">
        <f>IF(Таблица1[[#This Row],[ПДАсИ Мах Итог]]=Таблица1[[#This Row],[К-средних]],1,0)</f>
        <v>0</v>
      </c>
      <c r="DL58" s="238">
        <v>1.3193549072485563E-2</v>
      </c>
      <c r="DM58" s="238">
        <v>2.8247708641980328E-4</v>
      </c>
      <c r="DN58" s="238">
        <v>0.98652397383826729</v>
      </c>
      <c r="DO58" s="238">
        <v>2.8273256962220078E-12</v>
      </c>
      <c r="DP58" s="238">
        <v>1.8236543940208704E-19</v>
      </c>
      <c r="DQ58" s="238">
        <v>0</v>
      </c>
      <c r="DR58" s="238">
        <v>0</v>
      </c>
      <c r="DS58" s="224">
        <f>MATCH(MAX(Таблица1[[#This Row],[ПДАсИ Ап 1]:[ПДАсИ Ап 7]]),Таблица1[[#This Row],[ПДАсИ Ап 1]:[ПДАсИ Ап 7]],0)</f>
        <v>3</v>
      </c>
      <c r="DT58" s="212">
        <f>IF(Таблица1[[#This Row],[ПДАсИ Ап Итог]]=Таблица1[[#This Row],[Train]],1,0)</f>
        <v>0</v>
      </c>
      <c r="DU58" s="212">
        <f>IF(Таблица1[[#This Row],[ПДАсИ Ап Итог]]=Таблица1[[#This Row],[К-средних]],1,0)</f>
        <v>0</v>
      </c>
    </row>
    <row r="59" spans="1:125" ht="13.8">
      <c r="A59" s="205" t="s">
        <v>329</v>
      </c>
      <c r="B59" s="319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320">
        <v>1.5084975217162433</v>
      </c>
      <c r="K59" s="324">
        <v>7.375141447159872E-2</v>
      </c>
      <c r="L59" s="325">
        <v>1.4939118607635409</v>
      </c>
      <c r="M59" s="328">
        <v>-4.1812952993274949E-2</v>
      </c>
      <c r="N59" s="310">
        <v>-1.1663006981758934</v>
      </c>
      <c r="O59" s="329">
        <v>-0.47313941182818919</v>
      </c>
      <c r="P59" s="206">
        <v>4</v>
      </c>
      <c r="Q59" s="207">
        <v>5</v>
      </c>
      <c r="R59" s="206">
        <v>4</v>
      </c>
      <c r="S59" s="208">
        <v>2</v>
      </c>
      <c r="T59" s="271">
        <v>6</v>
      </c>
      <c r="U59" s="271">
        <v>7</v>
      </c>
      <c r="V59" s="272">
        <v>3</v>
      </c>
      <c r="W59" s="272">
        <v>6</v>
      </c>
      <c r="X59" s="312">
        <v>2</v>
      </c>
      <c r="Y59" s="313">
        <v>2</v>
      </c>
      <c r="Z59" s="271">
        <v>6</v>
      </c>
      <c r="AA59" s="314">
        <v>3</v>
      </c>
      <c r="AB59" s="343">
        <v>2</v>
      </c>
      <c r="AC59" s="343">
        <f>IF(Таблица1[[#This Row],[Train]]=Таблица1[[#This Row],[НС]],1,0)</f>
        <v>0</v>
      </c>
      <c r="AD59" s="343">
        <f>IF(Таблица1[[#This Row],[НС]]=Таблица1[[#This Row],[К-средних]],1,0)</f>
        <v>1</v>
      </c>
      <c r="AE59" s="208"/>
      <c r="AF59" s="209">
        <f>SUMXMY2(Таблица1[[#This Row],[X1]:[X9]],Таблица1[[#Totals],[X1]:[X9]])</f>
        <v>9.4853910169769833</v>
      </c>
      <c r="AG59" s="239" t="s">
        <v>2587</v>
      </c>
      <c r="AH59" s="239" t="s">
        <v>2586</v>
      </c>
      <c r="AI59" s="239" t="s">
        <v>2588</v>
      </c>
      <c r="AJ59" s="239" t="s">
        <v>2589</v>
      </c>
      <c r="AK59" s="239" t="s">
        <v>2590</v>
      </c>
      <c r="AL59" s="239" t="s">
        <v>2591</v>
      </c>
      <c r="AM59" s="239" t="s">
        <v>2592</v>
      </c>
      <c r="AN59" s="239" t="str">
        <f>RIGHT(Таблица1[[#This Row],[ДА1]],1)</f>
        <v>2</v>
      </c>
      <c r="AO59" s="214">
        <v>2</v>
      </c>
      <c r="AP59" s="213">
        <f>IF(Таблица1[[#This Row],[ДА Итог Копия]]=Таблица1[[#This Row],[Train]],1,0)</f>
        <v>0</v>
      </c>
      <c r="AQ59" s="213">
        <f>IF(Таблица1[[#This Row],[ДА Итог Копия]]=Таблица1[[#This Row],[К-средних]],1,0)</f>
        <v>1</v>
      </c>
      <c r="AR59" s="216">
        <v>113.07488015204503</v>
      </c>
      <c r="AS59" s="216">
        <v>65.389931401725889</v>
      </c>
      <c r="AT59" s="216">
        <v>108.57126578531442</v>
      </c>
      <c r="AU59" s="216">
        <v>113.31589797618328</v>
      </c>
      <c r="AV59" s="216">
        <v>206.4667460618009</v>
      </c>
      <c r="AW59" s="216">
        <v>787.565125758656</v>
      </c>
      <c r="AX59" s="217">
        <v>232.13843592128507</v>
      </c>
      <c r="AY59" s="218">
        <f>MATCH(MIN(Таблица1[[#This Row],[1 ДА Мах]:[7_ДА_Мах]]),Таблица1[[#This Row],[1 ДА Мах]:[7_ДА_Мах]],0)</f>
        <v>2</v>
      </c>
      <c r="AZ59" s="219">
        <f>IF(Таблица1[[#This Row],[ДА_Мах_Итог]]=Таблица1[[#This Row],[Train]],1,0)</f>
        <v>0</v>
      </c>
      <c r="BA59" s="219">
        <f>IF(Таблица1[[#This Row],[ДА_Мах_Итог]]=Таблица1[[#This Row],[К-средних]],1,0)</f>
        <v>1</v>
      </c>
      <c r="BB59" s="220">
        <v>3.3144098204959337E-11</v>
      </c>
      <c r="BC59" s="220">
        <v>0.99999999943201012</v>
      </c>
      <c r="BD59" s="220">
        <v>5.250520890355539E-10</v>
      </c>
      <c r="BE59" s="220">
        <v>9.7937405969250306E-12</v>
      </c>
      <c r="BF59" s="220">
        <v>5.8009476032851239E-32</v>
      </c>
      <c r="BG59" s="220">
        <v>0</v>
      </c>
      <c r="BH59" s="220">
        <v>0</v>
      </c>
      <c r="BI59" s="218">
        <f>MATCH(MAX(Таблица1[[#This Row],[1_ДА_Ап]:[7_ДА_Ап]]),Таблица1[[#This Row],[1_ДА_Ап]:[7_ДА_Ап]],0)</f>
        <v>2</v>
      </c>
      <c r="BJ59" s="219">
        <f>IF(Таблица1[[#This Row],[ДА_Ап_Итог]]=Таблица1[[#This Row],[Train]],1,0)</f>
        <v>0</v>
      </c>
      <c r="BK59" s="219">
        <f>IF(Таблица1[[#This Row],[ДА_Ап_Итог]]=Таблица1[[#This Row],[К-средних]],1,0)</f>
        <v>1</v>
      </c>
      <c r="BL59" s="234" t="s">
        <v>2587</v>
      </c>
      <c r="BM59" s="234" t="s">
        <v>2589</v>
      </c>
      <c r="BN59" s="234" t="s">
        <v>2588</v>
      </c>
      <c r="BO59" s="234" t="s">
        <v>2586</v>
      </c>
      <c r="BP59" s="234" t="s">
        <v>2592</v>
      </c>
      <c r="BQ59" s="234" t="s">
        <v>2590</v>
      </c>
      <c r="BR59" s="234" t="s">
        <v>2591</v>
      </c>
      <c r="BS59" s="234" t="str">
        <f>RIGHT(Таблица1[[#This Row],[ПДАсВ 1]],1)</f>
        <v>2</v>
      </c>
      <c r="BT59" s="227">
        <v>2</v>
      </c>
      <c r="BU59" s="212">
        <f>IF(Таблица1[[#This Row],[ПДАсВ Итог Копия]]=Таблица1[[#This Row],[Train]],1,0)</f>
        <v>0</v>
      </c>
      <c r="BV59" s="212">
        <f>IF(Таблица1[[#This Row],[ПДАсВ Итог Копия]]=Таблица1[[#This Row],[К-средних]],1,0)</f>
        <v>1</v>
      </c>
      <c r="BW59" s="235">
        <v>78.583057213721091</v>
      </c>
      <c r="BX59" s="235">
        <v>50.411894078536697</v>
      </c>
      <c r="BY59" s="235">
        <v>79.801383170443401</v>
      </c>
      <c r="BZ59" s="235">
        <v>69.395092488601321</v>
      </c>
      <c r="CA59" s="235">
        <v>124.15011198762014</v>
      </c>
      <c r="CB59" s="235">
        <v>754.68411704820119</v>
      </c>
      <c r="CC59" s="235">
        <v>93.077999881719251</v>
      </c>
      <c r="CD59" s="218">
        <f>MATCH(MIN(Таблица1[[#This Row],[1 ДА Мах]:[7_ДА_Мах]]),Таблица1[[#This Row],[1 ДА Мах]:[7_ДА_Мах]],0)</f>
        <v>2</v>
      </c>
      <c r="CE59" s="219">
        <f>IF(Таблица1[[#This Row],[ДА_Мах_Итог]]=Таблица1[[#This Row],[Train]],1,0)</f>
        <v>0</v>
      </c>
      <c r="CF59" s="219">
        <f>IF(Таблица1[[#This Row],[ДА_Мах_Итог]]=Таблица1[[#This Row],[К-средних]],1,0)</f>
        <v>1</v>
      </c>
      <c r="CG59" s="236">
        <v>5.7248253864081039E-7</v>
      </c>
      <c r="CH59" s="236">
        <v>0.99998003806933866</v>
      </c>
      <c r="CI59" s="236">
        <v>5.18865594855375E-7</v>
      </c>
      <c r="CJ59" s="236">
        <v>1.8870446663879569E-5</v>
      </c>
      <c r="CK59" s="236">
        <v>2.4315363566568941E-17</v>
      </c>
      <c r="CL59" s="236">
        <v>0</v>
      </c>
      <c r="CM59" s="236">
        <v>1.3586393284040468E-10</v>
      </c>
      <c r="CN59" s="218">
        <f>MATCH(MAX(Таблица1[[#This Row],[1_ДА_Ап]:[7_ДА_Ап]]),Таблица1[[#This Row],[1_ДА_Ап]:[7_ДА_Ап]],0)</f>
        <v>2</v>
      </c>
      <c r="CO59" s="219">
        <f>IF(Таблица1[[#This Row],[ПДАсВ Итог Копия]]=Таблица1[[#This Row],[Train]],1,0)</f>
        <v>0</v>
      </c>
      <c r="CP59" s="219">
        <f>IF(Таблица1[[#This Row],[ПДАсВ Итог Копия]]=Таблица1[[#This Row],[К-средних]],1,0)</f>
        <v>1</v>
      </c>
      <c r="CQ59" s="234" t="s">
        <v>2587</v>
      </c>
      <c r="CR59" s="234" t="s">
        <v>2589</v>
      </c>
      <c r="CS59" s="234" t="s">
        <v>2586</v>
      </c>
      <c r="CT59" s="234" t="s">
        <v>2588</v>
      </c>
      <c r="CU59" s="234" t="s">
        <v>2590</v>
      </c>
      <c r="CV59" s="234" t="s">
        <v>2592</v>
      </c>
      <c r="CW59" s="234" t="s">
        <v>2591</v>
      </c>
      <c r="CX59" s="234" t="str">
        <f>RIGHT(Таблица1[[#This Row],[ПДАсИ 1]],1)</f>
        <v>2</v>
      </c>
      <c r="CY59" s="212">
        <v>2</v>
      </c>
      <c r="CZ59" s="212">
        <f>IF(Таблица1[[#This Row],[ПДАсИ Итог Копия]]=Таблица1[[#This Row],[Train]],1,0)</f>
        <v>0</v>
      </c>
      <c r="DA59" s="212">
        <f>IF(Таблица1[[#This Row],[ПДАсИ Итог Копия]]=Таблица1[[#This Row],[К-средних]],1,0)</f>
        <v>1</v>
      </c>
      <c r="DB59" s="237">
        <v>75.454364710647809</v>
      </c>
      <c r="DC59" s="237">
        <v>49.455799447350209</v>
      </c>
      <c r="DD59" s="237">
        <v>74.334961678647645</v>
      </c>
      <c r="DE59" s="237">
        <v>66.669220791519606</v>
      </c>
      <c r="DF59" s="237">
        <v>147.51529466861649</v>
      </c>
      <c r="DG59" s="237">
        <v>644.67503110627888</v>
      </c>
      <c r="DH59" s="237">
        <v>167.10503475455457</v>
      </c>
      <c r="DI59" s="224">
        <f>MATCH(MIN(Таблица1[[#This Row],[ПДАсИ Мах 1]:[ПДАсИ Мах 7]]),Таблица1[[#This Row],[ПДАсИ Мах 1]:[ПДАсИ Мах 7]],0)</f>
        <v>2</v>
      </c>
      <c r="DJ59" s="212">
        <f>IF(Таблица1[[#This Row],[ПДАсИ Мах Итог]]=Таблица1[[#This Row],[Train]],1,0)</f>
        <v>0</v>
      </c>
      <c r="DK59" s="212">
        <f>IF(Таблица1[[#This Row],[ПДАсИ Мах Итог]]=Таблица1[[#This Row],[К-средних]],1,0)</f>
        <v>1</v>
      </c>
      <c r="DL59" s="238">
        <v>1.6963747799708337E-6</v>
      </c>
      <c r="DM59" s="238">
        <v>0.99994763922107011</v>
      </c>
      <c r="DN59" s="238">
        <v>4.9481839549666428E-6</v>
      </c>
      <c r="DO59" s="238">
        <v>4.5716220195051511E-5</v>
      </c>
      <c r="DP59" s="238">
        <v>1.2722382005458442E-22</v>
      </c>
      <c r="DQ59" s="238">
        <v>0</v>
      </c>
      <c r="DR59" s="238">
        <v>7.0910479328082793E-27</v>
      </c>
      <c r="DS59" s="224">
        <f>MATCH(MAX(Таблица1[[#This Row],[ПДАсИ Ап 1]:[ПДАсИ Ап 7]]),Таблица1[[#This Row],[ПДАсИ Ап 1]:[ПДАсИ Ап 7]],0)</f>
        <v>2</v>
      </c>
      <c r="DT59" s="212">
        <f>IF(Таблица1[[#This Row],[ПДАсИ Ап Итог]]=Таблица1[[#This Row],[Train]],1,0)</f>
        <v>0</v>
      </c>
      <c r="DU59" s="212">
        <f>IF(Таблица1[[#This Row],[ПДАсИ Ап Итог]]=Таблица1[[#This Row],[К-средних]],1,0)</f>
        <v>1</v>
      </c>
    </row>
    <row r="60" spans="1:125" ht="13.8">
      <c r="A60" s="205" t="s">
        <v>330</v>
      </c>
      <c r="B60" s="319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320">
        <v>-5.2933559245782809E-2</v>
      </c>
      <c r="K60" s="324">
        <v>0.41894522895485448</v>
      </c>
      <c r="L60" s="325">
        <v>0.26928079732523602</v>
      </c>
      <c r="M60" s="328">
        <v>0.63684629298565487</v>
      </c>
      <c r="N60" s="310">
        <v>-0.16470514490173432</v>
      </c>
      <c r="O60" s="329">
        <v>1.3317092603010612</v>
      </c>
      <c r="P60" s="206">
        <v>5</v>
      </c>
      <c r="Q60" s="207">
        <v>3</v>
      </c>
      <c r="R60" s="206">
        <v>7</v>
      </c>
      <c r="S60" s="208">
        <v>3</v>
      </c>
      <c r="T60" s="271">
        <v>6</v>
      </c>
      <c r="U60" s="271">
        <v>6</v>
      </c>
      <c r="V60" s="272">
        <v>2</v>
      </c>
      <c r="W60" s="272">
        <v>1</v>
      </c>
      <c r="X60" s="312">
        <v>1</v>
      </c>
      <c r="Y60" s="313">
        <v>3</v>
      </c>
      <c r="Z60" s="271">
        <v>5</v>
      </c>
      <c r="AA60" s="314">
        <v>1</v>
      </c>
      <c r="AB60" s="343">
        <v>3</v>
      </c>
      <c r="AC60" s="343">
        <f>IF(Таблица1[[#This Row],[Train]]=Таблица1[[#This Row],[НС]],1,0)</f>
        <v>0</v>
      </c>
      <c r="AD60" s="343">
        <f>IF(Таблица1[[#This Row],[НС]]=Таблица1[[#This Row],[К-средних]],1,0)</f>
        <v>1</v>
      </c>
      <c r="AE60" s="208"/>
      <c r="AF60" s="209">
        <f>SUMXMY2(Таблица1[[#This Row],[X1]:[X9]],Таблица1[[#Totals],[X1]:[X9]])</f>
        <v>6.7462241001822152</v>
      </c>
      <c r="AG60" s="239" t="s">
        <v>2586</v>
      </c>
      <c r="AH60" s="239" t="s">
        <v>2587</v>
      </c>
      <c r="AI60" s="239" t="s">
        <v>2588</v>
      </c>
      <c r="AJ60" s="239" t="s">
        <v>2589</v>
      </c>
      <c r="AK60" s="239" t="s">
        <v>2590</v>
      </c>
      <c r="AL60" s="239" t="s">
        <v>2591</v>
      </c>
      <c r="AM60" s="239" t="s">
        <v>2592</v>
      </c>
      <c r="AN60" s="239" t="str">
        <f>RIGHT(Таблица1[[#This Row],[ДА1]],1)</f>
        <v>3</v>
      </c>
      <c r="AO60" s="214">
        <v>3</v>
      </c>
      <c r="AP60" s="213">
        <f>IF(Таблица1[[#This Row],[ДА Итог Копия]]=Таблица1[[#This Row],[Train]],1,0)</f>
        <v>0</v>
      </c>
      <c r="AQ60" s="213">
        <f>IF(Таблица1[[#This Row],[ДА Итог Копия]]=Таблица1[[#This Row],[К-средних]],1,0)</f>
        <v>1</v>
      </c>
      <c r="AR60" s="216">
        <v>66.559533931780607</v>
      </c>
      <c r="AS60" s="216">
        <v>51.923702276795126</v>
      </c>
      <c r="AT60" s="216">
        <v>28.500393343538686</v>
      </c>
      <c r="AU60" s="216">
        <v>119.64160736815153</v>
      </c>
      <c r="AV60" s="216">
        <v>194.30853516614911</v>
      </c>
      <c r="AW60" s="216">
        <v>839.03275384540291</v>
      </c>
      <c r="AX60" s="217">
        <v>365.377166634601</v>
      </c>
      <c r="AY60" s="218">
        <f>MATCH(MIN(Таблица1[[#This Row],[1 ДА Мах]:[7_ДА_Мах]]),Таблица1[[#This Row],[1 ДА Мах]:[7_ДА_Мах]],0)</f>
        <v>3</v>
      </c>
      <c r="AZ60" s="219">
        <f>IF(Таблица1[[#This Row],[ДА_Мах_Итог]]=Таблица1[[#This Row],[Train]],1,0)</f>
        <v>0</v>
      </c>
      <c r="BA60" s="219">
        <f>IF(Таблица1[[#This Row],[ДА_Мах_Итог]]=Таблица1[[#This Row],[К-средних]],1,0)</f>
        <v>1</v>
      </c>
      <c r="BB60" s="220">
        <v>3.263705993882233E-9</v>
      </c>
      <c r="BC60" s="220">
        <v>6.5581331299384441E-6</v>
      </c>
      <c r="BD60" s="220">
        <v>0.99999343860316403</v>
      </c>
      <c r="BE60" s="220">
        <v>3.2356682219034882E-21</v>
      </c>
      <c r="BF60" s="220">
        <v>0</v>
      </c>
      <c r="BG60" s="220">
        <v>0</v>
      </c>
      <c r="BH60" s="220">
        <v>0</v>
      </c>
      <c r="BI60" s="218">
        <f>MATCH(MAX(Таблица1[[#This Row],[1_ДА_Ап]:[7_ДА_Ап]]),Таблица1[[#This Row],[1_ДА_Ап]:[7_ДА_Ап]],0)</f>
        <v>3</v>
      </c>
      <c r="BJ60" s="219">
        <f>IF(Таблица1[[#This Row],[ДА_Ап_Итог]]=Таблица1[[#This Row],[Train]],1,0)</f>
        <v>0</v>
      </c>
      <c r="BK60" s="219">
        <f>IF(Таблица1[[#This Row],[ДА_Ап_Итог]]=Таблица1[[#This Row],[К-средних]],1,0)</f>
        <v>1</v>
      </c>
      <c r="BL60" s="234" t="s">
        <v>2586</v>
      </c>
      <c r="BM60" s="234" t="s">
        <v>2587</v>
      </c>
      <c r="BN60" s="234" t="s">
        <v>2588</v>
      </c>
      <c r="BO60" s="234" t="s">
        <v>2590</v>
      </c>
      <c r="BP60" s="234" t="s">
        <v>2589</v>
      </c>
      <c r="BQ60" s="234" t="s">
        <v>2591</v>
      </c>
      <c r="BR60" s="234" t="s">
        <v>2592</v>
      </c>
      <c r="BS60" s="234" t="str">
        <f>RIGHT(Таблица1[[#This Row],[ПДАсВ 1]],1)</f>
        <v>3</v>
      </c>
      <c r="BT60" s="227">
        <v>3</v>
      </c>
      <c r="BU60" s="212">
        <f>IF(Таблица1[[#This Row],[ПДАсВ Итог Копия]]=Таблица1[[#This Row],[Train]],1,0)</f>
        <v>0</v>
      </c>
      <c r="BV60" s="212">
        <f>IF(Таблица1[[#This Row],[ПДАсВ Итог Копия]]=Таблица1[[#This Row],[К-средних]],1,0)</f>
        <v>1</v>
      </c>
      <c r="BW60" s="235">
        <v>28.997631795879112</v>
      </c>
      <c r="BX60" s="235">
        <v>23.135124663514468</v>
      </c>
      <c r="BY60" s="235">
        <v>9.9150875065998321</v>
      </c>
      <c r="BZ60" s="235">
        <v>101.72609170883493</v>
      </c>
      <c r="CA60" s="235">
        <v>84.572749553684019</v>
      </c>
      <c r="CB60" s="235">
        <v>767.87593231879134</v>
      </c>
      <c r="CC60" s="235">
        <v>326.54740027602833</v>
      </c>
      <c r="CD60" s="218">
        <f>MATCH(MIN(Таблица1[[#This Row],[1 ДА Мах]:[7_ДА_Мах]]),Таблица1[[#This Row],[1 ДА Мах]:[7_ДА_Мах]],0)</f>
        <v>3</v>
      </c>
      <c r="CE60" s="219">
        <f>IF(Таблица1[[#This Row],[ДА_Мах_Итог]]=Таблица1[[#This Row],[Train]],1,0)</f>
        <v>0</v>
      </c>
      <c r="CF60" s="219">
        <f>IF(Таблица1[[#This Row],[ДА_Мах_Итог]]=Таблица1[[#This Row],[К-средних]],1,0)</f>
        <v>1</v>
      </c>
      <c r="CG60" s="236">
        <v>4.3047014373796115E-5</v>
      </c>
      <c r="CH60" s="236">
        <v>1.0762397313710643E-3</v>
      </c>
      <c r="CI60" s="236">
        <v>0.9988807132542552</v>
      </c>
      <c r="CJ60" s="236">
        <v>2.3122637562083738E-21</v>
      </c>
      <c r="CK60" s="236">
        <v>1.2269822890930676E-17</v>
      </c>
      <c r="CL60" s="236">
        <v>0</v>
      </c>
      <c r="CM60" s="236">
        <v>0</v>
      </c>
      <c r="CN60" s="218">
        <f>MATCH(MAX(Таблица1[[#This Row],[1_ДА_Ап]:[7_ДА_Ап]]),Таблица1[[#This Row],[1_ДА_Ап]:[7_ДА_Ап]],0)</f>
        <v>3</v>
      </c>
      <c r="CO60" s="219">
        <f>IF(Таблица1[[#This Row],[ПДАсВ Итог Копия]]=Таблица1[[#This Row],[Train]],1,0)</f>
        <v>0</v>
      </c>
      <c r="CP60" s="219">
        <f>IF(Таблица1[[#This Row],[ПДАсВ Итог Копия]]=Таблица1[[#This Row],[К-средних]],1,0)</f>
        <v>1</v>
      </c>
      <c r="CQ60" s="234" t="s">
        <v>2586</v>
      </c>
      <c r="CR60" s="234" t="s">
        <v>2587</v>
      </c>
      <c r="CS60" s="234" t="s">
        <v>2588</v>
      </c>
      <c r="CT60" s="234" t="s">
        <v>2589</v>
      </c>
      <c r="CU60" s="234" t="s">
        <v>2590</v>
      </c>
      <c r="CV60" s="234" t="s">
        <v>2591</v>
      </c>
      <c r="CW60" s="234" t="s">
        <v>2592</v>
      </c>
      <c r="CX60" s="234" t="str">
        <f>RIGHT(Таблица1[[#This Row],[ПДАсИ 1]],1)</f>
        <v>3</v>
      </c>
      <c r="CY60" s="212">
        <v>3</v>
      </c>
      <c r="CZ60" s="212">
        <f>IF(Таблица1[[#This Row],[ПДАсИ Итог Копия]]=Таблица1[[#This Row],[Train]],1,0)</f>
        <v>0</v>
      </c>
      <c r="DA60" s="212">
        <f>IF(Таблица1[[#This Row],[ПДАсИ Итог Копия]]=Таблица1[[#This Row],[К-средних]],1,0)</f>
        <v>1</v>
      </c>
      <c r="DB60" s="237">
        <v>51.892212558107509</v>
      </c>
      <c r="DC60" s="237">
        <v>35.89458872146237</v>
      </c>
      <c r="DD60" s="237">
        <v>21.59152020545358</v>
      </c>
      <c r="DE60" s="237">
        <v>77.578412599319449</v>
      </c>
      <c r="DF60" s="237">
        <v>141.70374950571437</v>
      </c>
      <c r="DG60" s="237">
        <v>601.19731264012285</v>
      </c>
      <c r="DH60" s="237">
        <v>321.45570579301597</v>
      </c>
      <c r="DI60" s="224">
        <f>MATCH(MIN(Таблица1[[#This Row],[ПДАсИ Мах 1]:[ПДАсИ Мах 7]]),Таблица1[[#This Row],[ПДАсИ Мах 1]:[ПДАсИ Мах 7]],0)</f>
        <v>3</v>
      </c>
      <c r="DJ60" s="212">
        <f>IF(Таблица1[[#This Row],[ПДАсИ Мах Итог]]=Таблица1[[#This Row],[Train]],1,0)</f>
        <v>0</v>
      </c>
      <c r="DK60" s="212">
        <f>IF(Таблица1[[#This Row],[ПДАсИ Мах Итог]]=Таблица1[[#This Row],[К-средних]],1,0)</f>
        <v>1</v>
      </c>
      <c r="DL60" s="238">
        <v>1.5782189443841486E-7</v>
      </c>
      <c r="DM60" s="238">
        <v>6.2653576431511457E-4</v>
      </c>
      <c r="DN60" s="238">
        <v>0.99937330641365119</v>
      </c>
      <c r="DO60" s="238">
        <v>1.3911005681689156E-13</v>
      </c>
      <c r="DP60" s="238">
        <v>1.6546972444605303E-27</v>
      </c>
      <c r="DQ60" s="238">
        <v>0</v>
      </c>
      <c r="DR60" s="238">
        <v>0</v>
      </c>
      <c r="DS60" s="224">
        <f>MATCH(MAX(Таблица1[[#This Row],[ПДАсИ Ап 1]:[ПДАсИ Ап 7]]),Таблица1[[#This Row],[ПДАсИ Ап 1]:[ПДАсИ Ап 7]],0)</f>
        <v>3</v>
      </c>
      <c r="DT60" s="212">
        <f>IF(Таблица1[[#This Row],[ПДАсИ Ап Итог]]=Таблица1[[#This Row],[Train]],1,0)</f>
        <v>0</v>
      </c>
      <c r="DU60" s="212">
        <f>IF(Таблица1[[#This Row],[ПДАсИ Ап Итог]]=Таблица1[[#This Row],[К-средних]],1,0)</f>
        <v>1</v>
      </c>
    </row>
    <row r="61" spans="1:125" ht="13.8">
      <c r="A61" s="205" t="s">
        <v>331</v>
      </c>
      <c r="B61" s="319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320">
        <v>-0.99833128404700944</v>
      </c>
      <c r="K61" s="324">
        <v>0.64770436317676972</v>
      </c>
      <c r="L61" s="325">
        <v>-0.17144126170212115</v>
      </c>
      <c r="M61" s="328">
        <v>0.5465354445361823</v>
      </c>
      <c r="N61" s="310">
        <v>8.2957579294989092E-3</v>
      </c>
      <c r="O61" s="329">
        <v>0.37006576735271568</v>
      </c>
      <c r="P61" s="206">
        <v>5</v>
      </c>
      <c r="Q61" s="207">
        <v>5</v>
      </c>
      <c r="R61" s="206">
        <v>7</v>
      </c>
      <c r="S61" s="208">
        <v>1</v>
      </c>
      <c r="T61" s="271">
        <v>5</v>
      </c>
      <c r="U61" s="271">
        <v>4</v>
      </c>
      <c r="V61" s="272">
        <v>4</v>
      </c>
      <c r="W61" s="272">
        <v>7</v>
      </c>
      <c r="X61" s="312">
        <v>4</v>
      </c>
      <c r="Y61" s="313">
        <v>3</v>
      </c>
      <c r="Z61" s="271">
        <v>5</v>
      </c>
      <c r="AA61" s="314">
        <v>1</v>
      </c>
      <c r="AB61" s="314">
        <v>1</v>
      </c>
      <c r="AC61" s="314">
        <f>IF(Таблица1[[#This Row],[Train]]=Таблица1[[#This Row],[НС]],1,0)</f>
        <v>1</v>
      </c>
      <c r="AD61" s="314">
        <f>IF(Таблица1[[#This Row],[НС]]=Таблица1[[#This Row],[К-средних]],1,0)</f>
        <v>1</v>
      </c>
      <c r="AE61" s="208">
        <v>1</v>
      </c>
      <c r="AF61" s="209">
        <f>SUMXMY2(Таблица1[[#This Row],[X1]:[X9]],Таблица1[[#Totals],[X1]:[X9]])</f>
        <v>3.2534471019997731</v>
      </c>
      <c r="AG61" s="239" t="s">
        <v>2588</v>
      </c>
      <c r="AH61" s="239" t="s">
        <v>2586</v>
      </c>
      <c r="AI61" s="239" t="s">
        <v>2587</v>
      </c>
      <c r="AJ61" s="239" t="s">
        <v>2590</v>
      </c>
      <c r="AK61" s="239" t="s">
        <v>2589</v>
      </c>
      <c r="AL61" s="239" t="s">
        <v>2591</v>
      </c>
      <c r="AM61" s="239" t="s">
        <v>2592</v>
      </c>
      <c r="AN61" s="239" t="str">
        <f>RIGHT(Таблица1[[#This Row],[ДА1]],1)</f>
        <v>1</v>
      </c>
      <c r="AO61" s="214">
        <v>1</v>
      </c>
      <c r="AP61" s="213">
        <f>IF(Таблица1[[#This Row],[ДА Итог Копия]]=Таблица1[[#This Row],[Train]],1,0)</f>
        <v>1</v>
      </c>
      <c r="AQ61" s="213">
        <f>IF(Таблица1[[#This Row],[ДА Итог Копия]]=Таблица1[[#This Row],[К-средних]],1,0)</f>
        <v>1</v>
      </c>
      <c r="AR61" s="216">
        <v>9.2582464359153072</v>
      </c>
      <c r="AS61" s="216">
        <v>34.153066942589909</v>
      </c>
      <c r="AT61" s="216">
        <v>13.141303795207158</v>
      </c>
      <c r="AU61" s="216">
        <v>84.222906525536104</v>
      </c>
      <c r="AV61" s="216">
        <v>78.765521888130436</v>
      </c>
      <c r="AW61" s="216">
        <v>680.39612514915927</v>
      </c>
      <c r="AX61" s="217">
        <v>363.48532559461682</v>
      </c>
      <c r="AY61" s="218">
        <f>MATCH(MIN(Таблица1[[#This Row],[1 ДА Мах]:[7_ДА_Мах]]),Таблица1[[#This Row],[1 ДА Мах]:[7_ДА_Мах]],0)</f>
        <v>1</v>
      </c>
      <c r="AZ61" s="219">
        <f>IF(Таблица1[[#This Row],[ДА_Мах_Итог]]=Таблица1[[#This Row],[Train]],1,0)</f>
        <v>1</v>
      </c>
      <c r="BA61" s="219">
        <f>IF(Таблица1[[#This Row],[ДА_Мах_Итог]]=Таблица1[[#This Row],[К-средних]],1,0)</f>
        <v>1</v>
      </c>
      <c r="BB61" s="220">
        <v>0.80700742559763494</v>
      </c>
      <c r="BC61" s="220">
        <v>4.2264397323209353E-6</v>
      </c>
      <c r="BD61" s="220">
        <v>0.19298834796263256</v>
      </c>
      <c r="BE61" s="220">
        <v>1.4170565074609495E-17</v>
      </c>
      <c r="BF61" s="220">
        <v>2.1699173165597941E-16</v>
      </c>
      <c r="BG61" s="220">
        <v>0</v>
      </c>
      <c r="BH61" s="220">
        <v>0</v>
      </c>
      <c r="BI61" s="218">
        <f>MATCH(MAX(Таблица1[[#This Row],[1_ДА_Ап]:[7_ДА_Ап]]),Таблица1[[#This Row],[1_ДА_Ап]:[7_ДА_Ап]],0)</f>
        <v>1</v>
      </c>
      <c r="BJ61" s="219">
        <f>IF(Таблица1[[#This Row],[ДА_Ап_Итог]]=Таблица1[[#This Row],[Train]],1,0)</f>
        <v>1</v>
      </c>
      <c r="BK61" s="219">
        <f>IF(Таблица1[[#This Row],[ДА_Ап_Итог]]=Таблица1[[#This Row],[К-средних]],1,0)</f>
        <v>1</v>
      </c>
      <c r="BL61" s="234" t="s">
        <v>2586</v>
      </c>
      <c r="BM61" s="234" t="s">
        <v>2588</v>
      </c>
      <c r="BN61" s="234" t="s">
        <v>2587</v>
      </c>
      <c r="BO61" s="234" t="s">
        <v>2590</v>
      </c>
      <c r="BP61" s="234" t="s">
        <v>2589</v>
      </c>
      <c r="BQ61" s="234" t="s">
        <v>2591</v>
      </c>
      <c r="BR61" s="234" t="s">
        <v>2592</v>
      </c>
      <c r="BS61" s="234" t="str">
        <f>RIGHT(Таблица1[[#This Row],[ПДАсВ 1]],1)</f>
        <v>3</v>
      </c>
      <c r="BT61" s="227">
        <v>3</v>
      </c>
      <c r="BU61" s="212">
        <f>IF(Таблица1[[#This Row],[ПДАсВ Итог Копия]]=Таблица1[[#This Row],[Train]],1,0)</f>
        <v>0</v>
      </c>
      <c r="BV61" s="212">
        <f>IF(Таблица1[[#This Row],[ПДАсВ Итог Копия]]=Таблица1[[#This Row],[К-средних]],1,0)</f>
        <v>0</v>
      </c>
      <c r="BW61" s="235">
        <v>6.1154227448547367</v>
      </c>
      <c r="BX61" s="235">
        <v>20.353974130685209</v>
      </c>
      <c r="BY61" s="235">
        <v>6.8672192071229192</v>
      </c>
      <c r="BZ61" s="235">
        <v>73.196897978232499</v>
      </c>
      <c r="CA61" s="235">
        <v>61.550521713596858</v>
      </c>
      <c r="CB61" s="235">
        <v>663.87986328196109</v>
      </c>
      <c r="CC61" s="235">
        <v>258.79908651770126</v>
      </c>
      <c r="CD61" s="218">
        <f>MATCH(MIN(Таблица1[[#This Row],[1 ДА Мах]:[7_ДА_Мах]]),Таблица1[[#This Row],[1 ДА Мах]:[7_ДА_Мах]],0)</f>
        <v>1</v>
      </c>
      <c r="CE61" s="219">
        <f>IF(Таблица1[[#This Row],[ДА_Мах_Итог]]=Таблица1[[#This Row],[Train]],1,0)</f>
        <v>1</v>
      </c>
      <c r="CF61" s="219">
        <f>IF(Таблица1[[#This Row],[ДА_Мах_Итог]]=Таблица1[[#This Row],[К-средних]],1,0)</f>
        <v>1</v>
      </c>
      <c r="CG61" s="236">
        <v>0.46608468976908501</v>
      </c>
      <c r="CH61" s="236">
        <v>5.0296923933891167E-4</v>
      </c>
      <c r="CI61" s="236">
        <v>0.5334123409914332</v>
      </c>
      <c r="CJ61" s="236">
        <v>4.2148906956222316E-16</v>
      </c>
      <c r="CK61" s="236">
        <v>1.4248357048286087E-13</v>
      </c>
      <c r="CL61" s="236">
        <v>0</v>
      </c>
      <c r="CM61" s="236">
        <v>0</v>
      </c>
      <c r="CN61" s="218">
        <f>MATCH(MAX(Таблица1[[#This Row],[1_ДА_Ап]:[7_ДА_Ап]]),Таблица1[[#This Row],[1_ДА_Ап]:[7_ДА_Ап]],0)</f>
        <v>1</v>
      </c>
      <c r="CO61" s="219">
        <f>IF(Таблица1[[#This Row],[ПДАсВ Итог Копия]]=Таблица1[[#This Row],[Train]],1,0)</f>
        <v>0</v>
      </c>
      <c r="CP61" s="219">
        <f>IF(Таблица1[[#This Row],[ПДАсВ Итог Копия]]=Таблица1[[#This Row],[К-средних]],1,0)</f>
        <v>0</v>
      </c>
      <c r="CQ61" s="234" t="s">
        <v>2588</v>
      </c>
      <c r="CR61" s="234" t="s">
        <v>2586</v>
      </c>
      <c r="CS61" s="234" t="s">
        <v>2587</v>
      </c>
      <c r="CT61" s="234" t="s">
        <v>2589</v>
      </c>
      <c r="CU61" s="234" t="s">
        <v>2590</v>
      </c>
      <c r="CV61" s="234" t="s">
        <v>2591</v>
      </c>
      <c r="CW61" s="234" t="s">
        <v>2592</v>
      </c>
      <c r="CX61" s="234" t="str">
        <f>RIGHT(Таблица1[[#This Row],[ПДАсИ 1]],1)</f>
        <v>1</v>
      </c>
      <c r="CY61" s="212">
        <v>1</v>
      </c>
      <c r="CZ61" s="212">
        <f>IF(Таблица1[[#This Row],[ПДАсИ Итог Копия]]=Таблица1[[#This Row],[Train]],1,0)</f>
        <v>1</v>
      </c>
      <c r="DA61" s="212">
        <f>IF(Таблица1[[#This Row],[ПДАсИ Итог Копия]]=Таблица1[[#This Row],[К-средних]],1,0)</f>
        <v>1</v>
      </c>
      <c r="DB61" s="237">
        <v>2.5332187743205741</v>
      </c>
      <c r="DC61" s="237">
        <v>12.922032398008366</v>
      </c>
      <c r="DD61" s="237">
        <v>7.4965856923913385</v>
      </c>
      <c r="DE61" s="237">
        <v>44.391229848044745</v>
      </c>
      <c r="DF61" s="237">
        <v>48.800275013492652</v>
      </c>
      <c r="DG61" s="237">
        <v>437.67393868023362</v>
      </c>
      <c r="DH61" s="237">
        <v>337.00543574409517</v>
      </c>
      <c r="DI61" s="224">
        <f>MATCH(MIN(Таблица1[[#This Row],[ПДАсИ Мах 1]:[ПДАсИ Мах 7]]),Таблица1[[#This Row],[ПДАсИ Мах 1]:[ПДАсИ Мах 7]],0)</f>
        <v>1</v>
      </c>
      <c r="DJ61" s="212">
        <f>IF(Таблица1[[#This Row],[ПДАсИ Мах Итог]]=Таблица1[[#This Row],[Train]],1,0)</f>
        <v>1</v>
      </c>
      <c r="DK61" s="212">
        <f>IF(Таблица1[[#This Row],[ПДАсИ Мах Итог]]=Таблица1[[#This Row],[К-средних]],1,0)</f>
        <v>1</v>
      </c>
      <c r="DL61" s="238">
        <v>0.87204185299905324</v>
      </c>
      <c r="DM61" s="238">
        <v>6.4502099452145136E-3</v>
      </c>
      <c r="DN61" s="238">
        <v>0.12150793679300455</v>
      </c>
      <c r="DO61" s="238">
        <v>2.3662708732623793E-10</v>
      </c>
      <c r="DP61" s="238">
        <v>2.6100718638924212E-11</v>
      </c>
      <c r="DQ61" s="238">
        <v>0</v>
      </c>
      <c r="DR61" s="238">
        <v>0</v>
      </c>
      <c r="DS61" s="224">
        <f>MATCH(MAX(Таблица1[[#This Row],[ПДАсИ Ап 1]:[ПДАсИ Ап 7]]),Таблица1[[#This Row],[ПДАсИ Ап 1]:[ПДАсИ Ап 7]],0)</f>
        <v>1</v>
      </c>
      <c r="DT61" s="212">
        <f>IF(Таблица1[[#This Row],[ПДАсИ Ап Итог]]=Таблица1[[#This Row],[Train]],1,0)</f>
        <v>1</v>
      </c>
      <c r="DU61" s="212">
        <f>IF(Таблица1[[#This Row],[ПДАсИ Ап Итог]]=Таблица1[[#This Row],[К-средних]],1,0)</f>
        <v>1</v>
      </c>
    </row>
    <row r="62" spans="1:125" ht="13.8">
      <c r="A62" s="205" t="s">
        <v>332</v>
      </c>
      <c r="B62" s="319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320">
        <v>1.1394874420357646</v>
      </c>
      <c r="K62" s="324">
        <v>-0.19496999628164027</v>
      </c>
      <c r="L62" s="325">
        <v>0.48796129978427788</v>
      </c>
      <c r="M62" s="328">
        <v>-3.7039719612874389E-2</v>
      </c>
      <c r="N62" s="310">
        <v>-0.22369963474545274</v>
      </c>
      <c r="O62" s="329">
        <v>-0.2123562649842935</v>
      </c>
      <c r="P62" s="206">
        <v>4</v>
      </c>
      <c r="Q62" s="207">
        <v>5</v>
      </c>
      <c r="R62" s="206">
        <v>4</v>
      </c>
      <c r="S62" s="208">
        <v>2</v>
      </c>
      <c r="T62" s="271">
        <v>6</v>
      </c>
      <c r="U62" s="271">
        <v>7</v>
      </c>
      <c r="V62" s="272">
        <v>2</v>
      </c>
      <c r="W62" s="272">
        <v>6</v>
      </c>
      <c r="X62" s="312">
        <v>2</v>
      </c>
      <c r="Y62" s="313">
        <v>2</v>
      </c>
      <c r="Z62" s="271">
        <v>1</v>
      </c>
      <c r="AA62" s="314">
        <v>2</v>
      </c>
      <c r="AB62" s="343">
        <v>2</v>
      </c>
      <c r="AC62" s="343">
        <f>IF(Таблица1[[#This Row],[Train]]=Таблица1[[#This Row],[НС]],1,0)</f>
        <v>0</v>
      </c>
      <c r="AD62" s="343">
        <f>IF(Таблица1[[#This Row],[НС]]=Таблица1[[#This Row],[К-средних]],1,0)</f>
        <v>1</v>
      </c>
      <c r="AE62" s="208"/>
      <c r="AF62" s="209">
        <f>SUMXMY2(Таблица1[[#This Row],[X1]:[X9]],Таблица1[[#Totals],[X1]:[X9]])</f>
        <v>3.2322104207714348</v>
      </c>
      <c r="AG62" s="239" t="s">
        <v>2587</v>
      </c>
      <c r="AH62" s="239" t="s">
        <v>2586</v>
      </c>
      <c r="AI62" s="239" t="s">
        <v>2588</v>
      </c>
      <c r="AJ62" s="239" t="s">
        <v>2589</v>
      </c>
      <c r="AK62" s="239" t="s">
        <v>2590</v>
      </c>
      <c r="AL62" s="239" t="s">
        <v>2591</v>
      </c>
      <c r="AM62" s="239" t="s">
        <v>2592</v>
      </c>
      <c r="AN62" s="239" t="str">
        <f>RIGHT(Таблица1[[#This Row],[ДА1]],1)</f>
        <v>2</v>
      </c>
      <c r="AO62" s="214">
        <v>2</v>
      </c>
      <c r="AP62" s="213">
        <f>IF(Таблица1[[#This Row],[ДА Итог Копия]]=Таблица1[[#This Row],[Train]],1,0)</f>
        <v>0</v>
      </c>
      <c r="AQ62" s="213">
        <f>IF(Таблица1[[#This Row],[ДА Итог Копия]]=Таблица1[[#This Row],[К-средних]],1,0)</f>
        <v>1</v>
      </c>
      <c r="AR62" s="216">
        <v>43.524396152409636</v>
      </c>
      <c r="AS62" s="216">
        <v>10.940632327917347</v>
      </c>
      <c r="AT62" s="216">
        <v>31.562052658352577</v>
      </c>
      <c r="AU62" s="216">
        <v>79.972301680665524</v>
      </c>
      <c r="AV62" s="216">
        <v>121.28514363925238</v>
      </c>
      <c r="AW62" s="216">
        <v>596.79218810355326</v>
      </c>
      <c r="AX62" s="217">
        <v>312.94094332336601</v>
      </c>
      <c r="AY62" s="218">
        <f>MATCH(MIN(Таблица1[[#This Row],[1 ДА Мах]:[7_ДА_Мах]]),Таблица1[[#This Row],[1 ДА Мах]:[7_ДА_Мах]],0)</f>
        <v>2</v>
      </c>
      <c r="AZ62" s="219">
        <f>IF(Таблица1[[#This Row],[ДА_Мах_Итог]]=Таблица1[[#This Row],[Train]],1,0)</f>
        <v>0</v>
      </c>
      <c r="BA62" s="219">
        <f>IF(Таблица1[[#This Row],[ДА_Мах_Итог]]=Таблица1[[#This Row],[К-средних]],1,0)</f>
        <v>1</v>
      </c>
      <c r="BB62" s="220">
        <v>6.3033113321063291E-8</v>
      </c>
      <c r="BC62" s="220">
        <v>0.99995834519783333</v>
      </c>
      <c r="BD62" s="220">
        <v>4.1591769053146356E-5</v>
      </c>
      <c r="BE62" s="220">
        <v>2.557910705831326E-16</v>
      </c>
      <c r="BF62" s="220">
        <v>2.734738044727989E-25</v>
      </c>
      <c r="BG62" s="220">
        <v>0</v>
      </c>
      <c r="BH62" s="220">
        <v>0</v>
      </c>
      <c r="BI62" s="218">
        <f>MATCH(MAX(Таблица1[[#This Row],[1_ДА_Ап]:[7_ДА_Ап]]),Таблица1[[#This Row],[1_ДА_Ап]:[7_ДА_Ап]],0)</f>
        <v>2</v>
      </c>
      <c r="BJ62" s="219">
        <f>IF(Таблица1[[#This Row],[ДА_Ап_Итог]]=Таблица1[[#This Row],[Train]],1,0)</f>
        <v>0</v>
      </c>
      <c r="BK62" s="219">
        <f>IF(Таблица1[[#This Row],[ДА_Ап_Итог]]=Таблица1[[#This Row],[К-средних]],1,0)</f>
        <v>1</v>
      </c>
      <c r="BL62" s="234" t="s">
        <v>2587</v>
      </c>
      <c r="BM62" s="234" t="s">
        <v>2586</v>
      </c>
      <c r="BN62" s="234" t="s">
        <v>2588</v>
      </c>
      <c r="BO62" s="234" t="s">
        <v>2590</v>
      </c>
      <c r="BP62" s="234" t="s">
        <v>2589</v>
      </c>
      <c r="BQ62" s="234" t="s">
        <v>2591</v>
      </c>
      <c r="BR62" s="234" t="s">
        <v>2592</v>
      </c>
      <c r="BS62" s="234" t="str">
        <f>RIGHT(Таблица1[[#This Row],[ПДАсВ 1]],1)</f>
        <v>2</v>
      </c>
      <c r="BT62" s="227">
        <v>2</v>
      </c>
      <c r="BU62" s="212">
        <f>IF(Таблица1[[#This Row],[ПДАсВ Итог Копия]]=Таблица1[[#This Row],[Train]],1,0)</f>
        <v>0</v>
      </c>
      <c r="BV62" s="212">
        <f>IF(Таблица1[[#This Row],[ПДАсВ Итог Копия]]=Таблица1[[#This Row],[К-средних]],1,0)</f>
        <v>1</v>
      </c>
      <c r="BW62" s="235">
        <v>24.231157700486119</v>
      </c>
      <c r="BX62" s="235">
        <v>3.1153724353669436</v>
      </c>
      <c r="BY62" s="235">
        <v>18.463277968803197</v>
      </c>
      <c r="BZ62" s="235">
        <v>53.93415148865602</v>
      </c>
      <c r="CA62" s="235">
        <v>48.977210363522268</v>
      </c>
      <c r="CB62" s="235">
        <v>554.28616609459118</v>
      </c>
      <c r="CC62" s="235">
        <v>236.77687471459879</v>
      </c>
      <c r="CD62" s="218">
        <f>MATCH(MIN(Таблица1[[#This Row],[1 ДА Мах]:[7_ДА_Мах]]),Таблица1[[#This Row],[1 ДА Мах]:[7_ДА_Мах]],0)</f>
        <v>2</v>
      </c>
      <c r="CE62" s="219">
        <f>IF(Таблица1[[#This Row],[ДА_Мах_Итог]]=Таблица1[[#This Row],[Train]],1,0)</f>
        <v>0</v>
      </c>
      <c r="CF62" s="219">
        <f>IF(Таблица1[[#This Row],[ДА_Мах_Итог]]=Таблица1[[#This Row],[К-средних]],1,0)</f>
        <v>1</v>
      </c>
      <c r="CG62" s="236">
        <v>1.947897290421414E-5</v>
      </c>
      <c r="CH62" s="236">
        <v>0.99939989834814424</v>
      </c>
      <c r="CI62" s="236">
        <v>5.8062264917451648E-4</v>
      </c>
      <c r="CJ62" s="236">
        <v>2.304207838342691E-12</v>
      </c>
      <c r="CK62" s="236">
        <v>2.7473104528220616E-11</v>
      </c>
      <c r="CL62" s="236">
        <v>0</v>
      </c>
      <c r="CM62" s="236">
        <v>0</v>
      </c>
      <c r="CN62" s="218">
        <f>MATCH(MAX(Таблица1[[#This Row],[1_ДА_Ап]:[7_ДА_Ап]]),Таблица1[[#This Row],[1_ДА_Ап]:[7_ДА_Ап]],0)</f>
        <v>2</v>
      </c>
      <c r="CO62" s="219">
        <f>IF(Таблица1[[#This Row],[ПДАсВ Итог Копия]]=Таблица1[[#This Row],[Train]],1,0)</f>
        <v>0</v>
      </c>
      <c r="CP62" s="219">
        <f>IF(Таблица1[[#This Row],[ПДАсВ Итог Копия]]=Таблица1[[#This Row],[К-средних]],1,0)</f>
        <v>1</v>
      </c>
      <c r="CQ62" s="234" t="s">
        <v>2587</v>
      </c>
      <c r="CR62" s="234" t="s">
        <v>2586</v>
      </c>
      <c r="CS62" s="234" t="s">
        <v>2588</v>
      </c>
      <c r="CT62" s="234" t="s">
        <v>2589</v>
      </c>
      <c r="CU62" s="234" t="s">
        <v>2590</v>
      </c>
      <c r="CV62" s="234" t="s">
        <v>2591</v>
      </c>
      <c r="CW62" s="234" t="s">
        <v>2592</v>
      </c>
      <c r="CX62" s="234" t="str">
        <f>RIGHT(Таблица1[[#This Row],[ПДАсИ 1]],1)</f>
        <v>2</v>
      </c>
      <c r="CY62" s="212">
        <v>2</v>
      </c>
      <c r="CZ62" s="212">
        <f>IF(Таблица1[[#This Row],[ПДАсИ Итог Копия]]=Таблица1[[#This Row],[Train]],1,0)</f>
        <v>0</v>
      </c>
      <c r="DA62" s="212">
        <f>IF(Таблица1[[#This Row],[ПДАсИ Итог Копия]]=Таблица1[[#This Row],[К-средних]],1,0)</f>
        <v>1</v>
      </c>
      <c r="DB62" s="237">
        <v>24.861532587921833</v>
      </c>
      <c r="DC62" s="237">
        <v>5.5212685174551064</v>
      </c>
      <c r="DD62" s="237">
        <v>10.352309542771362</v>
      </c>
      <c r="DE62" s="237">
        <v>54.790241748632859</v>
      </c>
      <c r="DF62" s="237">
        <v>98.501907553607538</v>
      </c>
      <c r="DG62" s="237">
        <v>487.6368489011254</v>
      </c>
      <c r="DH62" s="237">
        <v>279.68287280893281</v>
      </c>
      <c r="DI62" s="224">
        <f>MATCH(MIN(Таблица1[[#This Row],[ПДАсИ Мах 1]:[ПДАсИ Мах 7]]),Таблица1[[#This Row],[ПДАсИ Мах 1]:[ПДАсИ Мах 7]],0)</f>
        <v>2</v>
      </c>
      <c r="DJ62" s="212">
        <f>IF(Таблица1[[#This Row],[ПДАсИ Мах Итог]]=Таблица1[[#This Row],[Train]],1,0)</f>
        <v>0</v>
      </c>
      <c r="DK62" s="212">
        <f>IF(Таблица1[[#This Row],[ПДАсИ Мах Итог]]=Таблица1[[#This Row],[К-средних]],1,0)</f>
        <v>1</v>
      </c>
      <c r="DL62" s="238">
        <v>4.2598009007124617E-5</v>
      </c>
      <c r="DM62" s="238">
        <v>0.89952454820590366</v>
      </c>
      <c r="DN62" s="238">
        <v>0.10043285378058817</v>
      </c>
      <c r="DO62" s="238">
        <v>4.5012323021139686E-12</v>
      </c>
      <c r="DP62" s="238">
        <v>1.4503198795097604E-21</v>
      </c>
      <c r="DQ62" s="238">
        <v>0</v>
      </c>
      <c r="DR62" s="238">
        <v>0</v>
      </c>
      <c r="DS62" s="224">
        <f>MATCH(MAX(Таблица1[[#This Row],[ПДАсИ Ап 1]:[ПДАсИ Ап 7]]),Таблица1[[#This Row],[ПДАсИ Ап 1]:[ПДАсИ Ап 7]],0)</f>
        <v>2</v>
      </c>
      <c r="DT62" s="212">
        <f>IF(Таблица1[[#This Row],[ПДАсИ Ап Итог]]=Таблица1[[#This Row],[Train]],1,0)</f>
        <v>0</v>
      </c>
      <c r="DU62" s="212">
        <f>IF(Таблица1[[#This Row],[ПДАсИ Ап Итог]]=Таблица1[[#This Row],[К-средних]],1,0)</f>
        <v>1</v>
      </c>
    </row>
    <row r="63" spans="1:125" ht="13.8">
      <c r="A63" s="205" t="s">
        <v>333</v>
      </c>
      <c r="B63" s="319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320">
        <v>-0.11697663092586573</v>
      </c>
      <c r="K63" s="324">
        <v>6.2759846586646545E-2</v>
      </c>
      <c r="L63" s="325">
        <v>-0.30337973464224988</v>
      </c>
      <c r="M63" s="328">
        <v>0.17526236779799562</v>
      </c>
      <c r="N63" s="310">
        <v>0.244657317090093</v>
      </c>
      <c r="O63" s="329">
        <v>0.54791924522438351</v>
      </c>
      <c r="P63" s="206">
        <v>5</v>
      </c>
      <c r="Q63" s="207">
        <v>5</v>
      </c>
      <c r="R63" s="206">
        <v>5</v>
      </c>
      <c r="S63" s="208">
        <v>3</v>
      </c>
      <c r="T63" s="271">
        <v>2</v>
      </c>
      <c r="U63" s="271">
        <v>6</v>
      </c>
      <c r="V63" s="272">
        <v>4</v>
      </c>
      <c r="W63" s="272">
        <v>1</v>
      </c>
      <c r="X63" s="312">
        <v>3</v>
      </c>
      <c r="Y63" s="313">
        <v>1</v>
      </c>
      <c r="Z63" s="271">
        <v>5</v>
      </c>
      <c r="AA63" s="314">
        <v>1</v>
      </c>
      <c r="AB63" s="314">
        <v>3</v>
      </c>
      <c r="AC63" s="314">
        <f>IF(Таблица1[[#This Row],[Train]]=Таблица1[[#This Row],[НС]],1,0)</f>
        <v>1</v>
      </c>
      <c r="AD63" s="314">
        <f>IF(Таблица1[[#This Row],[НС]]=Таблица1[[#This Row],[К-средних]],1,0)</f>
        <v>1</v>
      </c>
      <c r="AE63" s="208">
        <v>3</v>
      </c>
      <c r="AF63" s="209">
        <f>SUMXMY2(Таблица1[[#This Row],[X1]:[X9]],Таблица1[[#Totals],[X1]:[X9]])</f>
        <v>2.0247348643042469</v>
      </c>
      <c r="AG63" s="239" t="s">
        <v>2586</v>
      </c>
      <c r="AH63" s="239" t="s">
        <v>2588</v>
      </c>
      <c r="AI63" s="239" t="s">
        <v>2587</v>
      </c>
      <c r="AJ63" s="239" t="s">
        <v>2589</v>
      </c>
      <c r="AK63" s="239" t="s">
        <v>2590</v>
      </c>
      <c r="AL63" s="239" t="s">
        <v>2591</v>
      </c>
      <c r="AM63" s="239" t="s">
        <v>2592</v>
      </c>
      <c r="AN63" s="239" t="str">
        <f>RIGHT(Таблица1[[#This Row],[ДА1]],1)</f>
        <v>3</v>
      </c>
      <c r="AO63" s="214">
        <v>3</v>
      </c>
      <c r="AP63" s="213">
        <f>IF(Таблица1[[#This Row],[ДА Итог Копия]]=Таблица1[[#This Row],[Train]],1,0)</f>
        <v>1</v>
      </c>
      <c r="AQ63" s="213">
        <f>IF(Таблица1[[#This Row],[ДА Итог Копия]]=Таблица1[[#This Row],[К-средних]],1,0)</f>
        <v>1</v>
      </c>
      <c r="AR63" s="216">
        <v>18.764546599308201</v>
      </c>
      <c r="AS63" s="216">
        <v>23.614147097464929</v>
      </c>
      <c r="AT63" s="216">
        <v>5.3531621196648116</v>
      </c>
      <c r="AU63" s="216">
        <v>73.141927329601756</v>
      </c>
      <c r="AV63" s="216">
        <v>95.133158145623113</v>
      </c>
      <c r="AW63" s="216">
        <v>598.88013583919701</v>
      </c>
      <c r="AX63" s="217">
        <v>384.58456520532258</v>
      </c>
      <c r="AY63" s="218">
        <f>MATCH(MIN(Таблица1[[#This Row],[1 ДА Мах]:[7_ДА_Мах]]),Таблица1[[#This Row],[1 ДА Мах]:[7_ДА_Мах]],0)</f>
        <v>3</v>
      </c>
      <c r="AZ63" s="219">
        <f>IF(Таблица1[[#This Row],[ДА_Мах_Итог]]=Таблица1[[#This Row],[Train]],1,0)</f>
        <v>1</v>
      </c>
      <c r="BA63" s="219">
        <f>IF(Таблица1[[#This Row],[ДА_Мах_Итог]]=Таблица1[[#This Row],[К-средних]],1,0)</f>
        <v>1</v>
      </c>
      <c r="BB63" s="220">
        <v>7.3375268200378348E-4</v>
      </c>
      <c r="BC63" s="220">
        <v>8.6578701976073756E-5</v>
      </c>
      <c r="BD63" s="220">
        <v>0.9991796686160197</v>
      </c>
      <c r="BE63" s="220">
        <v>3.8065387149593274E-16</v>
      </c>
      <c r="BF63" s="220">
        <v>6.3855036044091005E-21</v>
      </c>
      <c r="BG63" s="220">
        <v>0</v>
      </c>
      <c r="BH63" s="220">
        <v>0</v>
      </c>
      <c r="BI63" s="218">
        <f>MATCH(MAX(Таблица1[[#This Row],[1_ДА_Ап]:[7_ДА_Ап]]),Таблица1[[#This Row],[1_ДА_Ап]:[7_ДА_Ап]],0)</f>
        <v>3</v>
      </c>
      <c r="BJ63" s="219">
        <f>IF(Таблица1[[#This Row],[ДА_Ап_Итог]]=Таблица1[[#This Row],[Train]],1,0)</f>
        <v>1</v>
      </c>
      <c r="BK63" s="219">
        <f>IF(Таблица1[[#This Row],[ДА_Ап_Итог]]=Таблица1[[#This Row],[К-средних]],1,0)</f>
        <v>1</v>
      </c>
      <c r="BL63" s="234" t="s">
        <v>2586</v>
      </c>
      <c r="BM63" s="234" t="s">
        <v>2588</v>
      </c>
      <c r="BN63" s="234" t="s">
        <v>2587</v>
      </c>
      <c r="BO63" s="234" t="s">
        <v>2590</v>
      </c>
      <c r="BP63" s="234" t="s">
        <v>2589</v>
      </c>
      <c r="BQ63" s="234" t="s">
        <v>2591</v>
      </c>
      <c r="BR63" s="234" t="s">
        <v>2592</v>
      </c>
      <c r="BS63" s="234" t="str">
        <f>RIGHT(Таблица1[[#This Row],[ПДАсВ 1]],1)</f>
        <v>3</v>
      </c>
      <c r="BT63" s="227">
        <v>3</v>
      </c>
      <c r="BU63" s="212">
        <f>IF(Таблица1[[#This Row],[ПДАсВ Итог Копия]]=Таблица1[[#This Row],[Train]],1,0)</f>
        <v>1</v>
      </c>
      <c r="BV63" s="212">
        <f>IF(Таблица1[[#This Row],[ПДАсВ Итог Копия]]=Таблица1[[#This Row],[К-средних]],1,0)</f>
        <v>1</v>
      </c>
      <c r="BW63" s="235">
        <v>10.774355021472937</v>
      </c>
      <c r="BX63" s="235">
        <v>16.791622159758145</v>
      </c>
      <c r="BY63" s="235">
        <v>4.2365725916329664</v>
      </c>
      <c r="BZ63" s="235">
        <v>67.570009685269994</v>
      </c>
      <c r="CA63" s="235">
        <v>44.000945375540283</v>
      </c>
      <c r="CB63" s="235">
        <v>568.80339271678338</v>
      </c>
      <c r="CC63" s="235">
        <v>319.5978796350559</v>
      </c>
      <c r="CD63" s="218">
        <f>MATCH(MIN(Таблица1[[#This Row],[1 ДА Мах]:[7_ДА_Мах]]),Таблица1[[#This Row],[1 ДА Мах]:[7_ДА_Мах]],0)</f>
        <v>3</v>
      </c>
      <c r="CE63" s="219">
        <f>IF(Таблица1[[#This Row],[ДА_Мах_Итог]]=Таблица1[[#This Row],[Train]],1,0)</f>
        <v>1</v>
      </c>
      <c r="CF63" s="219">
        <f>IF(Таблица1[[#This Row],[ДА_Мах_Итог]]=Таблица1[[#This Row],[К-средних]],1,0)</f>
        <v>1</v>
      </c>
      <c r="CG63" s="236">
        <v>2.2286879625253046E-2</v>
      </c>
      <c r="CH63" s="236">
        <v>1.4667464536802788E-3</v>
      </c>
      <c r="CI63" s="236">
        <v>0.97624637346830578</v>
      </c>
      <c r="CJ63" s="236">
        <v>3.4507087442673709E-15</v>
      </c>
      <c r="CK63" s="236">
        <v>4.5275743520528585E-10</v>
      </c>
      <c r="CL63" s="236">
        <v>0</v>
      </c>
      <c r="CM63" s="236">
        <v>0</v>
      </c>
      <c r="CN63" s="218">
        <f>MATCH(MAX(Таблица1[[#This Row],[1_ДА_Ап]:[7_ДА_Ап]]),Таблица1[[#This Row],[1_ДА_Ап]:[7_ДА_Ап]],0)</f>
        <v>3</v>
      </c>
      <c r="CO63" s="219">
        <f>IF(Таблица1[[#This Row],[ПДАсВ Итог Копия]]=Таблица1[[#This Row],[Train]],1,0)</f>
        <v>1</v>
      </c>
      <c r="CP63" s="219">
        <f>IF(Таблица1[[#This Row],[ПДАсВ Итог Копия]]=Таблица1[[#This Row],[К-средних]],1,0)</f>
        <v>1</v>
      </c>
      <c r="CQ63" s="234" t="s">
        <v>2586</v>
      </c>
      <c r="CR63" s="234" t="s">
        <v>2588</v>
      </c>
      <c r="CS63" s="234" t="s">
        <v>2587</v>
      </c>
      <c r="CT63" s="234" t="s">
        <v>2589</v>
      </c>
      <c r="CU63" s="234" t="s">
        <v>2590</v>
      </c>
      <c r="CV63" s="234" t="s">
        <v>2591</v>
      </c>
      <c r="CW63" s="234" t="s">
        <v>2592</v>
      </c>
      <c r="CX63" s="234" t="str">
        <f>RIGHT(Таблица1[[#This Row],[ПДАсИ 1]],1)</f>
        <v>3</v>
      </c>
      <c r="CY63" s="212">
        <v>3</v>
      </c>
      <c r="CZ63" s="212">
        <f>IF(Таблица1[[#This Row],[ПДАсИ Итог Копия]]=Таблица1[[#This Row],[Train]],1,0)</f>
        <v>1</v>
      </c>
      <c r="DA63" s="212">
        <f>IF(Таблица1[[#This Row],[ПДАсИ Итог Копия]]=Таблица1[[#This Row],[К-средних]],1,0)</f>
        <v>1</v>
      </c>
      <c r="DB63" s="237">
        <v>15.755588974193236</v>
      </c>
      <c r="DC63" s="237">
        <v>19.668041883162495</v>
      </c>
      <c r="DD63" s="237">
        <v>4.3803873762321972</v>
      </c>
      <c r="DE63" s="237">
        <v>56.3352407662817</v>
      </c>
      <c r="DF63" s="237">
        <v>76.042745671218782</v>
      </c>
      <c r="DG63" s="237">
        <v>434.11188788107023</v>
      </c>
      <c r="DH63" s="237">
        <v>368.21343464049937</v>
      </c>
      <c r="DI63" s="224">
        <f>MATCH(MIN(Таблица1[[#This Row],[ПДАсИ Мах 1]:[ПДАсИ Мах 7]]),Таблица1[[#This Row],[ПДАсИ Мах 1]:[ПДАсИ Мах 7]],0)</f>
        <v>3</v>
      </c>
      <c r="DJ63" s="212">
        <f>IF(Таблица1[[#This Row],[ПДАсИ Мах Итог]]=Таблица1[[#This Row],[Train]],1,0)</f>
        <v>1</v>
      </c>
      <c r="DK63" s="212">
        <f>IF(Таблица1[[#This Row],[ПДАсИ Мах Итог]]=Таблица1[[#This Row],[К-средних]],1,0)</f>
        <v>1</v>
      </c>
      <c r="DL63" s="238">
        <v>2.0277279902693435E-3</v>
      </c>
      <c r="DM63" s="238">
        <v>3.8226987819996091E-4</v>
      </c>
      <c r="DN63" s="238">
        <v>0.99759000213048798</v>
      </c>
      <c r="DO63" s="238">
        <v>1.0426271168451498E-12</v>
      </c>
      <c r="DP63" s="238">
        <v>5.4789671908953402E-17</v>
      </c>
      <c r="DQ63" s="238">
        <v>0</v>
      </c>
      <c r="DR63" s="238">
        <v>0</v>
      </c>
      <c r="DS63" s="224">
        <f>MATCH(MAX(Таблица1[[#This Row],[ПДАсИ Ап 1]:[ПДАсИ Ап 7]]),Таблица1[[#This Row],[ПДАсИ Ап 1]:[ПДАсИ Ап 7]],0)</f>
        <v>3</v>
      </c>
      <c r="DT63" s="212">
        <f>IF(Таблица1[[#This Row],[ПДАсИ Ап Итог]]=Таблица1[[#This Row],[Train]],1,0)</f>
        <v>1</v>
      </c>
      <c r="DU63" s="212">
        <f>IF(Таблица1[[#This Row],[ПДАсИ Ап Итог]]=Таблица1[[#This Row],[К-средних]],1,0)</f>
        <v>1</v>
      </c>
    </row>
    <row r="64" spans="1:125" ht="13.8">
      <c r="A64" s="205" t="s">
        <v>334</v>
      </c>
      <c r="B64" s="319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320">
        <v>-0.87329481076684701</v>
      </c>
      <c r="K64" s="324">
        <v>-0.88250914196138452</v>
      </c>
      <c r="L64" s="325">
        <v>-3.6558757888959916</v>
      </c>
      <c r="M64" s="328">
        <v>-1.1105752377111264</v>
      </c>
      <c r="N64" s="310">
        <v>3.0032622363160804</v>
      </c>
      <c r="O64" s="329">
        <v>-1.2976723551083835</v>
      </c>
      <c r="P64" s="206">
        <v>3</v>
      </c>
      <c r="Q64" s="207">
        <v>4</v>
      </c>
      <c r="R64" s="206">
        <v>2</v>
      </c>
      <c r="S64" s="208">
        <v>6</v>
      </c>
      <c r="T64" s="271">
        <v>7</v>
      </c>
      <c r="U64" s="271">
        <v>1</v>
      </c>
      <c r="V64" s="272">
        <v>6</v>
      </c>
      <c r="W64" s="272">
        <v>5</v>
      </c>
      <c r="X64" s="312">
        <v>7</v>
      </c>
      <c r="Y64" s="313">
        <v>7</v>
      </c>
      <c r="Z64" s="271">
        <v>7</v>
      </c>
      <c r="AA64" s="314">
        <v>7</v>
      </c>
      <c r="AB64" s="314">
        <v>6</v>
      </c>
      <c r="AC64" s="314">
        <f>IF(Таблица1[[#This Row],[Train]]=Таблица1[[#This Row],[НС]],1,0)</f>
        <v>1</v>
      </c>
      <c r="AD64" s="314">
        <f>IF(Таблица1[[#This Row],[НС]]=Таблица1[[#This Row],[К-средних]],1,0)</f>
        <v>1</v>
      </c>
      <c r="AE64" s="208">
        <v>6</v>
      </c>
      <c r="AF64" s="209">
        <f>SUMXMY2(Таблица1[[#This Row],[X1]:[X9]],Таблица1[[#Totals],[X1]:[X9]])</f>
        <v>48.618234366105121</v>
      </c>
      <c r="AG64" s="239" t="s">
        <v>2591</v>
      </c>
      <c r="AH64" s="239" t="s">
        <v>2588</v>
      </c>
      <c r="AI64" s="239" t="s">
        <v>2587</v>
      </c>
      <c r="AJ64" s="239" t="s">
        <v>2586</v>
      </c>
      <c r="AK64" s="239" t="s">
        <v>2589</v>
      </c>
      <c r="AL64" s="239" t="s">
        <v>2590</v>
      </c>
      <c r="AM64" s="239" t="s">
        <v>2592</v>
      </c>
      <c r="AN64" s="239" t="str">
        <f>RIGHT(Таблица1[[#This Row],[ДА1]],1)</f>
        <v>6</v>
      </c>
      <c r="AO64" s="214">
        <v>6</v>
      </c>
      <c r="AP64" s="213">
        <f>IF(Таблица1[[#This Row],[ДА Итог Копия]]=Таблица1[[#This Row],[Train]],1,0)</f>
        <v>1</v>
      </c>
      <c r="AQ64" s="213">
        <f>IF(Таблица1[[#This Row],[ДА Итог Копия]]=Таблица1[[#This Row],[К-средних]],1,0)</f>
        <v>1</v>
      </c>
      <c r="AR64" s="216">
        <v>593.49577240710153</v>
      </c>
      <c r="AS64" s="216">
        <v>625.49962638883153</v>
      </c>
      <c r="AT64" s="216">
        <v>668.56822604857496</v>
      </c>
      <c r="AU64" s="216">
        <v>635.51824675238015</v>
      </c>
      <c r="AV64" s="216">
        <v>576.58552292860554</v>
      </c>
      <c r="AW64" s="216">
        <v>10.494636035407378</v>
      </c>
      <c r="AX64" s="217">
        <v>1015.9411363515637</v>
      </c>
      <c r="AY64" s="218">
        <f>MATCH(MIN(Таблица1[[#This Row],[1 ДА Мах]:[7_ДА_Мах]]),Таблица1[[#This Row],[1 ДА Мах]:[7_ДА_Мах]],0)</f>
        <v>6</v>
      </c>
      <c r="AZ64" s="219">
        <f>IF(Таблица1[[#This Row],[ДА_Мах_Итог]]=Таблица1[[#This Row],[Train]],1,0)</f>
        <v>1</v>
      </c>
      <c r="BA64" s="219">
        <f>IF(Таблица1[[#This Row],[ДА_Мах_Итог]]=Таблица1[[#This Row],[К-средних]],1,0)</f>
        <v>1</v>
      </c>
      <c r="BB64" s="220">
        <v>0</v>
      </c>
      <c r="BC64" s="220">
        <v>0</v>
      </c>
      <c r="BD64" s="220">
        <v>0</v>
      </c>
      <c r="BE64" s="220">
        <v>0</v>
      </c>
      <c r="BF64" s="220">
        <v>0</v>
      </c>
      <c r="BG64" s="220">
        <v>1</v>
      </c>
      <c r="BH64" s="220">
        <v>0</v>
      </c>
      <c r="BI64" s="218">
        <f>MATCH(MAX(Таблица1[[#This Row],[1_ДА_Ап]:[7_ДА_Ап]]),Таблица1[[#This Row],[1_ДА_Ап]:[7_ДА_Ап]],0)</f>
        <v>6</v>
      </c>
      <c r="BJ64" s="219">
        <f>IF(Таблица1[[#This Row],[ДА_Ап_Итог]]=Таблица1[[#This Row],[Train]],1,0)</f>
        <v>1</v>
      </c>
      <c r="BK64" s="219">
        <f>IF(Таблица1[[#This Row],[ДА_Ап_Итог]]=Таблица1[[#This Row],[К-средних]],1,0)</f>
        <v>1</v>
      </c>
      <c r="BL64" s="234" t="s">
        <v>2591</v>
      </c>
      <c r="BM64" s="234" t="s">
        <v>2588</v>
      </c>
      <c r="BN64" s="234" t="s">
        <v>2587</v>
      </c>
      <c r="BO64" s="234" t="s">
        <v>2586</v>
      </c>
      <c r="BP64" s="234" t="s">
        <v>2589</v>
      </c>
      <c r="BQ64" s="234" t="s">
        <v>2590</v>
      </c>
      <c r="BR64" s="234" t="s">
        <v>2592</v>
      </c>
      <c r="BS64" s="234" t="str">
        <f>RIGHT(Таблица1[[#This Row],[ПДАсВ 1]],1)</f>
        <v>6</v>
      </c>
      <c r="BT64" s="227">
        <v>6</v>
      </c>
      <c r="BU64" s="212">
        <f>IF(Таблица1[[#This Row],[ПДАсВ Итог Копия]]=Таблица1[[#This Row],[Train]],1,0)</f>
        <v>1</v>
      </c>
      <c r="BV64" s="212">
        <f>IF(Таблица1[[#This Row],[ПДАсВ Итог Копия]]=Таблица1[[#This Row],[К-средних]],1,0)</f>
        <v>1</v>
      </c>
      <c r="BW64" s="235">
        <v>573.94173606458503</v>
      </c>
      <c r="BX64" s="235">
        <v>603.04320465740784</v>
      </c>
      <c r="BY64" s="235">
        <v>637.48600516219949</v>
      </c>
      <c r="BZ64" s="235">
        <v>590.60133302897952</v>
      </c>
      <c r="CA64" s="235">
        <v>562.32913308004981</v>
      </c>
      <c r="CB64" s="235">
        <v>9.5432360206273579</v>
      </c>
      <c r="CC64" s="235">
        <v>811.34819418775942</v>
      </c>
      <c r="CD64" s="218">
        <f>MATCH(MIN(Таблица1[[#This Row],[1 ДА Мах]:[7_ДА_Мах]]),Таблица1[[#This Row],[1 ДА Мах]:[7_ДА_Мах]],0)</f>
        <v>6</v>
      </c>
      <c r="CE64" s="219">
        <f>IF(Таблица1[[#This Row],[ДА_Мах_Итог]]=Таблица1[[#This Row],[Train]],1,0)</f>
        <v>1</v>
      </c>
      <c r="CF64" s="219">
        <f>IF(Таблица1[[#This Row],[ДА_Мах_Итог]]=Таблица1[[#This Row],[К-средних]],1,0)</f>
        <v>1</v>
      </c>
      <c r="CG64" s="236">
        <v>0</v>
      </c>
      <c r="CH64" s="236">
        <v>0</v>
      </c>
      <c r="CI64" s="236">
        <v>0</v>
      </c>
      <c r="CJ64" s="236">
        <v>0</v>
      </c>
      <c r="CK64" s="236">
        <v>0</v>
      </c>
      <c r="CL64" s="236">
        <v>1</v>
      </c>
      <c r="CM64" s="236">
        <v>0</v>
      </c>
      <c r="CN64" s="218">
        <f>MATCH(MAX(Таблица1[[#This Row],[1_ДА_Ап]:[7_ДА_Ап]]),Таблица1[[#This Row],[1_ДА_Ап]:[7_ДА_Ап]],0)</f>
        <v>6</v>
      </c>
      <c r="CO64" s="219">
        <f>IF(Таблица1[[#This Row],[ПДАсВ Итог Копия]]=Таблица1[[#This Row],[Train]],1,0)</f>
        <v>1</v>
      </c>
      <c r="CP64" s="219">
        <f>IF(Таблица1[[#This Row],[ПДАсВ Итог Копия]]=Таблица1[[#This Row],[К-средних]],1,0)</f>
        <v>1</v>
      </c>
      <c r="CQ64" s="234" t="s">
        <v>2591</v>
      </c>
      <c r="CR64" s="234" t="s">
        <v>2588</v>
      </c>
      <c r="CS64" s="234" t="s">
        <v>2587</v>
      </c>
      <c r="CT64" s="234" t="s">
        <v>2586</v>
      </c>
      <c r="CU64" s="234" t="s">
        <v>2589</v>
      </c>
      <c r="CV64" s="234" t="s">
        <v>2590</v>
      </c>
      <c r="CW64" s="234" t="s">
        <v>2592</v>
      </c>
      <c r="CX64" s="234" t="str">
        <f>RIGHT(Таблица1[[#This Row],[ПДАсИ 1]],1)</f>
        <v>6</v>
      </c>
      <c r="CY64" s="212">
        <v>6</v>
      </c>
      <c r="CZ64" s="212">
        <f>IF(Таблица1[[#This Row],[ПДАсИ Итог Копия]]=Таблица1[[#This Row],[Train]],1,0)</f>
        <v>1</v>
      </c>
      <c r="DA64" s="212">
        <f>IF(Таблица1[[#This Row],[ПДАсИ Итог Копия]]=Таблица1[[#This Row],[К-средних]],1,0)</f>
        <v>1</v>
      </c>
      <c r="DB64" s="237">
        <v>407.54425181026971</v>
      </c>
      <c r="DC64" s="237">
        <v>466.27772260085118</v>
      </c>
      <c r="DD64" s="237">
        <v>475.59350039699069</v>
      </c>
      <c r="DE64" s="237">
        <v>533.33010873226681</v>
      </c>
      <c r="DF64" s="237">
        <v>452.11752819850915</v>
      </c>
      <c r="DG64" s="237">
        <v>10.381350313343244</v>
      </c>
      <c r="DH64" s="237">
        <v>889.9217214816008</v>
      </c>
      <c r="DI64" s="224">
        <f>MATCH(MIN(Таблица1[[#This Row],[ПДАсИ Мах 1]:[ПДАсИ Мах 7]]),Таблица1[[#This Row],[ПДАсИ Мах 1]:[ПДАсИ Мах 7]],0)</f>
        <v>6</v>
      </c>
      <c r="DJ64" s="212">
        <f>IF(Таблица1[[#This Row],[ПДАсИ Мах Итог]]=Таблица1[[#This Row],[Train]],1,0)</f>
        <v>1</v>
      </c>
      <c r="DK64" s="212">
        <f>IF(Таблица1[[#This Row],[ПДАсИ Мах Итог]]=Таблица1[[#This Row],[К-средних]],1,0)</f>
        <v>1</v>
      </c>
      <c r="DL64" s="238">
        <v>0</v>
      </c>
      <c r="DM64" s="238">
        <v>0</v>
      </c>
      <c r="DN64" s="238">
        <v>0</v>
      </c>
      <c r="DO64" s="238">
        <v>0</v>
      </c>
      <c r="DP64" s="238">
        <v>0</v>
      </c>
      <c r="DQ64" s="238">
        <v>1</v>
      </c>
      <c r="DR64" s="238">
        <v>0</v>
      </c>
      <c r="DS64" s="224">
        <f>MATCH(MAX(Таблица1[[#This Row],[ПДАсИ Ап 1]:[ПДАсИ Ап 7]]),Таблица1[[#This Row],[ПДАсИ Ап 1]:[ПДАсИ Ап 7]],0)</f>
        <v>6</v>
      </c>
      <c r="DT64" s="212">
        <f>IF(Таблица1[[#This Row],[ПДАсИ Ап Итог]]=Таблица1[[#This Row],[Train]],1,0)</f>
        <v>1</v>
      </c>
      <c r="DU64" s="212">
        <f>IF(Таблица1[[#This Row],[ПДАсИ Ап Итог]]=Таблица1[[#This Row],[К-средних]],1,0)</f>
        <v>1</v>
      </c>
    </row>
    <row r="65" spans="1:125" ht="13.8">
      <c r="A65" s="205" t="s">
        <v>335</v>
      </c>
      <c r="B65" s="319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320">
        <v>0.31607652043469625</v>
      </c>
      <c r="K65" s="324">
        <v>0.29698020447087331</v>
      </c>
      <c r="L65" s="325">
        <v>0.27968024922970758</v>
      </c>
      <c r="M65" s="328">
        <v>0.19074397927089029</v>
      </c>
      <c r="N65" s="310">
        <v>-0.34109385102068723</v>
      </c>
      <c r="O65" s="329">
        <v>-0.33508976755131287</v>
      </c>
      <c r="P65" s="206">
        <v>5</v>
      </c>
      <c r="Q65" s="207">
        <v>5</v>
      </c>
      <c r="R65" s="206">
        <v>7</v>
      </c>
      <c r="S65" s="208">
        <v>3</v>
      </c>
      <c r="T65" s="271">
        <v>6</v>
      </c>
      <c r="U65" s="271">
        <v>4</v>
      </c>
      <c r="V65" s="272">
        <v>2</v>
      </c>
      <c r="W65" s="272">
        <v>6</v>
      </c>
      <c r="X65" s="312">
        <v>2</v>
      </c>
      <c r="Y65" s="313">
        <v>2</v>
      </c>
      <c r="Z65" s="271">
        <v>4</v>
      </c>
      <c r="AA65" s="314">
        <v>1</v>
      </c>
      <c r="AB65" s="343">
        <v>3</v>
      </c>
      <c r="AC65" s="343">
        <f>IF(Таблица1[[#This Row],[Train]]=Таблица1[[#This Row],[НС]],1,0)</f>
        <v>0</v>
      </c>
      <c r="AD65" s="343">
        <f>IF(Таблица1[[#This Row],[НС]]=Таблица1[[#This Row],[К-средних]],1,0)</f>
        <v>1</v>
      </c>
      <c r="AE65" s="208"/>
      <c r="AF65" s="209">
        <f>SUMXMY2(Таблица1[[#This Row],[X1]:[X9]],Таблица1[[#Totals],[X1]:[X9]])</f>
        <v>3.619309114478741</v>
      </c>
      <c r="AG65" s="239" t="s">
        <v>2588</v>
      </c>
      <c r="AH65" s="239" t="s">
        <v>2586</v>
      </c>
      <c r="AI65" s="239" t="s">
        <v>2587</v>
      </c>
      <c r="AJ65" s="239" t="s">
        <v>2590</v>
      </c>
      <c r="AK65" s="239" t="s">
        <v>2589</v>
      </c>
      <c r="AL65" s="239" t="s">
        <v>2591</v>
      </c>
      <c r="AM65" s="239" t="s">
        <v>2592</v>
      </c>
      <c r="AN65" s="239" t="str">
        <f>RIGHT(Таблица1[[#This Row],[ДА1]],1)</f>
        <v>1</v>
      </c>
      <c r="AO65" s="214">
        <v>1</v>
      </c>
      <c r="AP65" s="213">
        <f>IF(Таблица1[[#This Row],[ДА Итог Копия]]=Таблица1[[#This Row],[Train]],1,0)</f>
        <v>0</v>
      </c>
      <c r="AQ65" s="213">
        <f>IF(Таблица1[[#This Row],[ДА Итог Копия]]=Таблица1[[#This Row],[К-средних]],1,0)</f>
        <v>0</v>
      </c>
      <c r="AR65" s="216">
        <v>13.689801434756033</v>
      </c>
      <c r="AS65" s="216">
        <v>32.09402797935131</v>
      </c>
      <c r="AT65" s="216">
        <v>26.228057848395881</v>
      </c>
      <c r="AU65" s="216">
        <v>104.80628264736838</v>
      </c>
      <c r="AV65" s="216">
        <v>76.631245903448985</v>
      </c>
      <c r="AW65" s="216">
        <v>659.43874190236363</v>
      </c>
      <c r="AX65" s="217">
        <v>440.45822616197972</v>
      </c>
      <c r="AY65" s="218">
        <f>MATCH(MIN(Таблица1[[#This Row],[1 ДА Мах]:[7_ДА_Мах]]),Таблица1[[#This Row],[1 ДА Мах]:[7_ДА_Мах]],0)</f>
        <v>1</v>
      </c>
      <c r="AZ65" s="219">
        <f>IF(Таблица1[[#This Row],[ДА_Мах_Итог]]=Таблица1[[#This Row],[Train]],1,0)</f>
        <v>0</v>
      </c>
      <c r="BA65" s="219">
        <f>IF(Таблица1[[#This Row],[ДА_Мах_Итог]]=Таблица1[[#This Row],[К-средних]],1,0)</f>
        <v>0</v>
      </c>
      <c r="BB65" s="220">
        <v>0.99671989480171952</v>
      </c>
      <c r="BC65" s="220">
        <v>1.3399384440001186E-4</v>
      </c>
      <c r="BD65" s="220">
        <v>3.1461113538734024E-3</v>
      </c>
      <c r="BE65" s="220">
        <v>5.4420104541117573E-21</v>
      </c>
      <c r="BF65" s="220">
        <v>7.1431679995302247E-15</v>
      </c>
      <c r="BG65" s="220">
        <v>0</v>
      </c>
      <c r="BH65" s="220">
        <v>0</v>
      </c>
      <c r="BI65" s="218">
        <f>MATCH(MAX(Таблица1[[#This Row],[1_ДА_Ап]:[7_ДА_Ап]]),Таблица1[[#This Row],[1_ДА_Ап]:[7_ДА_Ап]],0)</f>
        <v>1</v>
      </c>
      <c r="BJ65" s="219">
        <f>IF(Таблица1[[#This Row],[ДА_Ап_Итог]]=Таблица1[[#This Row],[Train]],1,0)</f>
        <v>0</v>
      </c>
      <c r="BK65" s="219">
        <f>IF(Таблица1[[#This Row],[ДА_Ап_Итог]]=Таблица1[[#This Row],[К-средних]],1,0)</f>
        <v>0</v>
      </c>
      <c r="BL65" s="234" t="s">
        <v>2588</v>
      </c>
      <c r="BM65" s="234" t="s">
        <v>2586</v>
      </c>
      <c r="BN65" s="234" t="s">
        <v>2587</v>
      </c>
      <c r="BO65" s="234" t="s">
        <v>2590</v>
      </c>
      <c r="BP65" s="234" t="s">
        <v>2589</v>
      </c>
      <c r="BQ65" s="234" t="s">
        <v>2591</v>
      </c>
      <c r="BR65" s="234" t="s">
        <v>2592</v>
      </c>
      <c r="BS65" s="234" t="str">
        <f>RIGHT(Таблица1[[#This Row],[ПДАсВ 1]],1)</f>
        <v>1</v>
      </c>
      <c r="BT65" s="227">
        <v>1</v>
      </c>
      <c r="BU65" s="212">
        <f>IF(Таблица1[[#This Row],[ПДАсВ Итог Копия]]=Таблица1[[#This Row],[Train]],1,0)</f>
        <v>0</v>
      </c>
      <c r="BV65" s="212">
        <f>IF(Таблица1[[#This Row],[ПДАсВ Итог Копия]]=Таблица1[[#This Row],[К-средних]],1,0)</f>
        <v>0</v>
      </c>
      <c r="BW65" s="235">
        <v>7.9162531496473578</v>
      </c>
      <c r="BX65" s="235">
        <v>25.720579184817222</v>
      </c>
      <c r="BY65" s="235">
        <v>13.319349509050973</v>
      </c>
      <c r="BZ65" s="235">
        <v>78.428270342711514</v>
      </c>
      <c r="CA65" s="235">
        <v>60.611197777877877</v>
      </c>
      <c r="CB65" s="235">
        <v>657.2770410049028</v>
      </c>
      <c r="CC65" s="235">
        <v>290.05312507483427</v>
      </c>
      <c r="CD65" s="218">
        <f>MATCH(MIN(Таблица1[[#This Row],[1 ДА Мах]:[7_ДА_Мах]]),Таблица1[[#This Row],[1 ДА Мах]:[7_ДА_Мах]],0)</f>
        <v>1</v>
      </c>
      <c r="CE65" s="219">
        <f>IF(Таблица1[[#This Row],[ДА_Мах_Итог]]=Таблица1[[#This Row],[Train]],1,0)</f>
        <v>0</v>
      </c>
      <c r="CF65" s="219">
        <f>IF(Таблица1[[#This Row],[ДА_Мах_Итог]]=Таблица1[[#This Row],[К-средних]],1,0)</f>
        <v>0</v>
      </c>
      <c r="CG65" s="236">
        <v>0.89926652798243911</v>
      </c>
      <c r="CH65" s="236">
        <v>1.6317998531323652E-4</v>
      </c>
      <c r="CI65" s="236">
        <v>0.10057029203116546</v>
      </c>
      <c r="CJ65" s="236">
        <v>1.4631107003750948E-16</v>
      </c>
      <c r="CK65" s="236">
        <v>1.0819453775684903E-12</v>
      </c>
      <c r="CL65" s="236">
        <v>0</v>
      </c>
      <c r="CM65" s="236">
        <v>0</v>
      </c>
      <c r="CN65" s="218">
        <f>MATCH(MAX(Таблица1[[#This Row],[1_ДА_Ап]:[7_ДА_Ап]]),Таблица1[[#This Row],[1_ДА_Ап]:[7_ДА_Ап]],0)</f>
        <v>1</v>
      </c>
      <c r="CO65" s="219">
        <f>IF(Таблица1[[#This Row],[ПДАсВ Итог Копия]]=Таблица1[[#This Row],[Train]],1,0)</f>
        <v>0</v>
      </c>
      <c r="CP65" s="219">
        <f>IF(Таблица1[[#This Row],[ПДАсВ Итог Копия]]=Таблица1[[#This Row],[К-средних]],1,0)</f>
        <v>0</v>
      </c>
      <c r="CQ65" s="234" t="s">
        <v>2588</v>
      </c>
      <c r="CR65" s="234" t="s">
        <v>2586</v>
      </c>
      <c r="CS65" s="234" t="s">
        <v>2587</v>
      </c>
      <c r="CT65" s="234" t="s">
        <v>2590</v>
      </c>
      <c r="CU65" s="234" t="s">
        <v>2589</v>
      </c>
      <c r="CV65" s="234" t="s">
        <v>2591</v>
      </c>
      <c r="CW65" s="234" t="s">
        <v>2592</v>
      </c>
      <c r="CX65" s="234" t="str">
        <f>RIGHT(Таблица1[[#This Row],[ПДАсИ 1]],1)</f>
        <v>1</v>
      </c>
      <c r="CY65" s="212">
        <v>1</v>
      </c>
      <c r="CZ65" s="212">
        <f>IF(Таблица1[[#This Row],[ПДАсИ Итог Копия]]=Таблица1[[#This Row],[Train]],1,0)</f>
        <v>0</v>
      </c>
      <c r="DA65" s="212">
        <f>IF(Таблица1[[#This Row],[ПДАсИ Итог Копия]]=Таблица1[[#This Row],[К-средних]],1,0)</f>
        <v>0</v>
      </c>
      <c r="DB65" s="237">
        <v>11.380747318023118</v>
      </c>
      <c r="DC65" s="237">
        <v>30.57607215996801</v>
      </c>
      <c r="DD65" s="237">
        <v>23.689482273669995</v>
      </c>
      <c r="DE65" s="237">
        <v>77.112441775437844</v>
      </c>
      <c r="DF65" s="237">
        <v>55.548004611869757</v>
      </c>
      <c r="DG65" s="237">
        <v>480.84225234908115</v>
      </c>
      <c r="DH65" s="237">
        <v>414.47971563032542</v>
      </c>
      <c r="DI65" s="224">
        <f>MATCH(MIN(Таблица1[[#This Row],[ПДАсИ Мах 1]:[ПДАсИ Мах 7]]),Таблица1[[#This Row],[ПДАсИ Мах 1]:[ПДАсИ Мах 7]],0)</f>
        <v>1</v>
      </c>
      <c r="DJ65" s="212">
        <f>IF(Таблица1[[#This Row],[ПДАсИ Мах Итог]]=Таблица1[[#This Row],[Train]],1,0)</f>
        <v>0</v>
      </c>
      <c r="DK65" s="212">
        <f>IF(Таблица1[[#This Row],[ПДАсИ Мах Итог]]=Таблица1[[#This Row],[К-средних]],1,0)</f>
        <v>0</v>
      </c>
      <c r="DL65" s="238">
        <v>0.99638231185362858</v>
      </c>
      <c r="DM65" s="238">
        <v>9.0188864105639701E-5</v>
      </c>
      <c r="DN65" s="238">
        <v>3.527499197050827E-3</v>
      </c>
      <c r="DO65" s="238">
        <v>1.7694922300122919E-15</v>
      </c>
      <c r="DP65" s="238">
        <v>8.5213164305841385E-11</v>
      </c>
      <c r="DQ65" s="238">
        <v>0</v>
      </c>
      <c r="DR65" s="238">
        <v>0</v>
      </c>
      <c r="DS65" s="224">
        <f>MATCH(MAX(Таблица1[[#This Row],[ПДАсИ Ап 1]:[ПДАсИ Ап 7]]),Таблица1[[#This Row],[ПДАсИ Ап 1]:[ПДАсИ Ап 7]],0)</f>
        <v>1</v>
      </c>
      <c r="DT65" s="212">
        <f>IF(Таблица1[[#This Row],[ПДАсИ Ап Итог]]=Таблица1[[#This Row],[Train]],1,0)</f>
        <v>0</v>
      </c>
      <c r="DU65" s="212">
        <f>IF(Таблица1[[#This Row],[ПДАсИ Ап Итог]]=Таблица1[[#This Row],[К-средних]],1,0)</f>
        <v>0</v>
      </c>
    </row>
    <row r="66" spans="1:125" ht="13.8">
      <c r="A66" s="205" t="s">
        <v>336</v>
      </c>
      <c r="B66" s="319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320">
        <v>-0.22371508372600421</v>
      </c>
      <c r="K66" s="324">
        <v>-1.5669879891515488</v>
      </c>
      <c r="L66" s="325">
        <v>-0.24929968874400013</v>
      </c>
      <c r="M66" s="328">
        <v>-1.5465346336166921</v>
      </c>
      <c r="N66" s="310">
        <v>0.17964202437771151</v>
      </c>
      <c r="O66" s="329">
        <v>-1.7591255150552969</v>
      </c>
      <c r="P66" s="206">
        <v>6</v>
      </c>
      <c r="Q66" s="207">
        <v>5</v>
      </c>
      <c r="R66" s="206">
        <v>6</v>
      </c>
      <c r="S66" s="208">
        <v>5</v>
      </c>
      <c r="T66" s="271">
        <v>4</v>
      </c>
      <c r="U66" s="271">
        <v>5</v>
      </c>
      <c r="V66" s="272">
        <v>1</v>
      </c>
      <c r="W66" s="272">
        <v>4</v>
      </c>
      <c r="X66" s="312">
        <v>5</v>
      </c>
      <c r="Y66" s="313">
        <v>5</v>
      </c>
      <c r="Z66" s="271">
        <v>3</v>
      </c>
      <c r="AA66" s="314">
        <v>6</v>
      </c>
      <c r="AB66" s="343">
        <v>5</v>
      </c>
      <c r="AC66" s="343">
        <f>IF(Таблица1[[#This Row],[Train]]=Таблица1[[#This Row],[НС]],1,0)</f>
        <v>0</v>
      </c>
      <c r="AD66" s="343">
        <f>IF(Таблица1[[#This Row],[НС]]=Таблица1[[#This Row],[К-средних]],1,0)</f>
        <v>1</v>
      </c>
      <c r="AE66" s="208"/>
      <c r="AF66" s="209">
        <f>SUMXMY2(Таблица1[[#This Row],[X1]:[X9]],Таблица1[[#Totals],[X1]:[X9]])</f>
        <v>17.126443800269627</v>
      </c>
      <c r="AG66" s="239" t="s">
        <v>2590</v>
      </c>
      <c r="AH66" s="239" t="s">
        <v>2589</v>
      </c>
      <c r="AI66" s="239" t="s">
        <v>2587</v>
      </c>
      <c r="AJ66" s="239" t="s">
        <v>2588</v>
      </c>
      <c r="AK66" s="239" t="s">
        <v>2586</v>
      </c>
      <c r="AL66" s="239" t="s">
        <v>2591</v>
      </c>
      <c r="AM66" s="239" t="s">
        <v>2592</v>
      </c>
      <c r="AN66" s="239" t="str">
        <f>RIGHT(Таблица1[[#This Row],[ДА1]],1)</f>
        <v>5</v>
      </c>
      <c r="AO66" s="214">
        <v>5</v>
      </c>
      <c r="AP66" s="213">
        <f>IF(Таблица1[[#This Row],[ДА Итог Копия]]=Таблица1[[#This Row],[Train]],1,0)</f>
        <v>0</v>
      </c>
      <c r="AQ66" s="213">
        <f>IF(Таблица1[[#This Row],[ДА Итог Копия]]=Таблица1[[#This Row],[К-средних]],1,0)</f>
        <v>1</v>
      </c>
      <c r="AR66" s="216">
        <v>153.58137364705181</v>
      </c>
      <c r="AS66" s="216">
        <v>141.83116887815291</v>
      </c>
      <c r="AT66" s="216">
        <v>165.72421059584107</v>
      </c>
      <c r="AU66" s="216">
        <v>126.88356803156779</v>
      </c>
      <c r="AV66" s="216">
        <v>41.584177434289224</v>
      </c>
      <c r="AW66" s="216">
        <v>519.9874540092444</v>
      </c>
      <c r="AX66" s="217">
        <v>524.49377974177105</v>
      </c>
      <c r="AY66" s="218">
        <f>MATCH(MIN(Таблица1[[#This Row],[1 ДА Мах]:[7_ДА_Мах]]),Таблица1[[#This Row],[1 ДА Мах]:[7_ДА_Мах]],0)</f>
        <v>5</v>
      </c>
      <c r="AZ66" s="219">
        <f>IF(Таблица1[[#This Row],[ДА_Мах_Итог]]=Таблица1[[#This Row],[Train]],1,0)</f>
        <v>0</v>
      </c>
      <c r="BA66" s="219">
        <f>IF(Таблица1[[#This Row],[ДА_Мах_Итог]]=Таблица1[[#This Row],[К-средних]],1,0)</f>
        <v>1</v>
      </c>
      <c r="BB66" s="220">
        <v>1.4362799661795843E-24</v>
      </c>
      <c r="BC66" s="220">
        <v>6.8187125955617554E-22</v>
      </c>
      <c r="BD66" s="220">
        <v>5.5246441743506649E-27</v>
      </c>
      <c r="BE66" s="220">
        <v>3.0024285211607692E-19</v>
      </c>
      <c r="BF66" s="220">
        <v>1</v>
      </c>
      <c r="BG66" s="220">
        <v>0</v>
      </c>
      <c r="BH66" s="220">
        <v>0</v>
      </c>
      <c r="BI66" s="218">
        <f>MATCH(MAX(Таблица1[[#This Row],[1_ДА_Ап]:[7_ДА_Ап]]),Таблица1[[#This Row],[1_ДА_Ап]:[7_ДА_Ап]],0)</f>
        <v>5</v>
      </c>
      <c r="BJ66" s="219">
        <f>IF(Таблица1[[#This Row],[ДА_Ап_Итог]]=Таблица1[[#This Row],[Train]],1,0)</f>
        <v>0</v>
      </c>
      <c r="BK66" s="219">
        <f>IF(Таблица1[[#This Row],[ДА_Ап_Итог]]=Таблица1[[#This Row],[К-средних]],1,0)</f>
        <v>1</v>
      </c>
      <c r="BL66" s="234" t="s">
        <v>2590</v>
      </c>
      <c r="BM66" s="234" t="s">
        <v>2589</v>
      </c>
      <c r="BN66" s="234" t="s">
        <v>2587</v>
      </c>
      <c r="BO66" s="234" t="s">
        <v>2586</v>
      </c>
      <c r="BP66" s="234" t="s">
        <v>2588</v>
      </c>
      <c r="BQ66" s="234" t="s">
        <v>2591</v>
      </c>
      <c r="BR66" s="234" t="s">
        <v>2592</v>
      </c>
      <c r="BS66" s="234" t="str">
        <f>RIGHT(Таблица1[[#This Row],[ПДАсВ 1]],1)</f>
        <v>5</v>
      </c>
      <c r="BT66" s="227">
        <v>5</v>
      </c>
      <c r="BU66" s="212">
        <f>IF(Таблица1[[#This Row],[ПДАсВ Итог Копия]]=Таблица1[[#This Row],[Train]],1,0)</f>
        <v>0</v>
      </c>
      <c r="BV66" s="212">
        <f>IF(Таблица1[[#This Row],[ПДАсВ Итог Копия]]=Таблица1[[#This Row],[К-средних]],1,0)</f>
        <v>1</v>
      </c>
      <c r="BW66" s="235">
        <v>123.42529916635753</v>
      </c>
      <c r="BX66" s="235">
        <v>88.09275802730248</v>
      </c>
      <c r="BY66" s="235">
        <v>114.60886692184656</v>
      </c>
      <c r="BZ66" s="235">
        <v>63.0264660506149</v>
      </c>
      <c r="CA66" s="235">
        <v>36.73286181089501</v>
      </c>
      <c r="CB66" s="235">
        <v>483.32590198179702</v>
      </c>
      <c r="CC66" s="235">
        <v>329.52941200332259</v>
      </c>
      <c r="CD66" s="218">
        <f>MATCH(MIN(Таблица1[[#This Row],[1 ДА Мах]:[7_ДА_Мах]]),Таблица1[[#This Row],[1 ДА Мах]:[7_ДА_Мах]],0)</f>
        <v>5</v>
      </c>
      <c r="CE66" s="219">
        <f>IF(Таблица1[[#This Row],[ДА_Мах_Итог]]=Таблица1[[#This Row],[Train]],1,0)</f>
        <v>0</v>
      </c>
      <c r="CF66" s="219">
        <f>IF(Таблица1[[#This Row],[ДА_Мах_Итог]]=Таблица1[[#This Row],[К-средних]],1,0)</f>
        <v>1</v>
      </c>
      <c r="CG66" s="236">
        <v>4.4884544682941962E-19</v>
      </c>
      <c r="CH66" s="236">
        <v>2.8144878925748783E-11</v>
      </c>
      <c r="CI66" s="236">
        <v>6.1434101445386913E-17</v>
      </c>
      <c r="CJ66" s="236">
        <v>1.9517111222003642E-6</v>
      </c>
      <c r="CK66" s="236">
        <v>0.9999980482607328</v>
      </c>
      <c r="CL66" s="236">
        <v>0</v>
      </c>
      <c r="CM66" s="236">
        <v>0</v>
      </c>
      <c r="CN66" s="218">
        <f>MATCH(MAX(Таблица1[[#This Row],[1_ДА_Ап]:[7_ДА_Ап]]),Таблица1[[#This Row],[1_ДА_Ап]:[7_ДА_Ап]],0)</f>
        <v>5</v>
      </c>
      <c r="CO66" s="219">
        <f>IF(Таблица1[[#This Row],[ПДАсВ Итог Копия]]=Таблица1[[#This Row],[Train]],1,0)</f>
        <v>0</v>
      </c>
      <c r="CP66" s="219">
        <f>IF(Таблица1[[#This Row],[ПДАсВ Итог Копия]]=Таблица1[[#This Row],[К-средних]],1,0)</f>
        <v>1</v>
      </c>
      <c r="CQ66" s="234" t="s">
        <v>2590</v>
      </c>
      <c r="CR66" s="234" t="s">
        <v>2587</v>
      </c>
      <c r="CS66" s="234" t="s">
        <v>2586</v>
      </c>
      <c r="CT66" s="234" t="s">
        <v>2588</v>
      </c>
      <c r="CU66" s="234" t="s">
        <v>2589</v>
      </c>
      <c r="CV66" s="234" t="s">
        <v>2591</v>
      </c>
      <c r="CW66" s="234" t="s">
        <v>2592</v>
      </c>
      <c r="CX66" s="234" t="str">
        <f>RIGHT(Таблица1[[#This Row],[ПДАсИ 1]],1)</f>
        <v>5</v>
      </c>
      <c r="CY66" s="212">
        <v>5</v>
      </c>
      <c r="CZ66" s="212">
        <f>IF(Таблица1[[#This Row],[ПДАсИ Итог Копия]]=Таблица1[[#This Row],[Train]],1,0)</f>
        <v>0</v>
      </c>
      <c r="DA66" s="212">
        <f>IF(Таблица1[[#This Row],[ПДАсИ Итог Копия]]=Таблица1[[#This Row],[К-средних]],1,0)</f>
        <v>1</v>
      </c>
      <c r="DB66" s="237">
        <v>81.07058941272507</v>
      </c>
      <c r="DC66" s="237">
        <v>63.576287491775972</v>
      </c>
      <c r="DD66" s="237">
        <v>79.691418316483734</v>
      </c>
      <c r="DE66" s="237">
        <v>81.80232612825651</v>
      </c>
      <c r="DF66" s="237">
        <v>16.551138815984402</v>
      </c>
      <c r="DG66" s="237">
        <v>449.90504220721431</v>
      </c>
      <c r="DH66" s="237">
        <v>490.29156333086303</v>
      </c>
      <c r="DI66" s="224">
        <f>MATCH(MIN(Таблица1[[#This Row],[ПДАсИ Мах 1]:[ПДАсИ Мах 7]]),Таблица1[[#This Row],[ПДАсИ Мах 1]:[ПДАсИ Мах 7]],0)</f>
        <v>5</v>
      </c>
      <c r="DJ66" s="212">
        <f>IF(Таблица1[[#This Row],[ПДАсИ Мах Итог]]=Таблица1[[#This Row],[Train]],1,0)</f>
        <v>0</v>
      </c>
      <c r="DK66" s="212">
        <f>IF(Таблица1[[#This Row],[ПДАсИ Мах Итог]]=Таблица1[[#This Row],[К-средних]],1,0)</f>
        <v>1</v>
      </c>
      <c r="DL66" s="238">
        <v>2.9302223044254853E-14</v>
      </c>
      <c r="DM66" s="238">
        <v>2.4585480519718594E-10</v>
      </c>
      <c r="DN66" s="238">
        <v>9.7326816427743221E-14</v>
      </c>
      <c r="DO66" s="238">
        <v>6.7746163545561856E-15</v>
      </c>
      <c r="DP66" s="238">
        <v>0.99999999975401188</v>
      </c>
      <c r="DQ66" s="238">
        <v>0</v>
      </c>
      <c r="DR66" s="238">
        <v>0</v>
      </c>
      <c r="DS66" s="224">
        <f>MATCH(MAX(Таблица1[[#This Row],[ПДАсИ Ап 1]:[ПДАсИ Ап 7]]),Таблица1[[#This Row],[ПДАсИ Ап 1]:[ПДАсИ Ап 7]],0)</f>
        <v>5</v>
      </c>
      <c r="DT66" s="212">
        <f>IF(Таблица1[[#This Row],[ПДАсИ Ап Итог]]=Таблица1[[#This Row],[Train]],1,0)</f>
        <v>0</v>
      </c>
      <c r="DU66" s="212">
        <f>IF(Таблица1[[#This Row],[ПДАсИ Ап Итог]]=Таблица1[[#This Row],[К-средних]],1,0)</f>
        <v>1</v>
      </c>
    </row>
    <row r="67" spans="1:125" ht="13.8">
      <c r="A67" s="205" t="s">
        <v>337</v>
      </c>
      <c r="B67" s="319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320">
        <v>-1.0410266651670645</v>
      </c>
      <c r="K67" s="324">
        <v>-0.47194241629879347</v>
      </c>
      <c r="L67" s="325">
        <v>-5.7009175861415073E-2</v>
      </c>
      <c r="M67" s="328">
        <v>-0.32669057302413157</v>
      </c>
      <c r="N67" s="310">
        <v>-0.1593392528409249</v>
      </c>
      <c r="O67" s="329">
        <v>0.72149670600582083</v>
      </c>
      <c r="P67" s="206">
        <v>5</v>
      </c>
      <c r="Q67" s="207">
        <v>5</v>
      </c>
      <c r="R67" s="206">
        <v>5</v>
      </c>
      <c r="S67" s="208">
        <v>3</v>
      </c>
      <c r="T67" s="271">
        <v>2</v>
      </c>
      <c r="U67" s="271">
        <v>6</v>
      </c>
      <c r="V67" s="272">
        <v>1</v>
      </c>
      <c r="W67" s="272">
        <v>1</v>
      </c>
      <c r="X67" s="312">
        <v>3</v>
      </c>
      <c r="Y67" s="313">
        <v>1</v>
      </c>
      <c r="Z67" s="271">
        <v>1</v>
      </c>
      <c r="AA67" s="314">
        <v>2</v>
      </c>
      <c r="AB67" s="314">
        <v>3</v>
      </c>
      <c r="AC67" s="314">
        <f>IF(Таблица1[[#This Row],[Train]]=Таблица1[[#This Row],[НС]],1,0)</f>
        <v>1</v>
      </c>
      <c r="AD67" s="314">
        <f>IF(Таблица1[[#This Row],[НС]]=Таблица1[[#This Row],[К-средних]],1,0)</f>
        <v>1</v>
      </c>
      <c r="AE67" s="208">
        <v>3</v>
      </c>
      <c r="AF67" s="209">
        <f>SUMXMY2(Таблица1[[#This Row],[X1]:[X9]],Таблица1[[#Totals],[X1]:[X9]])</f>
        <v>3.0858293003703725</v>
      </c>
      <c r="AG67" s="239" t="s">
        <v>2586</v>
      </c>
      <c r="AH67" s="239" t="s">
        <v>2587</v>
      </c>
      <c r="AI67" s="239" t="s">
        <v>2588</v>
      </c>
      <c r="AJ67" s="239" t="s">
        <v>2589</v>
      </c>
      <c r="AK67" s="239" t="s">
        <v>2590</v>
      </c>
      <c r="AL67" s="239" t="s">
        <v>2591</v>
      </c>
      <c r="AM67" s="239" t="s">
        <v>2592</v>
      </c>
      <c r="AN67" s="239" t="str">
        <f>RIGHT(Таблица1[[#This Row],[ДА1]],1)</f>
        <v>3</v>
      </c>
      <c r="AO67" s="214">
        <v>3</v>
      </c>
      <c r="AP67" s="213">
        <f>IF(Таблица1[[#This Row],[ДА Итог Копия]]=Таблица1[[#This Row],[Train]],1,0)</f>
        <v>1</v>
      </c>
      <c r="AQ67" s="213">
        <f>IF(Таблица1[[#This Row],[ДА Итог Копия]]=Таблица1[[#This Row],[К-средних]],1,0)</f>
        <v>1</v>
      </c>
      <c r="AR67" s="216">
        <v>32.859973227302106</v>
      </c>
      <c r="AS67" s="216">
        <v>30.888253106274288</v>
      </c>
      <c r="AT67" s="216">
        <v>9.3717956150462438</v>
      </c>
      <c r="AU67" s="216">
        <v>59.959257382378183</v>
      </c>
      <c r="AV67" s="216">
        <v>72.405446458632809</v>
      </c>
      <c r="AW67" s="216">
        <v>672.83789867779035</v>
      </c>
      <c r="AX67" s="217">
        <v>399.73689896894723</v>
      </c>
      <c r="AY67" s="218">
        <f>MATCH(MIN(Таблица1[[#This Row],[1 ДА Мах]:[7_ДА_Мах]]),Таблица1[[#This Row],[1 ДА Мах]:[7_ДА_Мах]],0)</f>
        <v>3</v>
      </c>
      <c r="AZ67" s="219">
        <f>IF(Таблица1[[#This Row],[ДА_Мах_Итог]]=Таблица1[[#This Row],[Train]],1,0)</f>
        <v>1</v>
      </c>
      <c r="BA67" s="219">
        <f>IF(Таблица1[[#This Row],[ДА_Мах_Итог]]=Таблица1[[#This Row],[К-средних]],1,0)</f>
        <v>1</v>
      </c>
      <c r="BB67" s="220">
        <v>4.7615552635449203E-6</v>
      </c>
      <c r="BC67" s="220">
        <v>1.7015360312236711E-5</v>
      </c>
      <c r="BD67" s="220">
        <v>0.99997822308234952</v>
      </c>
      <c r="BE67" s="220">
        <v>2.0705836885479752E-12</v>
      </c>
      <c r="BF67" s="220">
        <v>4.106172311625428E-15</v>
      </c>
      <c r="BG67" s="220">
        <v>0</v>
      </c>
      <c r="BH67" s="220">
        <v>0</v>
      </c>
      <c r="BI67" s="218">
        <f>MATCH(MAX(Таблица1[[#This Row],[1_ДА_Ап]:[7_ДА_Ап]]),Таблица1[[#This Row],[1_ДА_Ап]:[7_ДА_Ап]],0)</f>
        <v>3</v>
      </c>
      <c r="BJ67" s="219">
        <f>IF(Таблица1[[#This Row],[ДА_Ап_Итог]]=Таблица1[[#This Row],[Train]],1,0)</f>
        <v>1</v>
      </c>
      <c r="BK67" s="219">
        <f>IF(Таблица1[[#This Row],[ДА_Ап_Итог]]=Таблица1[[#This Row],[К-средних]],1,0)</f>
        <v>1</v>
      </c>
      <c r="BL67" s="234" t="s">
        <v>2586</v>
      </c>
      <c r="BM67" s="234" t="s">
        <v>2587</v>
      </c>
      <c r="BN67" s="234" t="s">
        <v>2588</v>
      </c>
      <c r="BO67" s="234" t="s">
        <v>2590</v>
      </c>
      <c r="BP67" s="234" t="s">
        <v>2589</v>
      </c>
      <c r="BQ67" s="234" t="s">
        <v>2591</v>
      </c>
      <c r="BR67" s="234" t="s">
        <v>2592</v>
      </c>
      <c r="BS67" s="234" t="str">
        <f>RIGHT(Таблица1[[#This Row],[ПДАсВ 1]],1)</f>
        <v>3</v>
      </c>
      <c r="BT67" s="227">
        <v>3</v>
      </c>
      <c r="BU67" s="212">
        <f>IF(Таблица1[[#This Row],[ПДАсВ Итог Копия]]=Таблица1[[#This Row],[Train]],1,0)</f>
        <v>1</v>
      </c>
      <c r="BV67" s="212">
        <f>IF(Таблица1[[#This Row],[ПДАсВ Итог Копия]]=Таблица1[[#This Row],[К-средних]],1,0)</f>
        <v>1</v>
      </c>
      <c r="BW67" s="235">
        <v>22.693856624492962</v>
      </c>
      <c r="BX67" s="235">
        <v>12.574625953715845</v>
      </c>
      <c r="BY67" s="235">
        <v>3.5717303601594264</v>
      </c>
      <c r="BZ67" s="235">
        <v>56.143518767271729</v>
      </c>
      <c r="CA67" s="235">
        <v>38.142296025604821</v>
      </c>
      <c r="CB67" s="235">
        <v>653.62022934959384</v>
      </c>
      <c r="CC67" s="235">
        <v>301.19369487076807</v>
      </c>
      <c r="CD67" s="218">
        <f>MATCH(MIN(Таблица1[[#This Row],[1 ДА Мах]:[7_ДА_Мах]]),Таблица1[[#This Row],[1 ДА Мах]:[7_ДА_Мах]],0)</f>
        <v>3</v>
      </c>
      <c r="CE67" s="219">
        <f>IF(Таблица1[[#This Row],[ДА_Мах_Итог]]=Таблица1[[#This Row],[Train]],1,0)</f>
        <v>1</v>
      </c>
      <c r="CF67" s="219">
        <f>IF(Таблица1[[#This Row],[ДА_Мах_Итог]]=Таблица1[[#This Row],[К-средних]],1,0)</f>
        <v>1</v>
      </c>
      <c r="CG67" s="236">
        <v>4.1877333899021238E-5</v>
      </c>
      <c r="CH67" s="236">
        <v>8.7959101023468815E-3</v>
      </c>
      <c r="CI67" s="236">
        <v>0.99116220639318342</v>
      </c>
      <c r="CJ67" s="236">
        <v>7.6094965582407429E-13</v>
      </c>
      <c r="CK67" s="236">
        <v>6.1698098147475572E-9</v>
      </c>
      <c r="CL67" s="236">
        <v>0</v>
      </c>
      <c r="CM67" s="236">
        <v>0</v>
      </c>
      <c r="CN67" s="218">
        <f>MATCH(MAX(Таблица1[[#This Row],[1_ДА_Ап]:[7_ДА_Ап]]),Таблица1[[#This Row],[1_ДА_Ап]:[7_ДА_Ап]],0)</f>
        <v>3</v>
      </c>
      <c r="CO67" s="219">
        <f>IF(Таблица1[[#This Row],[ПДАсВ Итог Копия]]=Таблица1[[#This Row],[Train]],1,0)</f>
        <v>1</v>
      </c>
      <c r="CP67" s="219">
        <f>IF(Таблица1[[#This Row],[ПДАсВ Итог Копия]]=Таблица1[[#This Row],[К-средних]],1,0)</f>
        <v>1</v>
      </c>
      <c r="CQ67" s="234" t="s">
        <v>2586</v>
      </c>
      <c r="CR67" s="234" t="s">
        <v>2587</v>
      </c>
      <c r="CS67" s="234" t="s">
        <v>2588</v>
      </c>
      <c r="CT67" s="234" t="s">
        <v>2589</v>
      </c>
      <c r="CU67" s="234" t="s">
        <v>2590</v>
      </c>
      <c r="CV67" s="234" t="s">
        <v>2591</v>
      </c>
      <c r="CW67" s="234" t="s">
        <v>2592</v>
      </c>
      <c r="CX67" s="234" t="str">
        <f>RIGHT(Таблица1[[#This Row],[ПДАсИ 1]],1)</f>
        <v>3</v>
      </c>
      <c r="CY67" s="212">
        <v>3</v>
      </c>
      <c r="CZ67" s="212">
        <f>IF(Таблица1[[#This Row],[ПДАсИ Итог Копия]]=Таблица1[[#This Row],[Train]],1,0)</f>
        <v>1</v>
      </c>
      <c r="DA67" s="212">
        <f>IF(Таблица1[[#This Row],[ПДАсИ Итог Копия]]=Таблица1[[#This Row],[К-средних]],1,0)</f>
        <v>1</v>
      </c>
      <c r="DB67" s="237">
        <v>21.909836564170817</v>
      </c>
      <c r="DC67" s="237">
        <v>9.5362211765258014</v>
      </c>
      <c r="DD67" s="237">
        <v>5.2728552608329409</v>
      </c>
      <c r="DE67" s="237">
        <v>36.922705992581186</v>
      </c>
      <c r="DF67" s="237">
        <v>37.606426237802161</v>
      </c>
      <c r="DG67" s="237">
        <v>460.81469829895082</v>
      </c>
      <c r="DH67" s="237">
        <v>381.01483911782634</v>
      </c>
      <c r="DI67" s="224">
        <f>MATCH(MIN(Таблица1[[#This Row],[ПДАсИ Мах 1]:[ПДАсИ Мах 7]]),Таблица1[[#This Row],[ПДАсИ Мах 1]:[ПДАсИ Мах 7]],0)</f>
        <v>3</v>
      </c>
      <c r="DJ67" s="212">
        <f>IF(Таблица1[[#This Row],[ПДАсИ Мах Итог]]=Таблица1[[#This Row],[Train]],1,0)</f>
        <v>1</v>
      </c>
      <c r="DK67" s="212">
        <f>IF(Таблица1[[#This Row],[ПДАсИ Мах Итог]]=Таблица1[[#This Row],[К-средних]],1,0)</f>
        <v>1</v>
      </c>
      <c r="DL67" s="238">
        <v>1.3367191711908004E-4</v>
      </c>
      <c r="DM67" s="238">
        <v>8.6671308918037024E-2</v>
      </c>
      <c r="DN67" s="238">
        <v>0.91319497728302701</v>
      </c>
      <c r="DO67" s="238">
        <v>2.4485881696586956E-8</v>
      </c>
      <c r="DP67" s="238">
        <v>1.7395935231726435E-8</v>
      </c>
      <c r="DQ67" s="238">
        <v>0</v>
      </c>
      <c r="DR67" s="238">
        <v>0</v>
      </c>
      <c r="DS67" s="224">
        <f>MATCH(MAX(Таблица1[[#This Row],[ПДАсИ Ап 1]:[ПДАсИ Ап 7]]),Таблица1[[#This Row],[ПДАсИ Ап 1]:[ПДАсИ Ап 7]],0)</f>
        <v>3</v>
      </c>
      <c r="DT67" s="212">
        <f>IF(Таблица1[[#This Row],[ПДАсИ Ап Итог]]=Таблица1[[#This Row],[Train]],1,0)</f>
        <v>1</v>
      </c>
      <c r="DU67" s="212">
        <f>IF(Таблица1[[#This Row],[ПДАсИ Ап Итог]]=Таблица1[[#This Row],[К-средних]],1,0)</f>
        <v>1</v>
      </c>
    </row>
    <row r="68" spans="1:125" ht="13.8">
      <c r="A68" s="205" t="s">
        <v>338</v>
      </c>
      <c r="B68" s="319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320">
        <v>-0.2481124443660358</v>
      </c>
      <c r="K68" s="324">
        <v>1.6056705170788306</v>
      </c>
      <c r="L68" s="325">
        <v>-0.90518136094967316</v>
      </c>
      <c r="M68" s="328">
        <v>1.3652902700011382</v>
      </c>
      <c r="N68" s="310">
        <v>0.99813242951745851</v>
      </c>
      <c r="O68" s="329">
        <v>-0.47405036877324014</v>
      </c>
      <c r="P68" s="206">
        <v>5</v>
      </c>
      <c r="Q68" s="207">
        <v>3</v>
      </c>
      <c r="R68" s="206">
        <v>7</v>
      </c>
      <c r="S68" s="208">
        <v>1</v>
      </c>
      <c r="T68" s="271">
        <v>1</v>
      </c>
      <c r="U68" s="271">
        <v>4</v>
      </c>
      <c r="V68" s="272">
        <v>7</v>
      </c>
      <c r="W68" s="272">
        <v>2</v>
      </c>
      <c r="X68" s="312">
        <v>4</v>
      </c>
      <c r="Y68" s="313">
        <v>4</v>
      </c>
      <c r="Z68" s="271">
        <v>2</v>
      </c>
      <c r="AA68" s="314">
        <v>5</v>
      </c>
      <c r="AB68" s="343">
        <v>1</v>
      </c>
      <c r="AC68" s="343">
        <f>IF(Таблица1[[#This Row],[Train]]=Таблица1[[#This Row],[НС]],1,0)</f>
        <v>0</v>
      </c>
      <c r="AD68" s="343">
        <f>IF(Таблица1[[#This Row],[НС]]=Таблица1[[#This Row],[К-средних]],1,0)</f>
        <v>1</v>
      </c>
      <c r="AE68" s="208"/>
      <c r="AF68" s="209">
        <f>SUMXMY2(Таблица1[[#This Row],[X1]:[X9]],Таблица1[[#Totals],[X1]:[X9]])</f>
        <v>10.498736375252765</v>
      </c>
      <c r="AG68" s="239" t="s">
        <v>2588</v>
      </c>
      <c r="AH68" s="239" t="s">
        <v>2587</v>
      </c>
      <c r="AI68" s="239" t="s">
        <v>2586</v>
      </c>
      <c r="AJ68" s="239" t="s">
        <v>2589</v>
      </c>
      <c r="AK68" s="239" t="s">
        <v>2590</v>
      </c>
      <c r="AL68" s="239" t="s">
        <v>2591</v>
      </c>
      <c r="AM68" s="239" t="s">
        <v>2592</v>
      </c>
      <c r="AN68" s="239" t="str">
        <f>RIGHT(Таблица1[[#This Row],[ДА1]],1)</f>
        <v>1</v>
      </c>
      <c r="AO68" s="214">
        <v>1</v>
      </c>
      <c r="AP68" s="213">
        <f>IF(Таблица1[[#This Row],[ДА Итог Копия]]=Таблица1[[#This Row],[Train]],1,0)</f>
        <v>0</v>
      </c>
      <c r="AQ68" s="213">
        <f>IF(Таблица1[[#This Row],[ДА Итог Копия]]=Таблица1[[#This Row],[К-средних]],1,0)</f>
        <v>1</v>
      </c>
      <c r="AR68" s="216">
        <v>67.230351985370078</v>
      </c>
      <c r="AS68" s="216">
        <v>83.421210892922147</v>
      </c>
      <c r="AT68" s="216">
        <v>109.78917173213831</v>
      </c>
      <c r="AU68" s="216">
        <v>182.65224623501658</v>
      </c>
      <c r="AV68" s="216">
        <v>196.18765074986499</v>
      </c>
      <c r="AW68" s="216">
        <v>392.15307009081488</v>
      </c>
      <c r="AX68" s="217">
        <v>298.67123119673232</v>
      </c>
      <c r="AY68" s="218">
        <f>MATCH(MIN(Таблица1[[#This Row],[1 ДА Мах]:[7_ДА_Мах]]),Таблица1[[#This Row],[1 ДА Мах]:[7_ДА_Мах]],0)</f>
        <v>1</v>
      </c>
      <c r="AZ68" s="219">
        <f>IF(Таблица1[[#This Row],[ДА_Мах_Итог]]=Таблица1[[#This Row],[Train]],1,0)</f>
        <v>0</v>
      </c>
      <c r="BA68" s="219">
        <f>IF(Таблица1[[#This Row],[ДА_Мах_Итог]]=Таблица1[[#This Row],[К-средних]],1,0)</f>
        <v>1</v>
      </c>
      <c r="BB68" s="220">
        <v>0.99959359140870163</v>
      </c>
      <c r="BC68" s="220">
        <v>4.0640763599371506E-4</v>
      </c>
      <c r="BD68" s="220">
        <v>9.5530472668019434E-10</v>
      </c>
      <c r="BE68" s="220">
        <v>2.878434336471581E-26</v>
      </c>
      <c r="BF68" s="220">
        <v>3.3111631573491884E-29</v>
      </c>
      <c r="BG68" s="220">
        <v>0</v>
      </c>
      <c r="BH68" s="220">
        <v>0</v>
      </c>
      <c r="BI68" s="218">
        <f>MATCH(MAX(Таблица1[[#This Row],[1_ДА_Ап]:[7_ДА_Ап]]),Таблица1[[#This Row],[1_ДА_Ап]:[7_ДА_Ап]],0)</f>
        <v>1</v>
      </c>
      <c r="BJ68" s="219">
        <f>IF(Таблица1[[#This Row],[ДА_Ап_Итог]]=Таблица1[[#This Row],[Train]],1,0)</f>
        <v>0</v>
      </c>
      <c r="BK68" s="219">
        <f>IF(Таблица1[[#This Row],[ДА_Ап_Итог]]=Таблица1[[#This Row],[К-средних]],1,0)</f>
        <v>1</v>
      </c>
      <c r="BL68" s="234" t="s">
        <v>2588</v>
      </c>
      <c r="BM68" s="234" t="s">
        <v>2587</v>
      </c>
      <c r="BN68" s="234" t="s">
        <v>2586</v>
      </c>
      <c r="BO68" s="234" t="s">
        <v>2590</v>
      </c>
      <c r="BP68" s="234" t="s">
        <v>2589</v>
      </c>
      <c r="BQ68" s="234" t="s">
        <v>2591</v>
      </c>
      <c r="BR68" s="234" t="s">
        <v>2592</v>
      </c>
      <c r="BS68" s="234" t="str">
        <f>RIGHT(Таблица1[[#This Row],[ПДАсВ 1]],1)</f>
        <v>1</v>
      </c>
      <c r="BT68" s="227">
        <v>1</v>
      </c>
      <c r="BU68" s="212">
        <f>IF(Таблица1[[#This Row],[ПДАсВ Итог Копия]]=Таблица1[[#This Row],[Train]],1,0)</f>
        <v>0</v>
      </c>
      <c r="BV68" s="212">
        <f>IF(Таблица1[[#This Row],[ПДАсВ Итог Копия]]=Таблица1[[#This Row],[К-средних]],1,0)</f>
        <v>1</v>
      </c>
      <c r="BW68" s="235">
        <v>57.760099267634075</v>
      </c>
      <c r="BX68" s="235">
        <v>74.564717997077892</v>
      </c>
      <c r="BY68" s="235">
        <v>97.065440560350723</v>
      </c>
      <c r="BZ68" s="235">
        <v>153.77138890038907</v>
      </c>
      <c r="CA68" s="235">
        <v>152.77581054018765</v>
      </c>
      <c r="CB68" s="235">
        <v>351.71282563946767</v>
      </c>
      <c r="CC68" s="235">
        <v>220.08857823345176</v>
      </c>
      <c r="CD68" s="218">
        <f>MATCH(MIN(Таблица1[[#This Row],[1 ДА Мах]:[7_ДА_Мах]]),Таблица1[[#This Row],[1 ДА Мах]:[7_ДА_Мах]],0)</f>
        <v>1</v>
      </c>
      <c r="CE68" s="219">
        <f>IF(Таблица1[[#This Row],[ДА_Мах_Итог]]=Таблица1[[#This Row],[Train]],1,0)</f>
        <v>0</v>
      </c>
      <c r="CF68" s="219">
        <f>IF(Таблица1[[#This Row],[ДА_Мах_Итог]]=Таблица1[[#This Row],[К-средних]],1,0)</f>
        <v>1</v>
      </c>
      <c r="CG68" s="236">
        <v>0.99970095309703721</v>
      </c>
      <c r="CH68" s="236">
        <v>2.9904204255797647E-4</v>
      </c>
      <c r="CI68" s="236">
        <v>4.8604047810580414E-9</v>
      </c>
      <c r="CJ68" s="236">
        <v>4.7223938809666833E-22</v>
      </c>
      <c r="CK68" s="236">
        <v>7.7687170063505561E-22</v>
      </c>
      <c r="CL68" s="236">
        <v>0</v>
      </c>
      <c r="CM68" s="236">
        <v>0</v>
      </c>
      <c r="CN68" s="218">
        <f>MATCH(MAX(Таблица1[[#This Row],[1_ДА_Ап]:[7_ДА_Ап]]),Таблица1[[#This Row],[1_ДА_Ап]:[7_ДА_Ап]],0)</f>
        <v>1</v>
      </c>
      <c r="CO68" s="219">
        <f>IF(Таблица1[[#This Row],[ПДАсВ Итог Копия]]=Таблица1[[#This Row],[Train]],1,0)</f>
        <v>0</v>
      </c>
      <c r="CP68" s="219">
        <f>IF(Таблица1[[#This Row],[ПДАсВ Итог Копия]]=Таблица1[[#This Row],[К-средних]],1,0)</f>
        <v>1</v>
      </c>
      <c r="CQ68" s="234" t="s">
        <v>2588</v>
      </c>
      <c r="CR68" s="234" t="s">
        <v>2587</v>
      </c>
      <c r="CS68" s="234" t="s">
        <v>2586</v>
      </c>
      <c r="CT68" s="234" t="s">
        <v>2589</v>
      </c>
      <c r="CU68" s="234" t="s">
        <v>2590</v>
      </c>
      <c r="CV68" s="234" t="s">
        <v>2591</v>
      </c>
      <c r="CW68" s="234" t="s">
        <v>2592</v>
      </c>
      <c r="CX68" s="234" t="str">
        <f>RIGHT(Таблица1[[#This Row],[ПДАсИ 1]],1)</f>
        <v>1</v>
      </c>
      <c r="CY68" s="212">
        <v>1</v>
      </c>
      <c r="CZ68" s="212">
        <f>IF(Таблица1[[#This Row],[ПДАсИ Итог Копия]]=Таблица1[[#This Row],[Train]],1,0)</f>
        <v>0</v>
      </c>
      <c r="DA68" s="212">
        <f>IF(Таблица1[[#This Row],[ПДАсИ Итог Копия]]=Таблица1[[#This Row],[К-средних]],1,0)</f>
        <v>1</v>
      </c>
      <c r="DB68" s="237">
        <v>54.699877410316496</v>
      </c>
      <c r="DC68" s="237">
        <v>73.912093771705727</v>
      </c>
      <c r="DD68" s="237">
        <v>87.637504851754727</v>
      </c>
      <c r="DE68" s="237">
        <v>152.94916066039502</v>
      </c>
      <c r="DF68" s="237">
        <v>191.26859181478164</v>
      </c>
      <c r="DG68" s="237">
        <v>272.3695223363178</v>
      </c>
      <c r="DH68" s="237">
        <v>274.57437823380809</v>
      </c>
      <c r="DI68" s="224">
        <f>MATCH(MIN(Таблица1[[#This Row],[ПДАсИ Мах 1]:[ПДАсИ Мах 7]]),Таблица1[[#This Row],[ПДАсИ Мах 1]:[ПДАсИ Мах 7]],0)</f>
        <v>1</v>
      </c>
      <c r="DJ68" s="212">
        <f>IF(Таблица1[[#This Row],[ПДАсИ Мах Итог]]=Таблица1[[#This Row],[Train]],1,0)</f>
        <v>0</v>
      </c>
      <c r="DK68" s="212">
        <f>IF(Таблица1[[#This Row],[ПДАсИ Мах Итог]]=Таблица1[[#This Row],[К-средних]],1,0)</f>
        <v>1</v>
      </c>
      <c r="DL68" s="238">
        <v>0.9999101356485689</v>
      </c>
      <c r="DM68" s="238">
        <v>8.9746998268429363E-5</v>
      </c>
      <c r="DN68" s="238">
        <v>1.1735316254376464E-7</v>
      </c>
      <c r="DO68" s="238">
        <v>1.5426909532270783E-22</v>
      </c>
      <c r="DP68" s="238">
        <v>7.367500647570492E-31</v>
      </c>
      <c r="DQ68" s="238">
        <v>0</v>
      </c>
      <c r="DR68" s="238">
        <v>0</v>
      </c>
      <c r="DS68" s="224">
        <f>MATCH(MAX(Таблица1[[#This Row],[ПДАсИ Ап 1]:[ПДАсИ Ап 7]]),Таблица1[[#This Row],[ПДАсИ Ап 1]:[ПДАсИ Ап 7]],0)</f>
        <v>1</v>
      </c>
      <c r="DT68" s="212">
        <f>IF(Таблица1[[#This Row],[ПДАсИ Ап Итог]]=Таблица1[[#This Row],[Train]],1,0)</f>
        <v>0</v>
      </c>
      <c r="DU68" s="212">
        <f>IF(Таблица1[[#This Row],[ПДАсИ Ап Итог]]=Таблица1[[#This Row],[К-средних]],1,0)</f>
        <v>1</v>
      </c>
    </row>
    <row r="69" spans="1:125" ht="13.8">
      <c r="A69" s="205" t="s">
        <v>339</v>
      </c>
      <c r="B69" s="319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320">
        <v>0.23068575819458512</v>
      </c>
      <c r="K69" s="324">
        <v>-0.16317693096208374</v>
      </c>
      <c r="L69" s="325">
        <v>0.39977989433818162</v>
      </c>
      <c r="M69" s="328">
        <v>-0.1381935829622794</v>
      </c>
      <c r="N69" s="310">
        <v>-0.33803773968374701</v>
      </c>
      <c r="O69" s="329">
        <v>-0.63925533839246429</v>
      </c>
      <c r="P69" s="206">
        <v>5</v>
      </c>
      <c r="Q69" s="207">
        <v>5</v>
      </c>
      <c r="R69" s="206">
        <v>4</v>
      </c>
      <c r="S69" s="208">
        <v>2</v>
      </c>
      <c r="T69" s="271">
        <v>6</v>
      </c>
      <c r="U69" s="271">
        <v>7</v>
      </c>
      <c r="V69" s="272">
        <v>2</v>
      </c>
      <c r="W69" s="272">
        <v>6</v>
      </c>
      <c r="X69" s="312">
        <v>2</v>
      </c>
      <c r="Y69" s="313">
        <v>2</v>
      </c>
      <c r="Z69" s="271">
        <v>6</v>
      </c>
      <c r="AA69" s="314">
        <v>2</v>
      </c>
      <c r="AB69" s="314">
        <v>2</v>
      </c>
      <c r="AC69" s="314">
        <f>IF(Таблица1[[#This Row],[Train]]=Таблица1[[#This Row],[НС]],1,0)</f>
        <v>1</v>
      </c>
      <c r="AD69" s="314">
        <f>IF(Таблица1[[#This Row],[НС]]=Таблица1[[#This Row],[К-средних]],1,0)</f>
        <v>1</v>
      </c>
      <c r="AE69" s="208">
        <v>2</v>
      </c>
      <c r="AF69" s="209">
        <f>SUMXMY2(Таблица1[[#This Row],[X1]:[X9]],Таблица1[[#Totals],[X1]:[X9]])</f>
        <v>2.2749996102208141</v>
      </c>
      <c r="AG69" s="239" t="s">
        <v>2587</v>
      </c>
      <c r="AH69" s="239" t="s">
        <v>2588</v>
      </c>
      <c r="AI69" s="239" t="s">
        <v>2586</v>
      </c>
      <c r="AJ69" s="239" t="s">
        <v>2590</v>
      </c>
      <c r="AK69" s="239" t="s">
        <v>2589</v>
      </c>
      <c r="AL69" s="239" t="s">
        <v>2591</v>
      </c>
      <c r="AM69" s="239" t="s">
        <v>2592</v>
      </c>
      <c r="AN69" s="239" t="str">
        <f>RIGHT(Таблица1[[#This Row],[ДА1]],1)</f>
        <v>2</v>
      </c>
      <c r="AO69" s="214">
        <v>2</v>
      </c>
      <c r="AP69" s="213">
        <f>IF(Таблица1[[#This Row],[ДА Итог Копия]]=Таблица1[[#This Row],[Train]],1,0)</f>
        <v>1</v>
      </c>
      <c r="AQ69" s="213">
        <f>IF(Таблица1[[#This Row],[ДА Итог Копия]]=Таблица1[[#This Row],[К-средних]],1,0)</f>
        <v>1</v>
      </c>
      <c r="AR69" s="216">
        <v>21.715656319857391</v>
      </c>
      <c r="AS69" s="216">
        <v>7.6965172794426664</v>
      </c>
      <c r="AT69" s="216">
        <v>29.47084491236398</v>
      </c>
      <c r="AU69" s="216">
        <v>81.782489491293902</v>
      </c>
      <c r="AV69" s="216">
        <v>72.387132254308654</v>
      </c>
      <c r="AW69" s="216">
        <v>556.29852765293776</v>
      </c>
      <c r="AX69" s="217">
        <v>344.682875608725</v>
      </c>
      <c r="AY69" s="218">
        <f>MATCH(MIN(Таблица1[[#This Row],[1 ДА Мах]:[7_ДА_Мах]]),Таблица1[[#This Row],[1 ДА Мах]:[7_ДА_Мах]],0)</f>
        <v>2</v>
      </c>
      <c r="AZ69" s="219">
        <f>IF(Таблица1[[#This Row],[ДА_Мах_Итог]]=Таблица1[[#This Row],[Train]],1,0)</f>
        <v>1</v>
      </c>
      <c r="BA69" s="219">
        <f>IF(Таблица1[[#This Row],[ДА_Мах_Итог]]=Таблица1[[#This Row],[К-средних]],1,0)</f>
        <v>1</v>
      </c>
      <c r="BB69" s="220">
        <v>6.7692361769781104E-4</v>
      </c>
      <c r="BC69" s="220">
        <v>0.99929972188032978</v>
      </c>
      <c r="BD69" s="220">
        <v>2.3354501970090691E-5</v>
      </c>
      <c r="BE69" s="220">
        <v>2.0420732492461178E-17</v>
      </c>
      <c r="BF69" s="220">
        <v>2.2399958718225354E-15</v>
      </c>
      <c r="BG69" s="220">
        <v>0</v>
      </c>
      <c r="BH69" s="220">
        <v>0</v>
      </c>
      <c r="BI69" s="218">
        <f>MATCH(MAX(Таблица1[[#This Row],[1_ДА_Ап]:[7_ДА_Ап]]),Таблица1[[#This Row],[1_ДА_Ап]:[7_ДА_Ап]],0)</f>
        <v>2</v>
      </c>
      <c r="BJ69" s="219">
        <f>IF(Таблица1[[#This Row],[ДА_Ап_Итог]]=Таблица1[[#This Row],[Train]],1,0)</f>
        <v>1</v>
      </c>
      <c r="BK69" s="219">
        <f>IF(Таблица1[[#This Row],[ДА_Ап_Итог]]=Таблица1[[#This Row],[К-средних]],1,0)</f>
        <v>1</v>
      </c>
      <c r="BL69" s="234" t="s">
        <v>2587</v>
      </c>
      <c r="BM69" s="234" t="s">
        <v>2588</v>
      </c>
      <c r="BN69" s="234" t="s">
        <v>2586</v>
      </c>
      <c r="BO69" s="234" t="s">
        <v>2590</v>
      </c>
      <c r="BP69" s="234" t="s">
        <v>2589</v>
      </c>
      <c r="BQ69" s="234" t="s">
        <v>2591</v>
      </c>
      <c r="BR69" s="234" t="s">
        <v>2592</v>
      </c>
      <c r="BS69" s="234" t="str">
        <f>RIGHT(Таблица1[[#This Row],[ПДАсВ 1]],1)</f>
        <v>2</v>
      </c>
      <c r="BT69" s="227">
        <v>2</v>
      </c>
      <c r="BU69" s="212">
        <f>IF(Таблица1[[#This Row],[ПДАсВ Итог Копия]]=Таблица1[[#This Row],[Train]],1,0)</f>
        <v>1</v>
      </c>
      <c r="BV69" s="212">
        <f>IF(Таблица1[[#This Row],[ПДАсВ Итог Копия]]=Таблица1[[#This Row],[К-средних]],1,0)</f>
        <v>1</v>
      </c>
      <c r="BW69" s="235">
        <v>20.270913219019036</v>
      </c>
      <c r="BX69" s="235">
        <v>4.8396198618695498</v>
      </c>
      <c r="BY69" s="235">
        <v>22.19360971655243</v>
      </c>
      <c r="BZ69" s="235">
        <v>61.328548429487697</v>
      </c>
      <c r="CA69" s="235">
        <v>54.834602570453114</v>
      </c>
      <c r="CB69" s="235">
        <v>548.61256424013334</v>
      </c>
      <c r="CC69" s="235">
        <v>220.6866392115497</v>
      </c>
      <c r="CD69" s="218">
        <f>MATCH(MIN(Таблица1[[#This Row],[1 ДА Мах]:[7_ДА_Мах]]),Таблица1[[#This Row],[1 ДА Мах]:[7_ДА_Мах]],0)</f>
        <v>2</v>
      </c>
      <c r="CE69" s="219">
        <f>IF(Таблица1[[#This Row],[ДА_Мах_Итог]]=Таблица1[[#This Row],[Train]],1,0)</f>
        <v>1</v>
      </c>
      <c r="CF69" s="219">
        <f>IF(Таблица1[[#This Row],[ДА_Мах_Итог]]=Таблица1[[#This Row],[К-средних]],1,0)</f>
        <v>1</v>
      </c>
      <c r="CG69" s="236">
        <v>3.3416488228921133E-4</v>
      </c>
      <c r="CH69" s="236">
        <v>0.99945287350601497</v>
      </c>
      <c r="CI69" s="236">
        <v>2.1296160808150015E-4</v>
      </c>
      <c r="CJ69" s="236">
        <v>1.352967445294021E-13</v>
      </c>
      <c r="CK69" s="236">
        <v>3.4788024962524549E-12</v>
      </c>
      <c r="CL69" s="236">
        <v>0</v>
      </c>
      <c r="CM69" s="236">
        <v>0</v>
      </c>
      <c r="CN69" s="218">
        <f>MATCH(MAX(Таблица1[[#This Row],[1_ДА_Ап]:[7_ДА_Ап]]),Таблица1[[#This Row],[1_ДА_Ап]:[7_ДА_Ап]],0)</f>
        <v>2</v>
      </c>
      <c r="CO69" s="219">
        <f>IF(Таблица1[[#This Row],[ПДАсВ Итог Копия]]=Таблица1[[#This Row],[Train]],1,0)</f>
        <v>1</v>
      </c>
      <c r="CP69" s="219">
        <f>IF(Таблица1[[#This Row],[ПДАсВ Итог Копия]]=Таблица1[[#This Row],[К-средних]],1,0)</f>
        <v>1</v>
      </c>
      <c r="CQ69" s="234" t="s">
        <v>2587</v>
      </c>
      <c r="CR69" s="234" t="s">
        <v>2588</v>
      </c>
      <c r="CS69" s="234" t="s">
        <v>2586</v>
      </c>
      <c r="CT69" s="234" t="s">
        <v>2590</v>
      </c>
      <c r="CU69" s="234" t="s">
        <v>2589</v>
      </c>
      <c r="CV69" s="234" t="s">
        <v>2591</v>
      </c>
      <c r="CW69" s="234" t="s">
        <v>2592</v>
      </c>
      <c r="CX69" s="234" t="str">
        <f>RIGHT(Таблица1[[#This Row],[ПДАсИ 1]],1)</f>
        <v>2</v>
      </c>
      <c r="CY69" s="212">
        <v>2</v>
      </c>
      <c r="CZ69" s="212">
        <f>IF(Таблица1[[#This Row],[ПДАсИ Итог Копия]]=Таблица1[[#This Row],[Train]],1,0)</f>
        <v>1</v>
      </c>
      <c r="DA69" s="212">
        <f>IF(Таблица1[[#This Row],[ПДАсИ Итог Копия]]=Таблица1[[#This Row],[К-средних]],1,0)</f>
        <v>1</v>
      </c>
      <c r="DB69" s="237">
        <v>15.832277048004237</v>
      </c>
      <c r="DC69" s="237">
        <v>4.8635283618615963</v>
      </c>
      <c r="DD69" s="237">
        <v>20.196282843020274</v>
      </c>
      <c r="DE69" s="237">
        <v>65.428374694120521</v>
      </c>
      <c r="DF69" s="237">
        <v>64.126953343071463</v>
      </c>
      <c r="DG69" s="237">
        <v>431.07356031415225</v>
      </c>
      <c r="DH69" s="237">
        <v>329.06132863641977</v>
      </c>
      <c r="DI69" s="224">
        <f>MATCH(MIN(Таблица1[[#This Row],[ПДАсИ Мах 1]:[ПДАсИ Мах 7]]),Таблица1[[#This Row],[ПДАсИ Мах 1]:[ПДАсИ Мах 7]],0)</f>
        <v>2</v>
      </c>
      <c r="DJ69" s="212">
        <f>IF(Таблица1[[#This Row],[ПДАсИ Мах Итог]]=Таблица1[[#This Row],[Train]],1,0)</f>
        <v>1</v>
      </c>
      <c r="DK69" s="212">
        <f>IF(Таблица1[[#This Row],[ПДАсИ Мах Итог]]=Таблица1[[#This Row],[К-средних]],1,0)</f>
        <v>1</v>
      </c>
      <c r="DL69" s="238">
        <v>3.1018755640890633E-3</v>
      </c>
      <c r="DM69" s="238">
        <v>0.99631489249092842</v>
      </c>
      <c r="DN69" s="238">
        <v>5.832319449313656E-4</v>
      </c>
      <c r="DO69" s="238">
        <v>1.757305834603051E-14</v>
      </c>
      <c r="DP69" s="238">
        <v>3.3685841951196884E-14</v>
      </c>
      <c r="DQ69" s="238">
        <v>0</v>
      </c>
      <c r="DR69" s="238">
        <v>0</v>
      </c>
      <c r="DS69" s="224">
        <f>MATCH(MAX(Таблица1[[#This Row],[ПДАсИ Ап 1]:[ПДАсИ Ап 7]]),Таблица1[[#This Row],[ПДАсИ Ап 1]:[ПДАсИ Ап 7]],0)</f>
        <v>2</v>
      </c>
      <c r="DT69" s="212">
        <f>IF(Таблица1[[#This Row],[ПДАсИ Ап Итог]]=Таблица1[[#This Row],[Train]],1,0)</f>
        <v>1</v>
      </c>
      <c r="DU69" s="212">
        <f>IF(Таблица1[[#This Row],[ПДАсИ Ап Итог]]=Таблица1[[#This Row],[К-средних]],1,0)</f>
        <v>1</v>
      </c>
    </row>
    <row r="70" spans="1:125" ht="13.8">
      <c r="A70" s="205" t="s">
        <v>340</v>
      </c>
      <c r="B70" s="319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320">
        <v>-0.42499330900626564</v>
      </c>
      <c r="K70" s="324">
        <v>0.37367298193518822</v>
      </c>
      <c r="L70" s="325">
        <v>0.12927702304242647</v>
      </c>
      <c r="M70" s="328">
        <v>0.35388419508476665</v>
      </c>
      <c r="N70" s="310">
        <v>-0.20917108724244135</v>
      </c>
      <c r="O70" s="329">
        <v>0.50532642457751686</v>
      </c>
      <c r="P70" s="206">
        <v>5</v>
      </c>
      <c r="Q70" s="207">
        <v>5</v>
      </c>
      <c r="R70" s="206">
        <v>5</v>
      </c>
      <c r="S70" s="208">
        <v>3</v>
      </c>
      <c r="T70" s="271">
        <v>6</v>
      </c>
      <c r="U70" s="271">
        <v>6</v>
      </c>
      <c r="V70" s="272">
        <v>4</v>
      </c>
      <c r="W70" s="272">
        <v>1</v>
      </c>
      <c r="X70" s="312">
        <v>3</v>
      </c>
      <c r="Y70" s="313">
        <v>3</v>
      </c>
      <c r="Z70" s="271">
        <v>4</v>
      </c>
      <c r="AA70" s="314">
        <v>1</v>
      </c>
      <c r="AB70" s="314">
        <v>3</v>
      </c>
      <c r="AC70" s="314">
        <f>IF(Таблица1[[#This Row],[Train]]=Таблица1[[#This Row],[НС]],1,0)</f>
        <v>1</v>
      </c>
      <c r="AD70" s="314">
        <f>IF(Таблица1[[#This Row],[НС]]=Таблица1[[#This Row],[К-средних]],1,0)</f>
        <v>1</v>
      </c>
      <c r="AE70" s="208">
        <v>3</v>
      </c>
      <c r="AF70" s="209">
        <f>SUMXMY2(Таблица1[[#This Row],[X1]:[X9]],Таблица1[[#Totals],[X1]:[X9]])</f>
        <v>2.1538434208806709</v>
      </c>
      <c r="AG70" s="239" t="s">
        <v>2586</v>
      </c>
      <c r="AH70" s="239" t="s">
        <v>2588</v>
      </c>
      <c r="AI70" s="239" t="s">
        <v>2587</v>
      </c>
      <c r="AJ70" s="239" t="s">
        <v>2589</v>
      </c>
      <c r="AK70" s="239" t="s">
        <v>2590</v>
      </c>
      <c r="AL70" s="239" t="s">
        <v>2591</v>
      </c>
      <c r="AM70" s="239" t="s">
        <v>2592</v>
      </c>
      <c r="AN70" s="239" t="str">
        <f>RIGHT(Таблица1[[#This Row],[ДА1]],1)</f>
        <v>3</v>
      </c>
      <c r="AO70" s="214">
        <v>3</v>
      </c>
      <c r="AP70" s="213">
        <f>IF(Таблица1[[#This Row],[ДА Итог Копия]]=Таблица1[[#This Row],[Train]],1,0)</f>
        <v>1</v>
      </c>
      <c r="AQ70" s="213">
        <f>IF(Таблица1[[#This Row],[ДА Итог Копия]]=Таблица1[[#This Row],[К-средних]],1,0)</f>
        <v>1</v>
      </c>
      <c r="AR70" s="216">
        <v>15.440036896200731</v>
      </c>
      <c r="AS70" s="216">
        <v>18.189804601859429</v>
      </c>
      <c r="AT70" s="216">
        <v>7.6339284330632182</v>
      </c>
      <c r="AU70" s="216">
        <v>64.905487636291383</v>
      </c>
      <c r="AV70" s="216">
        <v>112.75489282114874</v>
      </c>
      <c r="AW70" s="216">
        <v>673.45355624506317</v>
      </c>
      <c r="AX70" s="217">
        <v>299.59663392190856</v>
      </c>
      <c r="AY70" s="218">
        <f>MATCH(MIN(Таблица1[[#This Row],[1 ДА Мах]:[7_ДА_Мах]]),Таблица1[[#This Row],[1 ДА Мах]:[7_ДА_Мах]],0)</f>
        <v>3</v>
      </c>
      <c r="AZ70" s="219">
        <f>IF(Таблица1[[#This Row],[ДА_Мах_Итог]]=Таблица1[[#This Row],[Train]],1,0)</f>
        <v>1</v>
      </c>
      <c r="BA70" s="219">
        <f>IF(Таблица1[[#This Row],[ДА_Мах_Итог]]=Таблица1[[#This Row],[К-средних]],1,0)</f>
        <v>1</v>
      </c>
      <c r="BB70" s="220">
        <v>1.1915196815112822E-2</v>
      </c>
      <c r="BC70" s="220">
        <v>4.0173113011347074E-3</v>
      </c>
      <c r="BD70" s="220">
        <v>0.98406749188368048</v>
      </c>
      <c r="BE70" s="220">
        <v>7.205992654014336E-14</v>
      </c>
      <c r="BF70" s="220">
        <v>2.9331042418912849E-24</v>
      </c>
      <c r="BG70" s="220">
        <v>0</v>
      </c>
      <c r="BH70" s="220">
        <v>0</v>
      </c>
      <c r="BI70" s="218">
        <f>MATCH(MAX(Таблица1[[#This Row],[1_ДА_Ап]:[7_ДА_Ап]]),Таблица1[[#This Row],[1_ДА_Ап]:[7_ДА_Ап]],0)</f>
        <v>3</v>
      </c>
      <c r="BJ70" s="219">
        <f>IF(Таблица1[[#This Row],[ДА_Ап_Итог]]=Таблица1[[#This Row],[Train]],1,0)</f>
        <v>1</v>
      </c>
      <c r="BK70" s="219">
        <f>IF(Таблица1[[#This Row],[ДА_Ап_Итог]]=Таблица1[[#This Row],[К-средних]],1,0)</f>
        <v>1</v>
      </c>
      <c r="BL70" s="234" t="s">
        <v>2586</v>
      </c>
      <c r="BM70" s="234" t="s">
        <v>2588</v>
      </c>
      <c r="BN70" s="234" t="s">
        <v>2587</v>
      </c>
      <c r="BO70" s="234" t="s">
        <v>2589</v>
      </c>
      <c r="BP70" s="234" t="s">
        <v>2590</v>
      </c>
      <c r="BQ70" s="234" t="s">
        <v>2591</v>
      </c>
      <c r="BR70" s="234" t="s">
        <v>2592</v>
      </c>
      <c r="BS70" s="234" t="str">
        <f>RIGHT(Таблица1[[#This Row],[ПДАсВ 1]],1)</f>
        <v>3</v>
      </c>
      <c r="BT70" s="227">
        <v>3</v>
      </c>
      <c r="BU70" s="212">
        <f>IF(Таблица1[[#This Row],[ПДАсВ Итог Копия]]=Таблица1[[#This Row],[Train]],1,0)</f>
        <v>1</v>
      </c>
      <c r="BV70" s="212">
        <f>IF(Таблица1[[#This Row],[ПДАсВ Итог Копия]]=Таблица1[[#This Row],[К-средних]],1,0)</f>
        <v>1</v>
      </c>
      <c r="BW70" s="235">
        <v>8.1164397088266274</v>
      </c>
      <c r="BX70" s="235">
        <v>11.803636347551413</v>
      </c>
      <c r="BY70" s="235">
        <v>6.6676810225223928</v>
      </c>
      <c r="BZ70" s="235">
        <v>60.54065696072032</v>
      </c>
      <c r="CA70" s="235">
        <v>67.441482914929523</v>
      </c>
      <c r="CB70" s="235">
        <v>652.47095204101106</v>
      </c>
      <c r="CC70" s="235">
        <v>218.089855063974</v>
      </c>
      <c r="CD70" s="218">
        <f>MATCH(MIN(Таблица1[[#This Row],[1 ДА Мах]:[7_ДА_Мах]]),Таблица1[[#This Row],[1 ДА Мах]:[7_ДА_Мах]],0)</f>
        <v>3</v>
      </c>
      <c r="CE70" s="219">
        <f>IF(Таблица1[[#This Row],[ДА_Мах_Итог]]=Таблица1[[#This Row],[Train]],1,0)</f>
        <v>1</v>
      </c>
      <c r="CF70" s="219">
        <f>IF(Таблица1[[#This Row],[ДА_Мах_Итог]]=Таблица1[[#This Row],[К-средних]],1,0)</f>
        <v>1</v>
      </c>
      <c r="CG70" s="236">
        <v>0.21505009526766078</v>
      </c>
      <c r="CH70" s="236">
        <v>4.5374703372633524E-2</v>
      </c>
      <c r="CI70" s="236">
        <v>0.73957520135939991</v>
      </c>
      <c r="CJ70" s="236">
        <v>2.9624037531861991E-13</v>
      </c>
      <c r="CK70" s="236">
        <v>9.4004562604242285E-15</v>
      </c>
      <c r="CL70" s="236">
        <v>0</v>
      </c>
      <c r="CM70" s="236">
        <v>0</v>
      </c>
      <c r="CN70" s="218">
        <f>MATCH(MAX(Таблица1[[#This Row],[1_ДА_Ап]:[7_ДА_Ап]]),Таблица1[[#This Row],[1_ДА_Ап]:[7_ДА_Ап]],0)</f>
        <v>3</v>
      </c>
      <c r="CO70" s="219">
        <f>IF(Таблица1[[#This Row],[ПДАсВ Итог Копия]]=Таблица1[[#This Row],[Train]],1,0)</f>
        <v>1</v>
      </c>
      <c r="CP70" s="219">
        <f>IF(Таблица1[[#This Row],[ПДАсВ Итог Копия]]=Таблица1[[#This Row],[К-средних]],1,0)</f>
        <v>1</v>
      </c>
      <c r="CQ70" s="234" t="s">
        <v>2586</v>
      </c>
      <c r="CR70" s="234" t="s">
        <v>2587</v>
      </c>
      <c r="CS70" s="234" t="s">
        <v>2588</v>
      </c>
      <c r="CT70" s="234" t="s">
        <v>2589</v>
      </c>
      <c r="CU70" s="234" t="s">
        <v>2590</v>
      </c>
      <c r="CV70" s="234" t="s">
        <v>2591</v>
      </c>
      <c r="CW70" s="234" t="s">
        <v>2592</v>
      </c>
      <c r="CX70" s="234" t="str">
        <f>RIGHT(Таблица1[[#This Row],[ПДАсИ 1]],1)</f>
        <v>3</v>
      </c>
      <c r="CY70" s="212">
        <v>3</v>
      </c>
      <c r="CZ70" s="212">
        <f>IF(Таблица1[[#This Row],[ПДАсИ Итог Копия]]=Таблица1[[#This Row],[Train]],1,0)</f>
        <v>1</v>
      </c>
      <c r="DA70" s="212">
        <f>IF(Таблица1[[#This Row],[ПДАсИ Итог Копия]]=Таблица1[[#This Row],[К-средних]],1,0)</f>
        <v>1</v>
      </c>
      <c r="DB70" s="237">
        <v>9.3883652222793614</v>
      </c>
      <c r="DC70" s="237">
        <v>9.7145744890314507</v>
      </c>
      <c r="DD70" s="237">
        <v>6.5310206451805515</v>
      </c>
      <c r="DE70" s="237">
        <v>39.794861206378997</v>
      </c>
      <c r="DF70" s="237">
        <v>80.866014674443747</v>
      </c>
      <c r="DG70" s="237">
        <v>475.67440390004032</v>
      </c>
      <c r="DH70" s="237">
        <v>274.58046052202241</v>
      </c>
      <c r="DI70" s="224">
        <f>MATCH(MIN(Таблица1[[#This Row],[ПДАсИ Мах 1]:[ПДАсИ Мах 7]]),Таблица1[[#This Row],[ПДАсИ Мах 1]:[ПДАсИ Мах 7]],0)</f>
        <v>3</v>
      </c>
      <c r="DJ70" s="212">
        <f>IF(Таблица1[[#This Row],[ПДАсИ Мах Итог]]=Таблица1[[#This Row],[Train]],1,0)</f>
        <v>1</v>
      </c>
      <c r="DK70" s="212">
        <f>IF(Таблица1[[#This Row],[ПДАсИ Мах Итог]]=Таблица1[[#This Row],[К-средних]],1,0)</f>
        <v>1</v>
      </c>
      <c r="DL70" s="238">
        <v>0.11003608596700894</v>
      </c>
      <c r="DM70" s="238">
        <v>0.12463454377823201</v>
      </c>
      <c r="DN70" s="238">
        <v>0.76532936109830818</v>
      </c>
      <c r="DO70" s="238">
        <v>9.1564508653218599E-9</v>
      </c>
      <c r="DP70" s="238">
        <v>1.1046876810178682E-17</v>
      </c>
      <c r="DQ70" s="238">
        <v>0</v>
      </c>
      <c r="DR70" s="238">
        <v>0</v>
      </c>
      <c r="DS70" s="224">
        <f>MATCH(MAX(Таблица1[[#This Row],[ПДАсИ Ап 1]:[ПДАсИ Ап 7]]),Таблица1[[#This Row],[ПДАсИ Ап 1]:[ПДАсИ Ап 7]],0)</f>
        <v>3</v>
      </c>
      <c r="DT70" s="212">
        <f>IF(Таблица1[[#This Row],[ПДАсИ Ап Итог]]=Таблица1[[#This Row],[Train]],1,0)</f>
        <v>1</v>
      </c>
      <c r="DU70" s="212">
        <f>IF(Таблица1[[#This Row],[ПДАсИ Ап Итог]]=Таблица1[[#This Row],[К-средних]],1,0)</f>
        <v>1</v>
      </c>
    </row>
    <row r="71" spans="1:125" ht="13.8">
      <c r="A71" s="205" t="s">
        <v>341</v>
      </c>
      <c r="B71" s="319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320">
        <v>0.40146728267480697</v>
      </c>
      <c r="K71" s="324">
        <v>0.8086103429632151</v>
      </c>
      <c r="L71" s="325">
        <v>0.1112933883260542</v>
      </c>
      <c r="M71" s="328">
        <v>0.65609742078817279</v>
      </c>
      <c r="N71" s="310">
        <v>-4.6983526720461258E-2</v>
      </c>
      <c r="O71" s="329">
        <v>-0.13289691715261145</v>
      </c>
      <c r="P71" s="206">
        <v>5</v>
      </c>
      <c r="Q71" s="207">
        <v>5</v>
      </c>
      <c r="R71" s="206">
        <v>7</v>
      </c>
      <c r="S71" s="208">
        <v>1</v>
      </c>
      <c r="T71" s="271">
        <v>5</v>
      </c>
      <c r="U71" s="271">
        <v>4</v>
      </c>
      <c r="V71" s="272">
        <v>4</v>
      </c>
      <c r="W71" s="272">
        <v>2</v>
      </c>
      <c r="X71" s="312">
        <v>4</v>
      </c>
      <c r="Y71" s="313">
        <v>4</v>
      </c>
      <c r="Z71" s="271">
        <v>5</v>
      </c>
      <c r="AA71" s="314">
        <v>1</v>
      </c>
      <c r="AB71" s="314">
        <v>1</v>
      </c>
      <c r="AC71" s="314">
        <f>IF(Таблица1[[#This Row],[Train]]=Таблица1[[#This Row],[НС]],1,0)</f>
        <v>1</v>
      </c>
      <c r="AD71" s="314">
        <f>IF(Таблица1[[#This Row],[НС]]=Таблица1[[#This Row],[К-средних]],1,0)</f>
        <v>1</v>
      </c>
      <c r="AE71" s="208">
        <v>1</v>
      </c>
      <c r="AF71" s="209">
        <f>SUMXMY2(Таблица1[[#This Row],[X1]:[X9]],Таблица1[[#Totals],[X1]:[X9]])</f>
        <v>2.9181089305436538</v>
      </c>
      <c r="AG71" s="239" t="s">
        <v>2588</v>
      </c>
      <c r="AH71" s="239" t="s">
        <v>2586</v>
      </c>
      <c r="AI71" s="239" t="s">
        <v>2587</v>
      </c>
      <c r="AJ71" s="239" t="s">
        <v>2590</v>
      </c>
      <c r="AK71" s="239" t="s">
        <v>2589</v>
      </c>
      <c r="AL71" s="239" t="s">
        <v>2591</v>
      </c>
      <c r="AM71" s="239" t="s">
        <v>2592</v>
      </c>
      <c r="AN71" s="239" t="str">
        <f>RIGHT(Таблица1[[#This Row],[ДА1]],1)</f>
        <v>1</v>
      </c>
      <c r="AO71" s="214">
        <v>1</v>
      </c>
      <c r="AP71" s="213">
        <f>IF(Таблица1[[#This Row],[ДА Итог Копия]]=Таблица1[[#This Row],[Train]],1,0)</f>
        <v>1</v>
      </c>
      <c r="AQ71" s="213">
        <f>IF(Таблица1[[#This Row],[ДА Итог Копия]]=Таблица1[[#This Row],[К-средних]],1,0)</f>
        <v>1</v>
      </c>
      <c r="AR71" s="216">
        <v>5.4409999311015689</v>
      </c>
      <c r="AS71" s="216">
        <v>19.2197605744139</v>
      </c>
      <c r="AT71" s="216">
        <v>18.122793237236838</v>
      </c>
      <c r="AU71" s="216">
        <v>93.081274727744614</v>
      </c>
      <c r="AV71" s="216">
        <v>90.256681776576031</v>
      </c>
      <c r="AW71" s="216">
        <v>636.26754125589014</v>
      </c>
      <c r="AX71" s="217">
        <v>359.62575196399229</v>
      </c>
      <c r="AY71" s="218">
        <f>MATCH(MIN(Таблица1[[#This Row],[1 ДА Мах]:[7_ДА_Мах]]),Таблица1[[#This Row],[1 ДА Мах]:[7_ДА_Мах]],0)</f>
        <v>1</v>
      </c>
      <c r="AZ71" s="219">
        <f>IF(Таблица1[[#This Row],[ДА_Мах_Итог]]=Таблица1[[#This Row],[Train]],1,0)</f>
        <v>1</v>
      </c>
      <c r="BA71" s="219">
        <f>IF(Таблица1[[#This Row],[ДА_Мах_Итог]]=Таблица1[[#This Row],[К-средних]],1,0)</f>
        <v>1</v>
      </c>
      <c r="BB71" s="220">
        <v>0.9957224480033533</v>
      </c>
      <c r="BC71" s="220">
        <v>1.3522505829723346E-3</v>
      </c>
      <c r="BD71" s="220">
        <v>2.9253014136744982E-3</v>
      </c>
      <c r="BE71" s="220">
        <v>3.0915279348558718E-20</v>
      </c>
      <c r="BF71" s="220">
        <v>1.269187368805519E-19</v>
      </c>
      <c r="BG71" s="220">
        <v>0</v>
      </c>
      <c r="BH71" s="220">
        <v>0</v>
      </c>
      <c r="BI71" s="218">
        <f>MATCH(MAX(Таблица1[[#This Row],[1_ДА_Ап]:[7_ДА_Ап]]),Таблица1[[#This Row],[1_ДА_Ап]:[7_ДА_Ап]],0)</f>
        <v>1</v>
      </c>
      <c r="BJ71" s="219">
        <f>IF(Таблица1[[#This Row],[ДА_Ап_Итог]]=Таблица1[[#This Row],[Train]],1,0)</f>
        <v>1</v>
      </c>
      <c r="BK71" s="219">
        <f>IF(Таблица1[[#This Row],[ДА_Ап_Итог]]=Таблица1[[#This Row],[К-средних]],1,0)</f>
        <v>1</v>
      </c>
      <c r="BL71" s="234" t="s">
        <v>2588</v>
      </c>
      <c r="BM71" s="234" t="s">
        <v>2586</v>
      </c>
      <c r="BN71" s="234" t="s">
        <v>2587</v>
      </c>
      <c r="BO71" s="234" t="s">
        <v>2590</v>
      </c>
      <c r="BP71" s="234" t="s">
        <v>2589</v>
      </c>
      <c r="BQ71" s="234" t="s">
        <v>2591</v>
      </c>
      <c r="BR71" s="234" t="s">
        <v>2592</v>
      </c>
      <c r="BS71" s="234" t="str">
        <f>RIGHT(Таблица1[[#This Row],[ПДАсВ 1]],1)</f>
        <v>1</v>
      </c>
      <c r="BT71" s="227">
        <v>1</v>
      </c>
      <c r="BU71" s="212">
        <f>IF(Таблица1[[#This Row],[ПДАсВ Итог Копия]]=Таблица1[[#This Row],[Train]],1,0)</f>
        <v>1</v>
      </c>
      <c r="BV71" s="212">
        <f>IF(Таблица1[[#This Row],[ПДАсВ Итог Копия]]=Таблица1[[#This Row],[К-средних]],1,0)</f>
        <v>1</v>
      </c>
      <c r="BW71" s="235">
        <v>2.3091993523853418</v>
      </c>
      <c r="BX71" s="235">
        <v>19.019454485539242</v>
      </c>
      <c r="BY71" s="235">
        <v>12.159403462652229</v>
      </c>
      <c r="BZ71" s="235">
        <v>73.353217924347419</v>
      </c>
      <c r="CA71" s="235">
        <v>61.240888184027497</v>
      </c>
      <c r="CB71" s="235">
        <v>623.74893665789011</v>
      </c>
      <c r="CC71" s="235">
        <v>248.29298987831589</v>
      </c>
      <c r="CD71" s="218">
        <f>MATCH(MIN(Таблица1[[#This Row],[1 ДА Мах]:[7_ДА_Мах]]),Таблица1[[#This Row],[1 ДА Мах]:[7_ДА_Мах]],0)</f>
        <v>1</v>
      </c>
      <c r="CE71" s="219">
        <f>IF(Таблица1[[#This Row],[ДА_Мах_Итог]]=Таблица1[[#This Row],[Train]],1,0)</f>
        <v>1</v>
      </c>
      <c r="CF71" s="219">
        <f>IF(Таблица1[[#This Row],[ДА_Мах_Итог]]=Таблица1[[#This Row],[К-средних]],1,0)</f>
        <v>1</v>
      </c>
      <c r="CG71" s="236">
        <v>0.98773539641504515</v>
      </c>
      <c r="CH71" s="236">
        <v>3.0973733421980378E-4</v>
      </c>
      <c r="CI71" s="236">
        <v>1.195486625068245E-2</v>
      </c>
      <c r="CJ71" s="236">
        <v>1.2317051113104549E-16</v>
      </c>
      <c r="CK71" s="236">
        <v>5.2561255239648332E-14</v>
      </c>
      <c r="CL71" s="236">
        <v>0</v>
      </c>
      <c r="CM71" s="236">
        <v>0</v>
      </c>
      <c r="CN71" s="218">
        <f>MATCH(MAX(Таблица1[[#This Row],[1_ДА_Ап]:[7_ДА_Ап]]),Таблица1[[#This Row],[1_ДА_Ап]:[7_ДА_Ап]],0)</f>
        <v>1</v>
      </c>
      <c r="CO71" s="219">
        <f>IF(Таблица1[[#This Row],[ПДАсВ Итог Копия]]=Таблица1[[#This Row],[Train]],1,0)</f>
        <v>1</v>
      </c>
      <c r="CP71" s="219">
        <f>IF(Таблица1[[#This Row],[ПДАсВ Итог Копия]]=Таблица1[[#This Row],[К-средних]],1,0)</f>
        <v>1</v>
      </c>
      <c r="CQ71" s="234" t="s">
        <v>2588</v>
      </c>
      <c r="CR71" s="234" t="s">
        <v>2586</v>
      </c>
      <c r="CS71" s="234" t="s">
        <v>2587</v>
      </c>
      <c r="CT71" s="234" t="s">
        <v>2589</v>
      </c>
      <c r="CU71" s="234" t="s">
        <v>2590</v>
      </c>
      <c r="CV71" s="234" t="s">
        <v>2591</v>
      </c>
      <c r="CW71" s="234" t="s">
        <v>2592</v>
      </c>
      <c r="CX71" s="234" t="str">
        <f>RIGHT(Таблица1[[#This Row],[ПДАсИ 1]],1)</f>
        <v>1</v>
      </c>
      <c r="CY71" s="212">
        <v>1</v>
      </c>
      <c r="CZ71" s="212">
        <f>IF(Таблица1[[#This Row],[ПДАсИ Итог Копия]]=Таблица1[[#This Row],[Train]],1,0)</f>
        <v>1</v>
      </c>
      <c r="DA71" s="212">
        <f>IF(Таблица1[[#This Row],[ПДАсИ Итог Копия]]=Таблица1[[#This Row],[К-средних]],1,0)</f>
        <v>1</v>
      </c>
      <c r="DB71" s="237">
        <v>2.3450155341112291</v>
      </c>
      <c r="DC71" s="237">
        <v>18.32433048483243</v>
      </c>
      <c r="DD71" s="237">
        <v>13.412279508199592</v>
      </c>
      <c r="DE71" s="237">
        <v>61.348810305937469</v>
      </c>
      <c r="DF71" s="237">
        <v>69.138710316171029</v>
      </c>
      <c r="DG71" s="237">
        <v>458.35671638338243</v>
      </c>
      <c r="DH71" s="237">
        <v>329.76267717484228</v>
      </c>
      <c r="DI71" s="224">
        <f>MATCH(MIN(Таблица1[[#This Row],[ПДАсИ Мах 1]:[ПДАсИ Мах 7]]),Таблица1[[#This Row],[ПДАсИ Мах 1]:[ПДАсИ Мах 7]],0)</f>
        <v>1</v>
      </c>
      <c r="DJ71" s="212">
        <f>IF(Таблица1[[#This Row],[ПДАсИ Мах Итог]]=Таблица1[[#This Row],[Train]],1,0)</f>
        <v>1</v>
      </c>
      <c r="DK71" s="212">
        <f>IF(Таблица1[[#This Row],[ПДАсИ Мах Итог]]=Таблица1[[#This Row],[К-средних]],1,0)</f>
        <v>1</v>
      </c>
      <c r="DL71" s="238">
        <v>0.99301123504799715</v>
      </c>
      <c r="DM71" s="238">
        <v>4.4877509233325888E-4</v>
      </c>
      <c r="DN71" s="238">
        <v>6.5399898596175286E-3</v>
      </c>
      <c r="DO71" s="238">
        <v>5.0970825477265164E-14</v>
      </c>
      <c r="DP71" s="238">
        <v>1.036970430586476E-15</v>
      </c>
      <c r="DQ71" s="238">
        <v>0</v>
      </c>
      <c r="DR71" s="238">
        <v>0</v>
      </c>
      <c r="DS71" s="224">
        <f>MATCH(MAX(Таблица1[[#This Row],[ПДАсИ Ап 1]:[ПДАсИ Ап 7]]),Таблица1[[#This Row],[ПДАсИ Ап 1]:[ПДАсИ Ап 7]],0)</f>
        <v>1</v>
      </c>
      <c r="DT71" s="212">
        <f>IF(Таблица1[[#This Row],[ПДАсИ Ап Итог]]=Таблица1[[#This Row],[Train]],1,0)</f>
        <v>1</v>
      </c>
      <c r="DU71" s="212">
        <f>IF(Таблица1[[#This Row],[ПДАсИ Ап Итог]]=Таблица1[[#This Row],[К-средних]],1,0)</f>
        <v>1</v>
      </c>
    </row>
    <row r="72" spans="1:125" ht="13.8">
      <c r="A72" s="205" t="s">
        <v>342</v>
      </c>
      <c r="B72" s="319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320">
        <v>0.5996958378750642</v>
      </c>
      <c r="K72" s="324">
        <v>-0.28672534970712132</v>
      </c>
      <c r="L72" s="325">
        <v>0.56269526972261086</v>
      </c>
      <c r="M72" s="328">
        <v>-0.21240962649379019</v>
      </c>
      <c r="N72" s="310">
        <v>-0.53056723094316183</v>
      </c>
      <c r="O72" s="329">
        <v>-4.2066752808108995E-2</v>
      </c>
      <c r="P72" s="206">
        <v>5</v>
      </c>
      <c r="Q72" s="207">
        <v>5</v>
      </c>
      <c r="R72" s="206">
        <v>4</v>
      </c>
      <c r="S72" s="208">
        <v>2</v>
      </c>
      <c r="T72" s="271">
        <v>6</v>
      </c>
      <c r="U72" s="271">
        <v>7</v>
      </c>
      <c r="V72" s="272">
        <v>3</v>
      </c>
      <c r="W72" s="272">
        <v>6</v>
      </c>
      <c r="X72" s="312">
        <v>6</v>
      </c>
      <c r="Y72" s="313">
        <v>2</v>
      </c>
      <c r="Z72" s="271">
        <v>6</v>
      </c>
      <c r="AA72" s="314">
        <v>3</v>
      </c>
      <c r="AB72" s="314">
        <v>2</v>
      </c>
      <c r="AC72" s="314">
        <f>IF(Таблица1[[#This Row],[Train]]=Таблица1[[#This Row],[НС]],1,0)</f>
        <v>1</v>
      </c>
      <c r="AD72" s="314">
        <f>IF(Таблица1[[#This Row],[НС]]=Таблица1[[#This Row],[К-средних]],1,0)</f>
        <v>1</v>
      </c>
      <c r="AE72" s="208">
        <v>2</v>
      </c>
      <c r="AF72" s="209">
        <f>SUMXMY2(Таблица1[[#This Row],[X1]:[X9]],Таблица1[[#Totals],[X1]:[X9]])</f>
        <v>1.4328016327722652</v>
      </c>
      <c r="AG72" s="239" t="s">
        <v>2587</v>
      </c>
      <c r="AH72" s="239" t="s">
        <v>2586</v>
      </c>
      <c r="AI72" s="239" t="s">
        <v>2588</v>
      </c>
      <c r="AJ72" s="239" t="s">
        <v>2589</v>
      </c>
      <c r="AK72" s="239" t="s">
        <v>2590</v>
      </c>
      <c r="AL72" s="239" t="s">
        <v>2591</v>
      </c>
      <c r="AM72" s="239" t="s">
        <v>2592</v>
      </c>
      <c r="AN72" s="239" t="str">
        <f>RIGHT(Таблица1[[#This Row],[ДА1]],1)</f>
        <v>2</v>
      </c>
      <c r="AO72" s="214">
        <v>2</v>
      </c>
      <c r="AP72" s="213">
        <f>IF(Таблица1[[#This Row],[ДА Итог Копия]]=Таблица1[[#This Row],[Train]],1,0)</f>
        <v>1</v>
      </c>
      <c r="AQ72" s="213">
        <f>IF(Таблица1[[#This Row],[ДА Итог Копия]]=Таблица1[[#This Row],[К-средних]],1,0)</f>
        <v>1</v>
      </c>
      <c r="AR72" s="216">
        <v>17.643478631391414</v>
      </c>
      <c r="AS72" s="216">
        <v>4.8129212268581627</v>
      </c>
      <c r="AT72" s="216">
        <v>11.914224884682364</v>
      </c>
      <c r="AU72" s="216">
        <v>69.421967740739362</v>
      </c>
      <c r="AV72" s="216">
        <v>79.156625320914316</v>
      </c>
      <c r="AW72" s="216">
        <v>612.56345772589032</v>
      </c>
      <c r="AX72" s="217">
        <v>364.68757154205923</v>
      </c>
      <c r="AY72" s="218">
        <f>MATCH(MIN(Таблица1[[#This Row],[1 ДА Мах]:[7_ДА_Мах]]),Таблица1[[#This Row],[1 ДА Мах]:[7_ДА_Мах]],0)</f>
        <v>2</v>
      </c>
      <c r="AZ72" s="219">
        <f>IF(Таблица1[[#This Row],[ДА_Мах_Итог]]=Таблица1[[#This Row],[Train]],1,0)</f>
        <v>1</v>
      </c>
      <c r="BA72" s="219">
        <f>IF(Таблица1[[#This Row],[ДА_Мах_Итог]]=Таблица1[[#This Row],[К-средних]],1,0)</f>
        <v>1</v>
      </c>
      <c r="BB72" s="220">
        <v>1.1833587792998348E-3</v>
      </c>
      <c r="BC72" s="220">
        <v>0.96421817627520834</v>
      </c>
      <c r="BD72" s="220">
        <v>3.4598464945489564E-2</v>
      </c>
      <c r="BE72" s="220">
        <v>2.251329860683338E-15</v>
      </c>
      <c r="BF72" s="220">
        <v>1.732148398173701E-17</v>
      </c>
      <c r="BG72" s="220">
        <v>0</v>
      </c>
      <c r="BH72" s="220">
        <v>0</v>
      </c>
      <c r="BI72" s="218">
        <f>MATCH(MAX(Таблица1[[#This Row],[1_ДА_Ап]:[7_ДА_Ап]]),Таблица1[[#This Row],[1_ДА_Ап]:[7_ДА_Ап]],0)</f>
        <v>2</v>
      </c>
      <c r="BJ72" s="219">
        <f>IF(Таблица1[[#This Row],[ДА_Ап_Итог]]=Таблица1[[#This Row],[Train]],1,0)</f>
        <v>1</v>
      </c>
      <c r="BK72" s="219">
        <f>IF(Таблица1[[#This Row],[ДА_Ап_Итог]]=Таблица1[[#This Row],[К-средних]],1,0)</f>
        <v>1</v>
      </c>
      <c r="BL72" s="234" t="s">
        <v>2586</v>
      </c>
      <c r="BM72" s="234" t="s">
        <v>2587</v>
      </c>
      <c r="BN72" s="234" t="s">
        <v>2588</v>
      </c>
      <c r="BO72" s="234" t="s">
        <v>2590</v>
      </c>
      <c r="BP72" s="234" t="s">
        <v>2589</v>
      </c>
      <c r="BQ72" s="234" t="s">
        <v>2591</v>
      </c>
      <c r="BR72" s="234" t="s">
        <v>2592</v>
      </c>
      <c r="BS72" s="234" t="str">
        <f>RIGHT(Таблица1[[#This Row],[ПДАсВ 1]],1)</f>
        <v>3</v>
      </c>
      <c r="BT72" s="227">
        <v>3</v>
      </c>
      <c r="BU72" s="212">
        <f>IF(Таблица1[[#This Row],[ПДАсВ Итог Копия]]=Таблица1[[#This Row],[Train]],1,0)</f>
        <v>0</v>
      </c>
      <c r="BV72" s="212">
        <f>IF(Таблица1[[#This Row],[ПДАсВ Итог Копия]]=Таблица1[[#This Row],[К-средних]],1,0)</f>
        <v>0</v>
      </c>
      <c r="BW72" s="235">
        <v>9.8025073011714081</v>
      </c>
      <c r="BX72" s="235">
        <v>2.5564576702287716</v>
      </c>
      <c r="BY72" s="235">
        <v>2.9461757026591391</v>
      </c>
      <c r="BZ72" s="235">
        <v>48.0752295310796</v>
      </c>
      <c r="CA72" s="235">
        <v>45.227837386113301</v>
      </c>
      <c r="CB72" s="235">
        <v>604.50784264873528</v>
      </c>
      <c r="CC72" s="235">
        <v>236.34753393707615</v>
      </c>
      <c r="CD72" s="218">
        <f>MATCH(MIN(Таблица1[[#This Row],[1 ДА Мах]:[7_ДА_Мах]]),Таблица1[[#This Row],[1 ДА Мах]:[7_ДА_Мах]],0)</f>
        <v>2</v>
      </c>
      <c r="CE72" s="219">
        <f>IF(Таблица1[[#This Row],[ДА_Мах_Итог]]=Таблица1[[#This Row],[Train]],1,0)</f>
        <v>1</v>
      </c>
      <c r="CF72" s="219">
        <f>IF(Таблица1[[#This Row],[ДА_Мах_Итог]]=Таблица1[[#This Row],[К-средних]],1,0)</f>
        <v>1</v>
      </c>
      <c r="CG72" s="236">
        <v>9.7750750113140342E-3</v>
      </c>
      <c r="CH72" s="236">
        <v>0.48811091631442155</v>
      </c>
      <c r="CI72" s="236">
        <v>0.50211400859219224</v>
      </c>
      <c r="CJ72" s="236">
        <v>1.592879078423967E-11</v>
      </c>
      <c r="CK72" s="236">
        <v>6.6143345306072016E-11</v>
      </c>
      <c r="CL72" s="236">
        <v>0</v>
      </c>
      <c r="CM72" s="236">
        <v>0</v>
      </c>
      <c r="CN72" s="218">
        <f>MATCH(MAX(Таблица1[[#This Row],[1_ДА_Ап]:[7_ДА_Ап]]),Таблица1[[#This Row],[1_ДА_Ап]:[7_ДА_Ап]],0)</f>
        <v>2</v>
      </c>
      <c r="CO72" s="219">
        <f>IF(Таблица1[[#This Row],[ПДАсВ Итог Копия]]=Таблица1[[#This Row],[Train]],1,0)</f>
        <v>0</v>
      </c>
      <c r="CP72" s="219">
        <f>IF(Таблица1[[#This Row],[ПДАсВ Итог Копия]]=Таблица1[[#This Row],[К-средних]],1,0)</f>
        <v>0</v>
      </c>
      <c r="CQ72" s="234" t="s">
        <v>2587</v>
      </c>
      <c r="CR72" s="234" t="s">
        <v>2586</v>
      </c>
      <c r="CS72" s="234" t="s">
        <v>2588</v>
      </c>
      <c r="CT72" s="234" t="s">
        <v>2589</v>
      </c>
      <c r="CU72" s="234" t="s">
        <v>2590</v>
      </c>
      <c r="CV72" s="234" t="s">
        <v>2591</v>
      </c>
      <c r="CW72" s="234" t="s">
        <v>2592</v>
      </c>
      <c r="CX72" s="234" t="str">
        <f>RIGHT(Таблица1[[#This Row],[ПДАсИ 1]],1)</f>
        <v>2</v>
      </c>
      <c r="CY72" s="212">
        <v>2</v>
      </c>
      <c r="CZ72" s="212">
        <f>IF(Таблица1[[#This Row],[ПДАсИ Итог Копия]]=Таблица1[[#This Row],[Train]],1,0)</f>
        <v>1</v>
      </c>
      <c r="DA72" s="212">
        <f>IF(Таблица1[[#This Row],[ПДАсИ Итог Копия]]=Таблица1[[#This Row],[К-средних]],1,0)</f>
        <v>1</v>
      </c>
      <c r="DB72" s="237">
        <v>9.949763112865293</v>
      </c>
      <c r="DC72" s="237">
        <v>2.9799931745616814</v>
      </c>
      <c r="DD72" s="237">
        <v>5.9570075941144021</v>
      </c>
      <c r="DE72" s="237">
        <v>39.861472669003668</v>
      </c>
      <c r="DF72" s="237">
        <v>49.272884971596596</v>
      </c>
      <c r="DG72" s="237">
        <v>439.63880969628156</v>
      </c>
      <c r="DH72" s="237">
        <v>331.26766941264674</v>
      </c>
      <c r="DI72" s="224">
        <f>MATCH(MIN(Таблица1[[#This Row],[ПДАсИ Мах 1]:[ПДАсИ Мах 7]]),Таблица1[[#This Row],[ПДАсИ Мах 1]:[ПДАсИ Мах 7]],0)</f>
        <v>2</v>
      </c>
      <c r="DJ72" s="212">
        <f>IF(Таблица1[[#This Row],[ПДАсИ Мах Итог]]=Таблица1[[#This Row],[Train]],1,0)</f>
        <v>1</v>
      </c>
      <c r="DK72" s="212">
        <f>IF(Таблица1[[#This Row],[ПДАсИ Мах Итог]]=Таблица1[[#This Row],[К-средних]],1,0)</f>
        <v>1</v>
      </c>
      <c r="DL72" s="238">
        <v>1.7617379015525667E-2</v>
      </c>
      <c r="DM72" s="238">
        <v>0.76620740784352803</v>
      </c>
      <c r="DN72" s="238">
        <v>0.2161752112464892</v>
      </c>
      <c r="DO72" s="238">
        <v>1.8774779310122057E-9</v>
      </c>
      <c r="DP72" s="238">
        <v>1.6979020230229899E-11</v>
      </c>
      <c r="DQ72" s="238">
        <v>0</v>
      </c>
      <c r="DR72" s="238">
        <v>0</v>
      </c>
      <c r="DS72" s="224">
        <f>MATCH(MAX(Таблица1[[#This Row],[ПДАсИ Ап 1]:[ПДАсИ Ап 7]]),Таблица1[[#This Row],[ПДАсИ Ап 1]:[ПДАсИ Ап 7]],0)</f>
        <v>2</v>
      </c>
      <c r="DT72" s="212">
        <f>IF(Таблица1[[#This Row],[ПДАсИ Ап Итог]]=Таблица1[[#This Row],[Train]],1,0)</f>
        <v>1</v>
      </c>
      <c r="DU72" s="212">
        <f>IF(Таблица1[[#This Row],[ПДАсИ Ап Итог]]=Таблица1[[#This Row],[К-средних]],1,0)</f>
        <v>1</v>
      </c>
    </row>
    <row r="73" spans="1:125" ht="13.8">
      <c r="A73" s="205" t="s">
        <v>343</v>
      </c>
      <c r="B73" s="319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320">
        <v>-1.8735865970081449</v>
      </c>
      <c r="K73" s="324">
        <v>-0.65369065560722028</v>
      </c>
      <c r="L73" s="325">
        <v>-0.25339290950272947</v>
      </c>
      <c r="M73" s="328">
        <v>-0.65701636982849976</v>
      </c>
      <c r="N73" s="310">
        <v>-5.1305133778135392E-2</v>
      </c>
      <c r="O73" s="329">
        <v>-0.36736513805733684</v>
      </c>
      <c r="P73" s="206">
        <v>5</v>
      </c>
      <c r="Q73" s="207">
        <v>5</v>
      </c>
      <c r="R73" s="206">
        <v>5</v>
      </c>
      <c r="S73" s="208">
        <v>3</v>
      </c>
      <c r="T73" s="271">
        <v>4</v>
      </c>
      <c r="U73" s="271">
        <v>7</v>
      </c>
      <c r="V73" s="272">
        <v>1</v>
      </c>
      <c r="W73" s="272">
        <v>1</v>
      </c>
      <c r="X73" s="312">
        <v>6</v>
      </c>
      <c r="Y73" s="313">
        <v>2</v>
      </c>
      <c r="Z73" s="271">
        <v>3</v>
      </c>
      <c r="AA73" s="314">
        <v>2</v>
      </c>
      <c r="AB73" s="343">
        <v>4</v>
      </c>
      <c r="AC73" s="343">
        <f>IF(Таблица1[[#This Row],[Train]]=Таблица1[[#This Row],[НС]],1,0)</f>
        <v>0</v>
      </c>
      <c r="AD73" s="343">
        <f>IF(Таблица1[[#This Row],[НС]]=Таблица1[[#This Row],[К-средних]],1,0)</f>
        <v>0</v>
      </c>
      <c r="AE73" s="208"/>
      <c r="AF73" s="209">
        <f>SUMXMY2(Таблица1[[#This Row],[X1]:[X9]],Таблица1[[#Totals],[X1]:[X9]])</f>
        <v>8.0134710031153062</v>
      </c>
      <c r="AG73" s="239" t="s">
        <v>2589</v>
      </c>
      <c r="AH73" s="239" t="s">
        <v>2586</v>
      </c>
      <c r="AI73" s="239" t="s">
        <v>2587</v>
      </c>
      <c r="AJ73" s="239" t="s">
        <v>2588</v>
      </c>
      <c r="AK73" s="239" t="s">
        <v>2590</v>
      </c>
      <c r="AL73" s="239" t="s">
        <v>2591</v>
      </c>
      <c r="AM73" s="239" t="s">
        <v>2592</v>
      </c>
      <c r="AN73" s="239" t="str">
        <f>RIGHT(Таблица1[[#This Row],[ДА1]],1)</f>
        <v>4</v>
      </c>
      <c r="AO73" s="214">
        <v>4</v>
      </c>
      <c r="AP73" s="213">
        <f>IF(Таблица1[[#This Row],[ДА Итог Копия]]=Таблица1[[#This Row],[Train]],1,0)</f>
        <v>0</v>
      </c>
      <c r="AQ73" s="213">
        <f>IF(Таблица1[[#This Row],[ДА Итог Копия]]=Таблица1[[#This Row],[К-средних]],1,0)</f>
        <v>0</v>
      </c>
      <c r="AR73" s="216">
        <v>63.951385331375306</v>
      </c>
      <c r="AS73" s="216">
        <v>62.917623822383725</v>
      </c>
      <c r="AT73" s="216">
        <v>57.810511735433302</v>
      </c>
      <c r="AU73" s="216">
        <v>49.993114053751775</v>
      </c>
      <c r="AV73" s="216">
        <v>74.0076173660037</v>
      </c>
      <c r="AW73" s="216">
        <v>643.75731071833695</v>
      </c>
      <c r="AX73" s="217">
        <v>319.91741252259584</v>
      </c>
      <c r="AY73" s="218">
        <f>MATCH(MIN(Таблица1[[#This Row],[1 ДА Мах]:[7_ДА_Мах]]),Таблица1[[#This Row],[1 ДА Мах]:[7_ДА_Мах]],0)</f>
        <v>4</v>
      </c>
      <c r="AZ73" s="219">
        <f>IF(Таблица1[[#This Row],[ДА_Мах_Итог]]=Таблица1[[#This Row],[Train]],1,0)</f>
        <v>0</v>
      </c>
      <c r="BA73" s="219">
        <f>IF(Таблица1[[#This Row],[ДА_Мах_Итог]]=Таблица1[[#This Row],[К-средних]],1,0)</f>
        <v>0</v>
      </c>
      <c r="BB73" s="220">
        <v>2.5179193406383985E-3</v>
      </c>
      <c r="BC73" s="220">
        <v>5.6293598310756601E-3</v>
      </c>
      <c r="BD73" s="220">
        <v>9.0440784690692291E-2</v>
      </c>
      <c r="BE73" s="220">
        <v>0.90140643772256002</v>
      </c>
      <c r="BF73" s="220">
        <v>5.4984150336214651E-6</v>
      </c>
      <c r="BG73" s="220">
        <v>0</v>
      </c>
      <c r="BH73" s="220">
        <v>0</v>
      </c>
      <c r="BI73" s="218">
        <f>MATCH(MAX(Таблица1[[#This Row],[1_ДА_Ап]:[7_ДА_Ап]]),Таблица1[[#This Row],[1_ДА_Ап]:[7_ДА_Ап]],0)</f>
        <v>4</v>
      </c>
      <c r="BJ73" s="219">
        <f>IF(Таблица1[[#This Row],[ДА_Ап_Итог]]=Таблица1[[#This Row],[Train]],1,0)</f>
        <v>0</v>
      </c>
      <c r="BK73" s="219">
        <f>IF(Таблица1[[#This Row],[ДА_Ап_Итог]]=Таблица1[[#This Row],[К-средних]],1,0)</f>
        <v>0</v>
      </c>
      <c r="BL73" s="234" t="s">
        <v>2587</v>
      </c>
      <c r="BM73" s="234" t="s">
        <v>2586</v>
      </c>
      <c r="BN73" s="234" t="s">
        <v>2589</v>
      </c>
      <c r="BO73" s="234" t="s">
        <v>2588</v>
      </c>
      <c r="BP73" s="234" t="s">
        <v>2590</v>
      </c>
      <c r="BQ73" s="234" t="s">
        <v>2591</v>
      </c>
      <c r="BR73" s="234" t="s">
        <v>2592</v>
      </c>
      <c r="BS73" s="234" t="str">
        <f>RIGHT(Таблица1[[#This Row],[ПДАсВ 1]],1)</f>
        <v>2</v>
      </c>
      <c r="BT73" s="227">
        <v>2</v>
      </c>
      <c r="BU73" s="212">
        <f>IF(Таблица1[[#This Row],[ПДАсВ Итог Копия]]=Таблица1[[#This Row],[Train]],1,0)</f>
        <v>0</v>
      </c>
      <c r="BV73" s="212">
        <f>IF(Таблица1[[#This Row],[ПДАсВ Итог Копия]]=Таблица1[[#This Row],[К-средних]],1,0)</f>
        <v>0</v>
      </c>
      <c r="BW73" s="235">
        <v>39.838866315489504</v>
      </c>
      <c r="BX73" s="235">
        <v>17.442446658262465</v>
      </c>
      <c r="BY73" s="235">
        <v>34.313060855590592</v>
      </c>
      <c r="BZ73" s="235">
        <v>32.985751961376828</v>
      </c>
      <c r="CA73" s="235">
        <v>39.875111343040572</v>
      </c>
      <c r="CB73" s="235">
        <v>602.95486527787523</v>
      </c>
      <c r="CC73" s="235">
        <v>211.1182589189012</v>
      </c>
      <c r="CD73" s="218">
        <f>MATCH(MIN(Таблица1[[#This Row],[1 ДА Мах]:[7_ДА_Мах]]),Таблица1[[#This Row],[1 ДА Мах]:[7_ДА_Мах]],0)</f>
        <v>4</v>
      </c>
      <c r="CE73" s="219">
        <f>IF(Таблица1[[#This Row],[ДА_Мах_Итог]]=Таблица1[[#This Row],[Train]],1,0)</f>
        <v>0</v>
      </c>
      <c r="CF73" s="219">
        <f>IF(Таблица1[[#This Row],[ДА_Мах_Итог]]=Таблица1[[#This Row],[К-средних]],1,0)</f>
        <v>0</v>
      </c>
      <c r="CG73" s="236">
        <v>1.0270013965881716E-5</v>
      </c>
      <c r="CH73" s="236">
        <v>0.99960980305884117</v>
      </c>
      <c r="CI73" s="236">
        <v>2.7122717057302773E-4</v>
      </c>
      <c r="CJ73" s="236">
        <v>1.0533789934585188E-4</v>
      </c>
      <c r="CK73" s="236">
        <v>3.3618572739629387E-6</v>
      </c>
      <c r="CL73" s="236">
        <v>0</v>
      </c>
      <c r="CM73" s="236">
        <v>0</v>
      </c>
      <c r="CN73" s="218">
        <f>MATCH(MAX(Таблица1[[#This Row],[1_ДА_Ап]:[7_ДА_Ап]]),Таблица1[[#This Row],[1_ДА_Ап]:[7_ДА_Ап]],0)</f>
        <v>4</v>
      </c>
      <c r="CO73" s="219">
        <f>IF(Таблица1[[#This Row],[ПДАсВ Итог Копия]]=Таблица1[[#This Row],[Train]],1,0)</f>
        <v>0</v>
      </c>
      <c r="CP73" s="219">
        <f>IF(Таблица1[[#This Row],[ПДАсВ Итог Копия]]=Таблица1[[#This Row],[К-средних]],1,0)</f>
        <v>0</v>
      </c>
      <c r="CQ73" s="234" t="s">
        <v>2587</v>
      </c>
      <c r="CR73" s="234" t="s">
        <v>2586</v>
      </c>
      <c r="CS73" s="234" t="s">
        <v>2588</v>
      </c>
      <c r="CT73" s="234" t="s">
        <v>2589</v>
      </c>
      <c r="CU73" s="234" t="s">
        <v>2590</v>
      </c>
      <c r="CV73" s="234" t="s">
        <v>2591</v>
      </c>
      <c r="CW73" s="234" t="s">
        <v>2592</v>
      </c>
      <c r="CX73" s="234" t="str">
        <f>RIGHT(Таблица1[[#This Row],[ПДАсИ 1]],1)</f>
        <v>2</v>
      </c>
      <c r="CY73" s="212">
        <v>2</v>
      </c>
      <c r="CZ73" s="212">
        <f>IF(Таблица1[[#This Row],[ПДАсИ Итог Копия]]=Таблица1[[#This Row],[Train]],1,0)</f>
        <v>0</v>
      </c>
      <c r="DA73" s="212">
        <f>IF(Таблица1[[#This Row],[ПДАсИ Итог Копия]]=Таблица1[[#This Row],[К-средних]],1,0)</f>
        <v>0</v>
      </c>
      <c r="DB73" s="237">
        <v>23.895288204469196</v>
      </c>
      <c r="DC73" s="237">
        <v>9.2181099350929685</v>
      </c>
      <c r="DD73" s="237">
        <v>19.229499321529815</v>
      </c>
      <c r="DE73" s="237">
        <v>39.004766448994843</v>
      </c>
      <c r="DF73" s="237">
        <v>49.848714059319001</v>
      </c>
      <c r="DG73" s="237">
        <v>522.95546032394054</v>
      </c>
      <c r="DH73" s="237">
        <v>315.5737650083243</v>
      </c>
      <c r="DI73" s="224">
        <f>MATCH(MIN(Таблица1[[#This Row],[ПДАсИ Мах 1]:[ПДАсИ Мах 7]]),Таблица1[[#This Row],[ПДАсИ Мах 1]:[ПДАсИ Мах 7]],0)</f>
        <v>2</v>
      </c>
      <c r="DJ73" s="212">
        <f>IF(Таблица1[[#This Row],[ПДАсИ Мах Итог]]=Таблица1[[#This Row],[Train]],1,0)</f>
        <v>0</v>
      </c>
      <c r="DK73" s="212">
        <f>IF(Таблица1[[#This Row],[ПДАсИ Мах Итог]]=Таблица1[[#This Row],[К-средних]],1,0)</f>
        <v>0</v>
      </c>
      <c r="DL73" s="238">
        <v>4.8319302999971081E-4</v>
      </c>
      <c r="DM73" s="238">
        <v>0.99121568060068044</v>
      </c>
      <c r="DN73" s="238">
        <v>8.301041659733421E-3</v>
      </c>
      <c r="DO73" s="238">
        <v>8.4336950453981297E-8</v>
      </c>
      <c r="DP73" s="238">
        <v>3.7263581064902769E-10</v>
      </c>
      <c r="DQ73" s="238">
        <v>0</v>
      </c>
      <c r="DR73" s="238">
        <v>0</v>
      </c>
      <c r="DS73" s="224">
        <f>MATCH(MAX(Таблица1[[#This Row],[ПДАсИ Ап 1]:[ПДАсИ Ап 7]]),Таблица1[[#This Row],[ПДАсИ Ап 1]:[ПДАсИ Ап 7]],0)</f>
        <v>2</v>
      </c>
      <c r="DT73" s="212">
        <f>IF(Таблица1[[#This Row],[ПДАсИ Ап Итог]]=Таблица1[[#This Row],[Train]],1,0)</f>
        <v>0</v>
      </c>
      <c r="DU73" s="212">
        <f>IF(Таблица1[[#This Row],[ПДАсИ Ап Итог]]=Таблица1[[#This Row],[К-средних]],1,0)</f>
        <v>0</v>
      </c>
    </row>
    <row r="74" spans="1:125" ht="13.8">
      <c r="A74" s="205" t="s">
        <v>344</v>
      </c>
      <c r="B74" s="319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320">
        <v>0.52345408587496522</v>
      </c>
      <c r="K74" s="324">
        <v>0.32025018871457267</v>
      </c>
      <c r="L74" s="325">
        <v>0.4606849685317011</v>
      </c>
      <c r="M74" s="328">
        <v>0.39298117432487084</v>
      </c>
      <c r="N74" s="310">
        <v>-0.33479124088191237</v>
      </c>
      <c r="O74" s="329">
        <v>-0.15559099611285143</v>
      </c>
      <c r="P74" s="206">
        <v>5</v>
      </c>
      <c r="Q74" s="207">
        <v>5</v>
      </c>
      <c r="R74" s="206">
        <v>4</v>
      </c>
      <c r="S74" s="208">
        <v>2</v>
      </c>
      <c r="T74" s="271">
        <v>6</v>
      </c>
      <c r="U74" s="271">
        <v>4</v>
      </c>
      <c r="V74" s="272">
        <v>2</v>
      </c>
      <c r="W74" s="272">
        <v>6</v>
      </c>
      <c r="X74" s="312">
        <v>2</v>
      </c>
      <c r="Y74" s="313">
        <v>2</v>
      </c>
      <c r="Z74" s="271">
        <v>4</v>
      </c>
      <c r="AA74" s="314">
        <v>1</v>
      </c>
      <c r="AB74" s="343">
        <v>3</v>
      </c>
      <c r="AC74" s="343">
        <f>IF(Таблица1[[#This Row],[Train]]=Таблица1[[#This Row],[НС]],1,0)</f>
        <v>0</v>
      </c>
      <c r="AD74" s="343">
        <f>IF(Таблица1[[#This Row],[НС]]=Таблица1[[#This Row],[К-средних]],1,0)</f>
        <v>0</v>
      </c>
      <c r="AE74" s="208"/>
      <c r="AF74" s="209">
        <f>SUMXMY2(Таблица1[[#This Row],[X1]:[X9]],Таблица1[[#Totals],[X1]:[X9]])</f>
        <v>2.1237107656488412</v>
      </c>
      <c r="AG74" s="239" t="s">
        <v>2587</v>
      </c>
      <c r="AH74" s="239" t="s">
        <v>2588</v>
      </c>
      <c r="AI74" s="239" t="s">
        <v>2586</v>
      </c>
      <c r="AJ74" s="239" t="s">
        <v>2590</v>
      </c>
      <c r="AK74" s="239" t="s">
        <v>2589</v>
      </c>
      <c r="AL74" s="239" t="s">
        <v>2591</v>
      </c>
      <c r="AM74" s="239" t="s">
        <v>2592</v>
      </c>
      <c r="AN74" s="239" t="str">
        <f>RIGHT(Таблица1[[#This Row],[ДА1]],1)</f>
        <v>2</v>
      </c>
      <c r="AO74" s="214">
        <v>2</v>
      </c>
      <c r="AP74" s="213">
        <f>IF(Таблица1[[#This Row],[ДА Итог Копия]]=Таблица1[[#This Row],[Train]],1,0)</f>
        <v>0</v>
      </c>
      <c r="AQ74" s="213">
        <f>IF(Таблица1[[#This Row],[ДА Итог Копия]]=Таблица1[[#This Row],[К-средних]],1,0)</f>
        <v>1</v>
      </c>
      <c r="AR74" s="216">
        <v>11.860401956452117</v>
      </c>
      <c r="AS74" s="216">
        <v>10.349299337454413</v>
      </c>
      <c r="AT74" s="216">
        <v>16.690135607075764</v>
      </c>
      <c r="AU74" s="216">
        <v>104.02531440385609</v>
      </c>
      <c r="AV74" s="216">
        <v>94.158968513771825</v>
      </c>
      <c r="AW74" s="216">
        <v>618.06996217243102</v>
      </c>
      <c r="AX74" s="217">
        <v>356.10778706136813</v>
      </c>
      <c r="AY74" s="218">
        <f>MATCH(MIN(Таблица1[[#This Row],[1 ДА Мах]:[7_ДА_Мах]]),Таблица1[[#This Row],[1 ДА Мах]:[7_ДА_Мах]],0)</f>
        <v>2</v>
      </c>
      <c r="AZ74" s="219">
        <f>IF(Таблица1[[#This Row],[ДА_Мах_Итог]]=Таблица1[[#This Row],[Train]],1,0)</f>
        <v>0</v>
      </c>
      <c r="BA74" s="219">
        <f>IF(Таблица1[[#This Row],[ДА_Мах_Итог]]=Таблица1[[#This Row],[К-средних]],1,0)</f>
        <v>1</v>
      </c>
      <c r="BB74" s="220">
        <v>0.25079343765061451</v>
      </c>
      <c r="BC74" s="220">
        <v>0.71184701709841991</v>
      </c>
      <c r="BD74" s="220">
        <v>3.7359545250965603E-2</v>
      </c>
      <c r="BE74" s="220">
        <v>8.1065947514157429E-22</v>
      </c>
      <c r="BF74" s="220">
        <v>1.1253516485751848E-19</v>
      </c>
      <c r="BG74" s="220">
        <v>0</v>
      </c>
      <c r="BH74" s="220">
        <v>0</v>
      </c>
      <c r="BI74" s="218">
        <f>MATCH(MAX(Таблица1[[#This Row],[1_ДА_Ап]:[7_ДА_Ап]]),Таблица1[[#This Row],[1_ДА_Ап]:[7_ДА_Ап]],0)</f>
        <v>2</v>
      </c>
      <c r="BJ74" s="219">
        <f>IF(Таблица1[[#This Row],[ДА_Ап_Итог]]=Таблица1[[#This Row],[Train]],1,0)</f>
        <v>0</v>
      </c>
      <c r="BK74" s="219">
        <f>IF(Таблица1[[#This Row],[ДА_Ап_Итог]]=Таблица1[[#This Row],[К-средних]],1,0)</f>
        <v>1</v>
      </c>
      <c r="BL74" s="234" t="s">
        <v>2586</v>
      </c>
      <c r="BM74" s="234" t="s">
        <v>2587</v>
      </c>
      <c r="BN74" s="234" t="s">
        <v>2588</v>
      </c>
      <c r="BO74" s="234" t="s">
        <v>2590</v>
      </c>
      <c r="BP74" s="234" t="s">
        <v>2589</v>
      </c>
      <c r="BQ74" s="234" t="s">
        <v>2591</v>
      </c>
      <c r="BR74" s="234" t="s">
        <v>2592</v>
      </c>
      <c r="BS74" s="234" t="str">
        <f>RIGHT(Таблица1[[#This Row],[ПДАсВ 1]],1)</f>
        <v>3</v>
      </c>
      <c r="BT74" s="227">
        <v>3</v>
      </c>
      <c r="BU74" s="212">
        <f>IF(Таблица1[[#This Row],[ПДАсВ Итог Копия]]=Таблица1[[#This Row],[Train]],1,0)</f>
        <v>0</v>
      </c>
      <c r="BV74" s="212">
        <f>IF(Таблица1[[#This Row],[ПДАсВ Итог Копия]]=Таблица1[[#This Row],[К-средних]],1,0)</f>
        <v>0</v>
      </c>
      <c r="BW74" s="235">
        <v>8.3485848067357225</v>
      </c>
      <c r="BX74" s="235">
        <v>7.6528129083643908</v>
      </c>
      <c r="BY74" s="235">
        <v>7.1162070739714727</v>
      </c>
      <c r="BZ74" s="235">
        <v>77.539440554166845</v>
      </c>
      <c r="CA74" s="235">
        <v>67.106594612066417</v>
      </c>
      <c r="CB74" s="235">
        <v>597.36742592171595</v>
      </c>
      <c r="CC74" s="235">
        <v>249.81355127420804</v>
      </c>
      <c r="CD74" s="218">
        <f>MATCH(MIN(Таблица1[[#This Row],[1 ДА Мах]:[7_ДА_Мах]]),Таблица1[[#This Row],[1 ДА Мах]:[7_ДА_Мах]],0)</f>
        <v>2</v>
      </c>
      <c r="CE74" s="219">
        <f>IF(Таблица1[[#This Row],[ДА_Мах_Итог]]=Таблица1[[#This Row],[Train]],1,0)</f>
        <v>0</v>
      </c>
      <c r="CF74" s="219">
        <f>IF(Таблица1[[#This Row],[ДА_Мах_Итог]]=Таблица1[[#This Row],[К-средних]],1,0)</f>
        <v>1</v>
      </c>
      <c r="CG74" s="236">
        <v>0.16737739334210447</v>
      </c>
      <c r="CH74" s="236">
        <v>0.31602430488658911</v>
      </c>
      <c r="CI74" s="236">
        <v>0.51659830177129673</v>
      </c>
      <c r="CJ74" s="236">
        <v>5.2719601729453013E-17</v>
      </c>
      <c r="CK74" s="236">
        <v>9.7148440264945269E-15</v>
      </c>
      <c r="CL74" s="236">
        <v>0</v>
      </c>
      <c r="CM74" s="236">
        <v>0</v>
      </c>
      <c r="CN74" s="218">
        <f>MATCH(MAX(Таблица1[[#This Row],[1_ДА_Ап]:[7_ДА_Ап]]),Таблица1[[#This Row],[1_ДА_Ап]:[7_ДА_Ап]],0)</f>
        <v>2</v>
      </c>
      <c r="CO74" s="219">
        <f>IF(Таблица1[[#This Row],[ПДАсВ Итог Копия]]=Таблица1[[#This Row],[Train]],1,0)</f>
        <v>0</v>
      </c>
      <c r="CP74" s="219">
        <f>IF(Таблица1[[#This Row],[ПДАсВ Итог Копия]]=Таблица1[[#This Row],[К-средних]],1,0)</f>
        <v>0</v>
      </c>
      <c r="CQ74" s="234" t="s">
        <v>2587</v>
      </c>
      <c r="CR74" s="234" t="s">
        <v>2586</v>
      </c>
      <c r="CS74" s="234" t="s">
        <v>2588</v>
      </c>
      <c r="CT74" s="234" t="s">
        <v>2589</v>
      </c>
      <c r="CU74" s="234" t="s">
        <v>2590</v>
      </c>
      <c r="CV74" s="234" t="s">
        <v>2591</v>
      </c>
      <c r="CW74" s="234" t="s">
        <v>2592</v>
      </c>
      <c r="CX74" s="234" t="str">
        <f>RIGHT(Таблица1[[#This Row],[ПДАсИ 1]],1)</f>
        <v>2</v>
      </c>
      <c r="CY74" s="212">
        <v>2</v>
      </c>
      <c r="CZ74" s="212">
        <f>IF(Таблица1[[#This Row],[ПДАсИ Итог Копия]]=Таблица1[[#This Row],[Train]],1,0)</f>
        <v>0</v>
      </c>
      <c r="DA74" s="212">
        <f>IF(Таблица1[[#This Row],[ПДАсИ Итог Копия]]=Таблица1[[#This Row],[К-средних]],1,0)</f>
        <v>1</v>
      </c>
      <c r="DB74" s="237">
        <v>7.8689726501346451</v>
      </c>
      <c r="DC74" s="237">
        <v>4.172225903667516</v>
      </c>
      <c r="DD74" s="237">
        <v>7.3673340952916995</v>
      </c>
      <c r="DE74" s="237">
        <v>56.014013511915685</v>
      </c>
      <c r="DF74" s="237">
        <v>71.747026323589822</v>
      </c>
      <c r="DG74" s="237">
        <v>408.25059896129341</v>
      </c>
      <c r="DH74" s="237">
        <v>317.30322471855277</v>
      </c>
      <c r="DI74" s="224">
        <f>MATCH(MIN(Таблица1[[#This Row],[ПДАсИ Мах 1]:[ПДАсИ Мах 7]]),Таблица1[[#This Row],[ПДАсИ Мах 1]:[ПДАсИ Мах 7]],0)</f>
        <v>2</v>
      </c>
      <c r="DJ74" s="212">
        <f>IF(Таблица1[[#This Row],[ПДАсИ Мах Итог]]=Таблица1[[#This Row],[Train]],1,0)</f>
        <v>0</v>
      </c>
      <c r="DK74" s="212">
        <f>IF(Таблица1[[#This Row],[ПДАсИ Мах Итог]]=Таблица1[[#This Row],[К-средних]],1,0)</f>
        <v>1</v>
      </c>
      <c r="DL74" s="238">
        <v>8.6149165172889217E-2</v>
      </c>
      <c r="DM74" s="238">
        <v>0.72933686575734069</v>
      </c>
      <c r="DN74" s="238">
        <v>0.1845139690687615</v>
      </c>
      <c r="DO74" s="238">
        <v>1.0082472123471536E-12</v>
      </c>
      <c r="DP74" s="238">
        <v>3.8653311442891477E-16</v>
      </c>
      <c r="DQ74" s="238">
        <v>0</v>
      </c>
      <c r="DR74" s="238">
        <v>0</v>
      </c>
      <c r="DS74" s="224">
        <f>MATCH(MAX(Таблица1[[#This Row],[ПДАсИ Ап 1]:[ПДАсИ Ап 7]]),Таблица1[[#This Row],[ПДАсИ Ап 1]:[ПДАсИ Ап 7]],0)</f>
        <v>2</v>
      </c>
      <c r="DT74" s="212">
        <f>IF(Таблица1[[#This Row],[ПДАсИ Ап Итог]]=Таблица1[[#This Row],[Train]],1,0)</f>
        <v>0</v>
      </c>
      <c r="DU74" s="212">
        <f>IF(Таблица1[[#This Row],[ПДАсИ Ап Итог]]=Таблица1[[#This Row],[К-средних]],1,0)</f>
        <v>1</v>
      </c>
    </row>
    <row r="75" spans="1:125" ht="13.8">
      <c r="A75" s="205" t="s">
        <v>345</v>
      </c>
      <c r="B75" s="319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320">
        <v>2.3380077834773192</v>
      </c>
      <c r="K75" s="324">
        <v>0.12979954898566595</v>
      </c>
      <c r="L75" s="325">
        <v>0.80747881613885342</v>
      </c>
      <c r="M75" s="328">
        <v>0.20186803178816071</v>
      </c>
      <c r="N75" s="310">
        <v>-0.31469934203026018</v>
      </c>
      <c r="O75" s="329">
        <v>-1.3051247747377994</v>
      </c>
      <c r="P75" s="206">
        <v>5</v>
      </c>
      <c r="Q75" s="207">
        <v>5</v>
      </c>
      <c r="R75" s="206">
        <v>6</v>
      </c>
      <c r="S75" s="208">
        <v>5</v>
      </c>
      <c r="T75" s="271">
        <v>6</v>
      </c>
      <c r="U75" s="271">
        <v>7</v>
      </c>
      <c r="V75" s="272">
        <v>2</v>
      </c>
      <c r="W75" s="272">
        <v>4</v>
      </c>
      <c r="X75" s="312">
        <v>2</v>
      </c>
      <c r="Y75" s="313">
        <v>4</v>
      </c>
      <c r="Z75" s="271">
        <v>4</v>
      </c>
      <c r="AA75" s="314">
        <v>1</v>
      </c>
      <c r="AB75" s="343">
        <v>3</v>
      </c>
      <c r="AC75" s="343">
        <f>IF(Таблица1[[#This Row],[Train]]=Таблица1[[#This Row],[НС]],1,0)</f>
        <v>0</v>
      </c>
      <c r="AD75" s="343">
        <f>IF(Таблица1[[#This Row],[НС]]=Таблица1[[#This Row],[К-средних]],1,0)</f>
        <v>0</v>
      </c>
      <c r="AE75" s="208"/>
      <c r="AF75" s="209">
        <f>SUMXMY2(Таблица1[[#This Row],[X1]:[X9]],Таблица1[[#Totals],[X1]:[X9]])</f>
        <v>11.925652404917113</v>
      </c>
      <c r="AG75" s="239" t="s">
        <v>2587</v>
      </c>
      <c r="AH75" s="239" t="s">
        <v>2588</v>
      </c>
      <c r="AI75" s="239" t="s">
        <v>2586</v>
      </c>
      <c r="AJ75" s="239" t="s">
        <v>2590</v>
      </c>
      <c r="AK75" s="239" t="s">
        <v>2589</v>
      </c>
      <c r="AL75" s="239" t="s">
        <v>2591</v>
      </c>
      <c r="AM75" s="239" t="s">
        <v>2592</v>
      </c>
      <c r="AN75" s="239" t="str">
        <f>RIGHT(Таблица1[[#This Row],[ДА1]],1)</f>
        <v>2</v>
      </c>
      <c r="AO75" s="214">
        <v>2</v>
      </c>
      <c r="AP75" s="213">
        <f>IF(Таблица1[[#This Row],[ДА Итог Копия]]=Таблица1[[#This Row],[Train]],1,0)</f>
        <v>0</v>
      </c>
      <c r="AQ75" s="213">
        <f>IF(Таблица1[[#This Row],[ДА Итог Копия]]=Таблица1[[#This Row],[К-средних]],1,0)</f>
        <v>0</v>
      </c>
      <c r="AR75" s="216">
        <v>56.095063526989854</v>
      </c>
      <c r="AS75" s="216">
        <v>43.733290255766285</v>
      </c>
      <c r="AT75" s="216">
        <v>65.840881299840575</v>
      </c>
      <c r="AU75" s="216">
        <v>119.15068792983503</v>
      </c>
      <c r="AV75" s="216">
        <v>102.94629465664147</v>
      </c>
      <c r="AW75" s="216">
        <v>669.40644595114168</v>
      </c>
      <c r="AX75" s="217">
        <v>362.54651586157257</v>
      </c>
      <c r="AY75" s="218">
        <f>MATCH(MIN(Таблица1[[#This Row],[1 ДА Мах]:[7_ДА_Мах]]),Таблица1[[#This Row],[1 ДА Мах]:[7_ДА_Мах]],0)</f>
        <v>2</v>
      </c>
      <c r="AZ75" s="219">
        <f>IF(Таблица1[[#This Row],[ДА_Мах_Итог]]=Таблица1[[#This Row],[Train]],1,0)</f>
        <v>0</v>
      </c>
      <c r="BA75" s="219">
        <f>IF(Таблица1[[#This Row],[ДА_Мах_Итог]]=Таблица1[[#This Row],[К-средних]],1,0)</f>
        <v>0</v>
      </c>
      <c r="BB75" s="220">
        <v>1.5490108649602987E-3</v>
      </c>
      <c r="BC75" s="220">
        <v>0.99843123646658882</v>
      </c>
      <c r="BD75" s="220">
        <v>1.9752668416364504E-5</v>
      </c>
      <c r="BE75" s="220">
        <v>1.0485239229048121E-17</v>
      </c>
      <c r="BF75" s="220">
        <v>3.4619248348198147E-14</v>
      </c>
      <c r="BG75" s="220">
        <v>0</v>
      </c>
      <c r="BH75" s="220">
        <v>0</v>
      </c>
      <c r="BI75" s="218">
        <f>MATCH(MAX(Таблица1[[#This Row],[1_ДА_Ап]:[7_ДА_Ап]]),Таблица1[[#This Row],[1_ДА_Ап]:[7_ДА_Ап]],0)</f>
        <v>2</v>
      </c>
      <c r="BJ75" s="219">
        <f>IF(Таблица1[[#This Row],[ДА_Ап_Итог]]=Таблица1[[#This Row],[Train]],1,0)</f>
        <v>0</v>
      </c>
      <c r="BK75" s="219">
        <f>IF(Таблица1[[#This Row],[ДА_Ап_Итог]]=Таблица1[[#This Row],[К-средних]],1,0)</f>
        <v>0</v>
      </c>
      <c r="BL75" s="234" t="s">
        <v>2587</v>
      </c>
      <c r="BM75" s="234" t="s">
        <v>2586</v>
      </c>
      <c r="BN75" s="234" t="s">
        <v>2588</v>
      </c>
      <c r="BO75" s="234" t="s">
        <v>2590</v>
      </c>
      <c r="BP75" s="234" t="s">
        <v>2589</v>
      </c>
      <c r="BQ75" s="234" t="s">
        <v>2591</v>
      </c>
      <c r="BR75" s="234" t="s">
        <v>2592</v>
      </c>
      <c r="BS75" s="234" t="str">
        <f>RIGHT(Таблица1[[#This Row],[ПДАсВ 1]],1)</f>
        <v>2</v>
      </c>
      <c r="BT75" s="227">
        <v>2</v>
      </c>
      <c r="BU75" s="212">
        <f>IF(Таблица1[[#This Row],[ПДАсВ Итог Копия]]=Таблица1[[#This Row],[Train]],1,0)</f>
        <v>0</v>
      </c>
      <c r="BV75" s="212">
        <f>IF(Таблица1[[#This Row],[ПДАсВ Итог Копия]]=Таблица1[[#This Row],[К-средних]],1,0)</f>
        <v>0</v>
      </c>
      <c r="BW75" s="235">
        <v>19.8220892670019</v>
      </c>
      <c r="BX75" s="235">
        <v>13.337007937378697</v>
      </c>
      <c r="BY75" s="235">
        <v>19.312633115198718</v>
      </c>
      <c r="BZ75" s="235">
        <v>44.038639112327047</v>
      </c>
      <c r="CA75" s="235">
        <v>32.973213025651646</v>
      </c>
      <c r="CB75" s="235">
        <v>594.95811809072404</v>
      </c>
      <c r="CC75" s="235">
        <v>250.74029253344668</v>
      </c>
      <c r="CD75" s="218">
        <f>MATCH(MIN(Таблица1[[#This Row],[1 ДА Мах]:[7_ДА_Мах]]),Таблица1[[#This Row],[1 ДА Мах]:[7_ДА_Мах]],0)</f>
        <v>2</v>
      </c>
      <c r="CE75" s="219">
        <f>IF(Таблица1[[#This Row],[ДА_Мах_Итог]]=Таблица1[[#This Row],[Train]],1,0)</f>
        <v>0</v>
      </c>
      <c r="CF75" s="219">
        <f>IF(Таблица1[[#This Row],[ДА_Мах_Итог]]=Таблица1[[#This Row],[К-средних]],1,0)</f>
        <v>0</v>
      </c>
      <c r="CG75" s="236">
        <v>2.6822436893087477E-2</v>
      </c>
      <c r="CH75" s="236">
        <v>0.9154918593319521</v>
      </c>
      <c r="CI75" s="236">
        <v>5.7673190785168041E-2</v>
      </c>
      <c r="CJ75" s="236">
        <v>4.929694351203941E-8</v>
      </c>
      <c r="CK75" s="236">
        <v>1.2463692848777107E-5</v>
      </c>
      <c r="CL75" s="236">
        <v>0</v>
      </c>
      <c r="CM75" s="236">
        <v>0</v>
      </c>
      <c r="CN75" s="218">
        <f>MATCH(MAX(Таблица1[[#This Row],[1_ДА_Ап]:[7_ДА_Ап]]),Таблица1[[#This Row],[1_ДА_Ап]:[7_ДА_Ап]],0)</f>
        <v>2</v>
      </c>
      <c r="CO75" s="219">
        <f>IF(Таблица1[[#This Row],[ПДАсВ Итог Копия]]=Таблица1[[#This Row],[Train]],1,0)</f>
        <v>0</v>
      </c>
      <c r="CP75" s="219">
        <f>IF(Таблица1[[#This Row],[ПДАсВ Итог Копия]]=Таблица1[[#This Row],[К-средних]],1,0)</f>
        <v>0</v>
      </c>
      <c r="CQ75" s="234" t="s">
        <v>2586</v>
      </c>
      <c r="CR75" s="234" t="s">
        <v>2587</v>
      </c>
      <c r="CS75" s="234" t="s">
        <v>2588</v>
      </c>
      <c r="CT75" s="234" t="s">
        <v>2589</v>
      </c>
      <c r="CU75" s="234" t="s">
        <v>2590</v>
      </c>
      <c r="CV75" s="234" t="s">
        <v>2591</v>
      </c>
      <c r="CW75" s="234" t="s">
        <v>2592</v>
      </c>
      <c r="CX75" s="234" t="str">
        <f>RIGHT(Таблица1[[#This Row],[ПДАсИ 1]],1)</f>
        <v>3</v>
      </c>
      <c r="CY75" s="212">
        <v>3</v>
      </c>
      <c r="CZ75" s="212">
        <f>IF(Таблица1[[#This Row],[ПДАсИ Итог Копия]]=Таблица1[[#This Row],[Train]],1,0)</f>
        <v>0</v>
      </c>
      <c r="DA75" s="212">
        <f>IF(Таблица1[[#This Row],[ПДАсИ Итог Копия]]=Таблица1[[#This Row],[К-средних]],1,0)</f>
        <v>0</v>
      </c>
      <c r="DB75" s="237">
        <v>14.973257462658342</v>
      </c>
      <c r="DC75" s="237">
        <v>11.662771690222471</v>
      </c>
      <c r="DD75" s="237">
        <v>6.1024347746446503</v>
      </c>
      <c r="DE75" s="237">
        <v>44.948117956980411</v>
      </c>
      <c r="DF75" s="237">
        <v>78.418058249138326</v>
      </c>
      <c r="DG75" s="237">
        <v>536.57944990838678</v>
      </c>
      <c r="DH75" s="237">
        <v>296.87868558599496</v>
      </c>
      <c r="DI75" s="224">
        <f>MATCH(MIN(Таблица1[[#This Row],[ПДАсИ Мах 1]:[ПДАсИ Мах 7]]),Таблица1[[#This Row],[ПДАсИ Мах 1]:[ПДАсИ Мах 7]],0)</f>
        <v>3</v>
      </c>
      <c r="DJ75" s="212">
        <f>IF(Таблица1[[#This Row],[ПДАсИ Мах Итог]]=Таблица1[[#This Row],[Train]],1,0)</f>
        <v>0</v>
      </c>
      <c r="DK75" s="212">
        <f>IF(Таблица1[[#This Row],[ПДАсИ Мах Итог]]=Таблица1[[#This Row],[К-средних]],1,0)</f>
        <v>0</v>
      </c>
      <c r="DL75" s="238">
        <v>6.7283951524489197E-3</v>
      </c>
      <c r="DM75" s="238">
        <v>4.6958376931908588E-2</v>
      </c>
      <c r="DN75" s="238">
        <v>0.94631322722088695</v>
      </c>
      <c r="DO75" s="238">
        <v>6.9475547879835236E-10</v>
      </c>
      <c r="DP75" s="238">
        <v>3.749097984127717E-17</v>
      </c>
      <c r="DQ75" s="238">
        <v>0</v>
      </c>
      <c r="DR75" s="238">
        <v>0</v>
      </c>
      <c r="DS75" s="224">
        <f>MATCH(MAX(Таблица1[[#This Row],[ПДАсИ Ап 1]:[ПДАсИ Ап 7]]),Таблица1[[#This Row],[ПДАсИ Ап 1]:[ПДАсИ Ап 7]],0)</f>
        <v>3</v>
      </c>
      <c r="DT75" s="212">
        <f>IF(Таблица1[[#This Row],[ПДАсИ Ап Итог]]=Таблица1[[#This Row],[Train]],1,0)</f>
        <v>0</v>
      </c>
      <c r="DU75" s="212">
        <f>IF(Таблица1[[#This Row],[ПДАсИ Ап Итог]]=Таблица1[[#This Row],[К-средних]],1,0)</f>
        <v>0</v>
      </c>
    </row>
    <row r="76" spans="1:125" ht="13.8">
      <c r="A76" s="205" t="s">
        <v>346</v>
      </c>
      <c r="B76" s="319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320">
        <v>-0.30605617588611117</v>
      </c>
      <c r="K76" s="324">
        <v>-0.16850937742986946</v>
      </c>
      <c r="L76" s="325">
        <v>-0.16601203416391094</v>
      </c>
      <c r="M76" s="328">
        <v>-9.5576143929635135E-2</v>
      </c>
      <c r="N76" s="310">
        <v>4.3846128880456393E-2</v>
      </c>
      <c r="O76" s="329">
        <v>0.52186412780779423</v>
      </c>
      <c r="P76" s="206">
        <v>5</v>
      </c>
      <c r="Q76" s="207">
        <v>5</v>
      </c>
      <c r="R76" s="206">
        <v>5</v>
      </c>
      <c r="S76" s="208">
        <v>3</v>
      </c>
      <c r="T76" s="271">
        <v>2</v>
      </c>
      <c r="U76" s="271">
        <v>6</v>
      </c>
      <c r="V76" s="272">
        <v>1</v>
      </c>
      <c r="W76" s="272">
        <v>1</v>
      </c>
      <c r="X76" s="312">
        <v>3</v>
      </c>
      <c r="Y76" s="313">
        <v>1</v>
      </c>
      <c r="Z76" s="271">
        <v>1</v>
      </c>
      <c r="AA76" s="314">
        <v>2</v>
      </c>
      <c r="AB76" s="314">
        <v>3</v>
      </c>
      <c r="AC76" s="314">
        <f>IF(Таблица1[[#This Row],[Train]]=Таблица1[[#This Row],[НС]],1,0)</f>
        <v>1</v>
      </c>
      <c r="AD76" s="314">
        <f>IF(Таблица1[[#This Row],[НС]]=Таблица1[[#This Row],[К-средних]],1,0)</f>
        <v>1</v>
      </c>
      <c r="AE76" s="208">
        <v>3</v>
      </c>
      <c r="AF76" s="209">
        <f>SUMXMY2(Таблица1[[#This Row],[X1]:[X9]],Таблица1[[#Totals],[X1]:[X9]])</f>
        <v>2.9339815828150182</v>
      </c>
      <c r="AG76" s="239" t="s">
        <v>2586</v>
      </c>
      <c r="AH76" s="239" t="s">
        <v>2587</v>
      </c>
      <c r="AI76" s="239" t="s">
        <v>2588</v>
      </c>
      <c r="AJ76" s="239" t="s">
        <v>2589</v>
      </c>
      <c r="AK76" s="239" t="s">
        <v>2590</v>
      </c>
      <c r="AL76" s="239" t="s">
        <v>2591</v>
      </c>
      <c r="AM76" s="239" t="s">
        <v>2592</v>
      </c>
      <c r="AN76" s="239" t="str">
        <f>RIGHT(Таблица1[[#This Row],[ДА1]],1)</f>
        <v>3</v>
      </c>
      <c r="AO76" s="214">
        <v>3</v>
      </c>
      <c r="AP76" s="213">
        <f>IF(Таблица1[[#This Row],[ДА Итог Копия]]=Таблица1[[#This Row],[Train]],1,0)</f>
        <v>1</v>
      </c>
      <c r="AQ76" s="213">
        <f>IF(Таблица1[[#This Row],[ДА Итог Копия]]=Таблица1[[#This Row],[К-средних]],1,0)</f>
        <v>1</v>
      </c>
      <c r="AR76" s="216">
        <v>22.915152847758357</v>
      </c>
      <c r="AS76" s="216">
        <v>18.93097258802219</v>
      </c>
      <c r="AT76" s="216">
        <v>7.4298123642725642</v>
      </c>
      <c r="AU76" s="216">
        <v>59.727984694900194</v>
      </c>
      <c r="AV76" s="216">
        <v>94.548757642984441</v>
      </c>
      <c r="AW76" s="216">
        <v>601.88179998621661</v>
      </c>
      <c r="AX76" s="217">
        <v>372.5002891207165</v>
      </c>
      <c r="AY76" s="218">
        <f>MATCH(MIN(Таблица1[[#This Row],[1 ДА Мах]:[7_ДА_Мах]]),Таблица1[[#This Row],[1 ДА Мах]:[7_ДА_Мах]],0)</f>
        <v>3</v>
      </c>
      <c r="AZ76" s="219">
        <f>IF(Таблица1[[#This Row],[ДА_Мах_Итог]]=Таблица1[[#This Row],[Train]],1,0)</f>
        <v>1</v>
      </c>
      <c r="BA76" s="219">
        <f>IF(Таблица1[[#This Row],[ДА_Мах_Итог]]=Таблица1[[#This Row],[К-средних]],1,0)</f>
        <v>1</v>
      </c>
      <c r="BB76" s="220">
        <v>2.5961857238694679E-4</v>
      </c>
      <c r="BC76" s="220">
        <v>2.537629678605431E-3</v>
      </c>
      <c r="BD76" s="220">
        <v>0.99720275174812978</v>
      </c>
      <c r="BE76" s="220">
        <v>8.7782841664259048E-13</v>
      </c>
      <c r="BF76" s="220">
        <v>2.410875935615369E-20</v>
      </c>
      <c r="BG76" s="220">
        <v>0</v>
      </c>
      <c r="BH76" s="220">
        <v>0</v>
      </c>
      <c r="BI76" s="218">
        <f>MATCH(MAX(Таблица1[[#This Row],[1_ДА_Ап]:[7_ДА_Ап]]),Таблица1[[#This Row],[1_ДА_Ап]:[7_ДА_Ап]],0)</f>
        <v>3</v>
      </c>
      <c r="BJ76" s="219">
        <f>IF(Таблица1[[#This Row],[ДА_Ап_Итог]]=Таблица1[[#This Row],[Train]],1,0)</f>
        <v>1</v>
      </c>
      <c r="BK76" s="219">
        <f>IF(Таблица1[[#This Row],[ДА_Ап_Итог]]=Таблица1[[#This Row],[К-средних]],1,0)</f>
        <v>1</v>
      </c>
      <c r="BL76" s="234" t="s">
        <v>2586</v>
      </c>
      <c r="BM76" s="234" t="s">
        <v>2587</v>
      </c>
      <c r="BN76" s="234" t="s">
        <v>2588</v>
      </c>
      <c r="BO76" s="234" t="s">
        <v>2590</v>
      </c>
      <c r="BP76" s="234" t="s">
        <v>2589</v>
      </c>
      <c r="BQ76" s="234" t="s">
        <v>2591</v>
      </c>
      <c r="BR76" s="234" t="s">
        <v>2592</v>
      </c>
      <c r="BS76" s="234" t="str">
        <f>RIGHT(Таблица1[[#This Row],[ПДАсВ 1]],1)</f>
        <v>3</v>
      </c>
      <c r="BT76" s="227">
        <v>3</v>
      </c>
      <c r="BU76" s="212">
        <f>IF(Таблица1[[#This Row],[ПДАсВ Итог Копия]]=Таблица1[[#This Row],[Train]],1,0)</f>
        <v>1</v>
      </c>
      <c r="BV76" s="212">
        <f>IF(Таблица1[[#This Row],[ПДАсВ Итог Копия]]=Таблица1[[#This Row],[К-средних]],1,0)</f>
        <v>1</v>
      </c>
      <c r="BW76" s="235">
        <v>9.3604777607802063</v>
      </c>
      <c r="BX76" s="235">
        <v>8.3243839744383976</v>
      </c>
      <c r="BY76" s="235">
        <v>3.131619695853658</v>
      </c>
      <c r="BZ76" s="235">
        <v>54.400741463667842</v>
      </c>
      <c r="CA76" s="235">
        <v>39.680102813566812</v>
      </c>
      <c r="CB76" s="235">
        <v>579.47133608723959</v>
      </c>
      <c r="CC76" s="235">
        <v>284.00448861509864</v>
      </c>
      <c r="CD76" s="218">
        <f>MATCH(MIN(Таблица1[[#This Row],[1 ДА Мах]:[7_ДА_Мах]]),Таблица1[[#This Row],[1 ДА Мах]:[7_ДА_Мах]],0)</f>
        <v>3</v>
      </c>
      <c r="CE76" s="219">
        <f>IF(Таблица1[[#This Row],[ДА_Мах_Итог]]=Таблица1[[#This Row],[Train]],1,0)</f>
        <v>1</v>
      </c>
      <c r="CF76" s="219">
        <f>IF(Таблица1[[#This Row],[ДА_Мах_Итог]]=Таблица1[[#This Row],[К-средних]],1,0)</f>
        <v>1</v>
      </c>
      <c r="CG76" s="236">
        <v>2.4526270224595862E-2</v>
      </c>
      <c r="CH76" s="236">
        <v>5.4897826786395272E-2</v>
      </c>
      <c r="CI76" s="236">
        <v>0.92057590085614338</v>
      </c>
      <c r="CJ76" s="236">
        <v>1.3556302752860192E-12</v>
      </c>
      <c r="CK76" s="236">
        <v>2.1315097683496074E-9</v>
      </c>
      <c r="CL76" s="236">
        <v>0</v>
      </c>
      <c r="CM76" s="236">
        <v>0</v>
      </c>
      <c r="CN76" s="218">
        <f>MATCH(MAX(Таблица1[[#This Row],[1_ДА_Ап]:[7_ДА_Ап]]),Таблица1[[#This Row],[1_ДА_Ап]:[7_ДА_Ап]],0)</f>
        <v>3</v>
      </c>
      <c r="CO76" s="219">
        <f>IF(Таблица1[[#This Row],[ПДАсВ Итог Копия]]=Таблица1[[#This Row],[Train]],1,0)</f>
        <v>1</v>
      </c>
      <c r="CP76" s="219">
        <f>IF(Таблица1[[#This Row],[ПДАсВ Итог Копия]]=Таблица1[[#This Row],[К-средних]],1,0)</f>
        <v>1</v>
      </c>
      <c r="CQ76" s="234" t="s">
        <v>2586</v>
      </c>
      <c r="CR76" s="234" t="s">
        <v>2587</v>
      </c>
      <c r="CS76" s="234" t="s">
        <v>2588</v>
      </c>
      <c r="CT76" s="234" t="s">
        <v>2589</v>
      </c>
      <c r="CU76" s="234" t="s">
        <v>2590</v>
      </c>
      <c r="CV76" s="234" t="s">
        <v>2591</v>
      </c>
      <c r="CW76" s="234" t="s">
        <v>2592</v>
      </c>
      <c r="CX76" s="234" t="str">
        <f>RIGHT(Таблица1[[#This Row],[ПДАсИ 1]],1)</f>
        <v>3</v>
      </c>
      <c r="CY76" s="212">
        <v>3</v>
      </c>
      <c r="CZ76" s="212">
        <f>IF(Таблица1[[#This Row],[ПДАсИ Итог Копия]]=Таблица1[[#This Row],[Train]],1,0)</f>
        <v>1</v>
      </c>
      <c r="DA76" s="212">
        <f>IF(Таблица1[[#This Row],[ПДАсИ Итог Копия]]=Таблица1[[#This Row],[К-средних]],1,0)</f>
        <v>1</v>
      </c>
      <c r="DB76" s="237">
        <v>9.4263750955231451</v>
      </c>
      <c r="DC76" s="237">
        <v>8.7167659753978697</v>
      </c>
      <c r="DD76" s="237">
        <v>0.92519697889138341</v>
      </c>
      <c r="DE76" s="237">
        <v>47.443642979648772</v>
      </c>
      <c r="DF76" s="237">
        <v>62.340962459009639</v>
      </c>
      <c r="DG76" s="237">
        <v>450.59705481324227</v>
      </c>
      <c r="DH76" s="237">
        <v>352.64854387916796</v>
      </c>
      <c r="DI76" s="224">
        <f>MATCH(MIN(Таблица1[[#This Row],[ПДАсИ Мах 1]:[ПДАсИ Мах 7]]),Таблица1[[#This Row],[ПДАсИ Мах 1]:[ПДАсИ Мах 7]],0)</f>
        <v>3</v>
      </c>
      <c r="DJ76" s="212">
        <f>IF(Таблица1[[#This Row],[ПДАсИ Мах Итог]]=Таблица1[[#This Row],[Train]],1,0)</f>
        <v>1</v>
      </c>
      <c r="DK76" s="212">
        <f>IF(Таблица1[[#This Row],[ПДАсИ Мах Итог]]=Таблица1[[#This Row],[К-средних]],1,0)</f>
        <v>1</v>
      </c>
      <c r="DL76" s="238">
        <v>8.3463812487207835E-3</v>
      </c>
      <c r="DM76" s="238">
        <v>1.5868161717969499E-2</v>
      </c>
      <c r="DN76" s="238">
        <v>0.97578545701784714</v>
      </c>
      <c r="DO76" s="238">
        <v>1.545368780519161E-11</v>
      </c>
      <c r="DP76" s="238">
        <v>8.9974680237016961E-15</v>
      </c>
      <c r="DQ76" s="238">
        <v>0</v>
      </c>
      <c r="DR76" s="238">
        <v>0</v>
      </c>
      <c r="DS76" s="224">
        <f>MATCH(MAX(Таблица1[[#This Row],[ПДАсИ Ап 1]:[ПДАсИ Ап 7]]),Таблица1[[#This Row],[ПДАсИ Ап 1]:[ПДАсИ Ап 7]],0)</f>
        <v>3</v>
      </c>
      <c r="DT76" s="212">
        <f>IF(Таблица1[[#This Row],[ПДАсИ Ап Итог]]=Таблица1[[#This Row],[Train]],1,0)</f>
        <v>1</v>
      </c>
      <c r="DU76" s="212">
        <f>IF(Таблица1[[#This Row],[ПДАсИ Ап Итог]]=Таблица1[[#This Row],[К-средних]],1,0)</f>
        <v>1</v>
      </c>
    </row>
    <row r="77" spans="1:125" ht="13.8">
      <c r="A77" s="205" t="s">
        <v>347</v>
      </c>
      <c r="B77" s="319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320">
        <v>-0.38839726804621805</v>
      </c>
      <c r="K77" s="324">
        <v>0.12634343449439428</v>
      </c>
      <c r="L77" s="325">
        <v>0.51442995585066453</v>
      </c>
      <c r="M77" s="328">
        <v>0.26534960227412113</v>
      </c>
      <c r="N77" s="310">
        <v>-0.46468043207696907</v>
      </c>
      <c r="O77" s="329">
        <v>1.7386305500790358E-3</v>
      </c>
      <c r="P77" s="206">
        <v>5</v>
      </c>
      <c r="Q77" s="207">
        <v>5</v>
      </c>
      <c r="R77" s="206">
        <v>4</v>
      </c>
      <c r="S77" s="208">
        <v>3</v>
      </c>
      <c r="T77" s="271">
        <v>6</v>
      </c>
      <c r="U77" s="271">
        <v>7</v>
      </c>
      <c r="V77" s="272">
        <v>2</v>
      </c>
      <c r="W77" s="272">
        <v>6</v>
      </c>
      <c r="X77" s="312">
        <v>2</v>
      </c>
      <c r="Y77" s="313">
        <v>2</v>
      </c>
      <c r="Z77" s="271">
        <v>4</v>
      </c>
      <c r="AA77" s="314">
        <v>1</v>
      </c>
      <c r="AB77" s="343">
        <v>3</v>
      </c>
      <c r="AC77" s="343">
        <f>IF(Таблица1[[#This Row],[Train]]=Таблица1[[#This Row],[НС]],1,0)</f>
        <v>0</v>
      </c>
      <c r="AD77" s="343">
        <f>IF(Таблица1[[#This Row],[НС]]=Таблица1[[#This Row],[К-средних]],1,0)</f>
        <v>1</v>
      </c>
      <c r="AE77" s="208"/>
      <c r="AF77" s="209">
        <f>SUMXMY2(Таблица1[[#This Row],[X1]:[X9]],Таблица1[[#Totals],[X1]:[X9]])</f>
        <v>2.6372277550410113</v>
      </c>
      <c r="AG77" s="239" t="s">
        <v>2587</v>
      </c>
      <c r="AH77" s="239" t="s">
        <v>2586</v>
      </c>
      <c r="AI77" s="239" t="s">
        <v>2588</v>
      </c>
      <c r="AJ77" s="239" t="s">
        <v>2589</v>
      </c>
      <c r="AK77" s="239" t="s">
        <v>2590</v>
      </c>
      <c r="AL77" s="239" t="s">
        <v>2591</v>
      </c>
      <c r="AM77" s="239" t="s">
        <v>2592</v>
      </c>
      <c r="AN77" s="239" t="str">
        <f>RIGHT(Таблица1[[#This Row],[ДА1]],1)</f>
        <v>2</v>
      </c>
      <c r="AO77" s="214">
        <v>2</v>
      </c>
      <c r="AP77" s="213">
        <f>IF(Таблица1[[#This Row],[ДА Итог Копия]]=Таблица1[[#This Row],[Train]],1,0)</f>
        <v>0</v>
      </c>
      <c r="AQ77" s="213">
        <f>IF(Таблица1[[#This Row],[ДА Итог Копия]]=Таблица1[[#This Row],[К-средних]],1,0)</f>
        <v>0</v>
      </c>
      <c r="AR77" s="216">
        <v>22.93725284455315</v>
      </c>
      <c r="AS77" s="216">
        <v>12.244403711202265</v>
      </c>
      <c r="AT77" s="216">
        <v>16.140317256887226</v>
      </c>
      <c r="AU77" s="216">
        <v>94.370032584505225</v>
      </c>
      <c r="AV77" s="216">
        <v>108.82875550709856</v>
      </c>
      <c r="AW77" s="216">
        <v>690.17349784254782</v>
      </c>
      <c r="AX77" s="217">
        <v>317.31930791125819</v>
      </c>
      <c r="AY77" s="218">
        <f>MATCH(MIN(Таблица1[[#This Row],[1 ДА Мах]:[7_ДА_Мах]]),Таблица1[[#This Row],[1 ДА Мах]:[7_ДА_Мах]],0)</f>
        <v>2</v>
      </c>
      <c r="AZ77" s="219">
        <f>IF(Таблица1[[#This Row],[ДА_Мах_Итог]]=Таблица1[[#This Row],[Train]],1,0)</f>
        <v>0</v>
      </c>
      <c r="BA77" s="219">
        <f>IF(Таблица1[[#This Row],[ДА_Мах_Итог]]=Таблица1[[#This Row],[К-средних]],1,0)</f>
        <v>0</v>
      </c>
      <c r="BB77" s="220">
        <v>3.0241398144797227E-3</v>
      </c>
      <c r="BC77" s="220">
        <v>0.84618103944011347</v>
      </c>
      <c r="BD77" s="220">
        <v>0.1507948207454067</v>
      </c>
      <c r="BE77" s="220">
        <v>3.1049140115399761E-19</v>
      </c>
      <c r="BF77" s="220">
        <v>2.251011879046676E-22</v>
      </c>
      <c r="BG77" s="220">
        <v>0</v>
      </c>
      <c r="BH77" s="220">
        <v>0</v>
      </c>
      <c r="BI77" s="218">
        <f>MATCH(MAX(Таблица1[[#This Row],[1_ДА_Ап]:[7_ДА_Ап]]),Таблица1[[#This Row],[1_ДА_Ап]:[7_ДА_Ап]],0)</f>
        <v>2</v>
      </c>
      <c r="BJ77" s="219">
        <f>IF(Таблица1[[#This Row],[ДА_Ап_Итог]]=Таблица1[[#This Row],[Train]],1,0)</f>
        <v>0</v>
      </c>
      <c r="BK77" s="219">
        <f>IF(Таблица1[[#This Row],[ДА_Ап_Итог]]=Таблица1[[#This Row],[К-средних]],1,0)</f>
        <v>0</v>
      </c>
      <c r="BL77" s="234" t="s">
        <v>2587</v>
      </c>
      <c r="BM77" s="234" t="s">
        <v>2586</v>
      </c>
      <c r="BN77" s="234" t="s">
        <v>2588</v>
      </c>
      <c r="BO77" s="234" t="s">
        <v>2590</v>
      </c>
      <c r="BP77" s="234" t="s">
        <v>2589</v>
      </c>
      <c r="BQ77" s="234" t="s">
        <v>2591</v>
      </c>
      <c r="BR77" s="234" t="s">
        <v>2592</v>
      </c>
      <c r="BS77" s="234" t="str">
        <f>RIGHT(Таблица1[[#This Row],[ПДАсВ 1]],1)</f>
        <v>2</v>
      </c>
      <c r="BT77" s="227">
        <v>2</v>
      </c>
      <c r="BU77" s="212">
        <f>IF(Таблица1[[#This Row],[ПДАсВ Итог Копия]]=Таблица1[[#This Row],[Train]],1,0)</f>
        <v>0</v>
      </c>
      <c r="BV77" s="212">
        <f>IF(Таблица1[[#This Row],[ПДАсВ Итог Копия]]=Таблица1[[#This Row],[К-средних]],1,0)</f>
        <v>0</v>
      </c>
      <c r="BW77" s="235">
        <v>20.879618524508427</v>
      </c>
      <c r="BX77" s="235">
        <v>4.6155870690036442</v>
      </c>
      <c r="BY77" s="235">
        <v>13.45716943450935</v>
      </c>
      <c r="BZ77" s="235">
        <v>84.059985489650259</v>
      </c>
      <c r="CA77" s="235">
        <v>79.188328128962667</v>
      </c>
      <c r="CB77" s="235">
        <v>664.3798982544032</v>
      </c>
      <c r="CC77" s="235">
        <v>240.12828781104039</v>
      </c>
      <c r="CD77" s="218">
        <f>MATCH(MIN(Таблица1[[#This Row],[1 ДА Мах]:[7_ДА_Мах]]),Таблица1[[#This Row],[1 ДА Мах]:[7_ДА_Мах]],0)</f>
        <v>2</v>
      </c>
      <c r="CE77" s="219">
        <f>IF(Таблица1[[#This Row],[ДА_Мах_Итог]]=Таблица1[[#This Row],[Train]],1,0)</f>
        <v>0</v>
      </c>
      <c r="CF77" s="219">
        <f>IF(Таблица1[[#This Row],[ДА_Мах_Итог]]=Таблица1[[#This Row],[К-средних]],1,0)</f>
        <v>0</v>
      </c>
      <c r="CG77" s="236">
        <v>2.1716914415963396E-4</v>
      </c>
      <c r="CH77" s="236">
        <v>0.98497773544740896</v>
      </c>
      <c r="CI77" s="236">
        <v>1.4805095408431486E-2</v>
      </c>
      <c r="CJ77" s="236">
        <v>1.381129801249388E-18</v>
      </c>
      <c r="CK77" s="236">
        <v>1.5779798422888484E-17</v>
      </c>
      <c r="CL77" s="236">
        <v>0</v>
      </c>
      <c r="CM77" s="236">
        <v>0</v>
      </c>
      <c r="CN77" s="218">
        <f>MATCH(MAX(Таблица1[[#This Row],[1_ДА_Ап]:[7_ДА_Ап]]),Таблица1[[#This Row],[1_ДА_Ап]:[7_ДА_Ап]],0)</f>
        <v>2</v>
      </c>
      <c r="CO77" s="219">
        <f>IF(Таблица1[[#This Row],[ПДАсВ Итог Копия]]=Таблица1[[#This Row],[Train]],1,0)</f>
        <v>0</v>
      </c>
      <c r="CP77" s="219">
        <f>IF(Таблица1[[#This Row],[ПДАсВ Итог Копия]]=Таблица1[[#This Row],[К-средних]],1,0)</f>
        <v>0</v>
      </c>
      <c r="CQ77" s="234" t="s">
        <v>2587</v>
      </c>
      <c r="CR77" s="234" t="s">
        <v>2586</v>
      </c>
      <c r="CS77" s="234" t="s">
        <v>2588</v>
      </c>
      <c r="CT77" s="234" t="s">
        <v>2589</v>
      </c>
      <c r="CU77" s="234" t="s">
        <v>2590</v>
      </c>
      <c r="CV77" s="234" t="s">
        <v>2591</v>
      </c>
      <c r="CW77" s="234" t="s">
        <v>2592</v>
      </c>
      <c r="CX77" s="234" t="str">
        <f>RIGHT(Таблица1[[#This Row],[ПДАсИ 1]],1)</f>
        <v>2</v>
      </c>
      <c r="CY77" s="212">
        <v>2</v>
      </c>
      <c r="CZ77" s="212">
        <f>IF(Таблица1[[#This Row],[ПДАсИ Итог Копия]]=Таблица1[[#This Row],[Train]],1,0)</f>
        <v>0</v>
      </c>
      <c r="DA77" s="212">
        <f>IF(Таблица1[[#This Row],[ПДАсИ Итог Копия]]=Таблица1[[#This Row],[К-средних]],1,0)</f>
        <v>0</v>
      </c>
      <c r="DB77" s="237">
        <v>22.298110494102268</v>
      </c>
      <c r="DC77" s="237">
        <v>3.0654622494324242</v>
      </c>
      <c r="DD77" s="237">
        <v>13.429868315679801</v>
      </c>
      <c r="DE77" s="237">
        <v>65.04418689755677</v>
      </c>
      <c r="DF77" s="237">
        <v>93.672487026958876</v>
      </c>
      <c r="DG77" s="237">
        <v>492.57951246605921</v>
      </c>
      <c r="DH77" s="237">
        <v>298.46856117583502</v>
      </c>
      <c r="DI77" s="224">
        <f>MATCH(MIN(Таблица1[[#This Row],[ПДАсИ Мах 1]:[ПДАсИ Мах 7]]),Таблица1[[#This Row],[ПДАсИ Мах 1]:[ПДАсИ Мах 7]],0)</f>
        <v>2</v>
      </c>
      <c r="DJ77" s="212">
        <f>IF(Таблица1[[#This Row],[ПДАсИ Мах Итог]]=Таблица1[[#This Row],[Train]],1,0)</f>
        <v>0</v>
      </c>
      <c r="DK77" s="212">
        <f>IF(Таблица1[[#This Row],[ПДАсИ Мах Итог]]=Таблица1[[#This Row],[К-средних]],1,0)</f>
        <v>0</v>
      </c>
      <c r="DL77" s="238">
        <v>4.9623262914375115E-5</v>
      </c>
      <c r="DM77" s="238">
        <v>0.99298012620726461</v>
      </c>
      <c r="DN77" s="238">
        <v>6.970250529812338E-3</v>
      </c>
      <c r="DO77" s="238">
        <v>8.6371708450326562E-15</v>
      </c>
      <c r="DP77" s="238">
        <v>5.2458410093689872E-21</v>
      </c>
      <c r="DQ77" s="238">
        <v>0</v>
      </c>
      <c r="DR77" s="238">
        <v>0</v>
      </c>
      <c r="DS77" s="224">
        <f>MATCH(MAX(Таблица1[[#This Row],[ПДАсИ Ап 1]:[ПДАсИ Ап 7]]),Таблица1[[#This Row],[ПДАсИ Ап 1]:[ПДАсИ Ап 7]],0)</f>
        <v>2</v>
      </c>
      <c r="DT77" s="212">
        <f>IF(Таблица1[[#This Row],[ПДАсИ Ап Итог]]=Таблица1[[#This Row],[Train]],1,0)</f>
        <v>0</v>
      </c>
      <c r="DU77" s="212">
        <f>IF(Таблица1[[#This Row],[ПДАсИ Ап Итог]]=Таблица1[[#This Row],[К-средних]],1,0)</f>
        <v>0</v>
      </c>
    </row>
    <row r="78" spans="1:125" ht="13.8">
      <c r="A78" s="205" t="s">
        <v>348</v>
      </c>
      <c r="B78" s="319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320">
        <v>8.7351264434399473E-2</v>
      </c>
      <c r="K78" s="324">
        <v>-0.41174067825606686</v>
      </c>
      <c r="L78" s="325">
        <v>7.8671901897058472E-2</v>
      </c>
      <c r="M78" s="328">
        <v>-0.36357980207016127</v>
      </c>
      <c r="N78" s="310">
        <v>-7.8022560425598492E-2</v>
      </c>
      <c r="O78" s="329">
        <v>9.4328970698132175E-2</v>
      </c>
      <c r="P78" s="206">
        <v>5</v>
      </c>
      <c r="Q78" s="207">
        <v>5</v>
      </c>
      <c r="R78" s="206">
        <v>5</v>
      </c>
      <c r="S78" s="208">
        <v>3</v>
      </c>
      <c r="T78" s="271">
        <v>2</v>
      </c>
      <c r="U78" s="271">
        <v>7</v>
      </c>
      <c r="V78" s="272">
        <v>1</v>
      </c>
      <c r="W78" s="272">
        <v>1</v>
      </c>
      <c r="X78" s="312">
        <v>3</v>
      </c>
      <c r="Y78" s="313">
        <v>2</v>
      </c>
      <c r="Z78" s="271">
        <v>1</v>
      </c>
      <c r="AA78" s="314">
        <v>2</v>
      </c>
      <c r="AB78" s="343">
        <v>5</v>
      </c>
      <c r="AC78" s="343">
        <f>IF(Таблица1[[#This Row],[Train]]=Таблица1[[#This Row],[НС]],1,0)</f>
        <v>0</v>
      </c>
      <c r="AD78" s="343">
        <f>IF(Таблица1[[#This Row],[НС]]=Таблица1[[#This Row],[К-средних]],1,0)</f>
        <v>0</v>
      </c>
      <c r="AE78" s="208"/>
      <c r="AF78" s="209">
        <f>SUMXMY2(Таблица1[[#This Row],[X1]:[X9]],Таблица1[[#Totals],[X1]:[X9]])</f>
        <v>2.722865240341751</v>
      </c>
      <c r="AG78" s="239" t="s">
        <v>2586</v>
      </c>
      <c r="AH78" s="239" t="s">
        <v>2587</v>
      </c>
      <c r="AI78" s="239" t="s">
        <v>2588</v>
      </c>
      <c r="AJ78" s="239" t="s">
        <v>2590</v>
      </c>
      <c r="AK78" s="239" t="s">
        <v>2589</v>
      </c>
      <c r="AL78" s="239" t="s">
        <v>2591</v>
      </c>
      <c r="AM78" s="239" t="s">
        <v>2592</v>
      </c>
      <c r="AN78" s="239" t="str">
        <f>RIGHT(Таблица1[[#This Row],[ДА1]],1)</f>
        <v>3</v>
      </c>
      <c r="AO78" s="214">
        <v>3</v>
      </c>
      <c r="AP78" s="213">
        <f>IF(Таблица1[[#This Row],[ДА Итог Копия]]=Таблица1[[#This Row],[Train]],1,0)</f>
        <v>0</v>
      </c>
      <c r="AQ78" s="213">
        <f>IF(Таблица1[[#This Row],[ДА Итог Копия]]=Таблица1[[#This Row],[К-средних]],1,0)</f>
        <v>1</v>
      </c>
      <c r="AR78" s="216">
        <v>35.764028478132957</v>
      </c>
      <c r="AS78" s="216">
        <v>20.370150024591638</v>
      </c>
      <c r="AT78" s="216">
        <v>20.581884072091526</v>
      </c>
      <c r="AU78" s="216">
        <v>60.716577188664843</v>
      </c>
      <c r="AV78" s="216">
        <v>59.824735570813438</v>
      </c>
      <c r="AW78" s="216">
        <v>630.88412509214845</v>
      </c>
      <c r="AX78" s="217">
        <v>415.80850074113283</v>
      </c>
      <c r="AY78" s="218">
        <f>MATCH(MIN(Таблица1[[#This Row],[1 ДА Мах]:[7_ДА_Мах]]),Таблица1[[#This Row],[1 ДА Мах]:[7_ДА_Мах]],0)</f>
        <v>2</v>
      </c>
      <c r="AZ78" s="219">
        <f>IF(Таблица1[[#This Row],[ДА_Мах_Итог]]=Таблица1[[#This Row],[Train]],1,0)</f>
        <v>0</v>
      </c>
      <c r="BA78" s="219">
        <f>IF(Таблица1[[#This Row],[ДА_Мах_Итог]]=Таблица1[[#This Row],[К-средних]],1,0)</f>
        <v>0</v>
      </c>
      <c r="BB78" s="220">
        <v>1.6032856386793195E-4</v>
      </c>
      <c r="BC78" s="220">
        <v>0.47063895682469808</v>
      </c>
      <c r="BD78" s="220">
        <v>0.5292007140889422</v>
      </c>
      <c r="BE78" s="220">
        <v>2.0394475489692733E-10</v>
      </c>
      <c r="BF78" s="220">
        <v>3.1854697640246836E-10</v>
      </c>
      <c r="BG78" s="220">
        <v>0</v>
      </c>
      <c r="BH78" s="220">
        <v>0</v>
      </c>
      <c r="BI78" s="218">
        <f>MATCH(MAX(Таблица1[[#This Row],[1_ДА_Ап]:[7_ДА_Ап]]),Таблица1[[#This Row],[1_ДА_Ап]:[7_ДА_Ап]],0)</f>
        <v>3</v>
      </c>
      <c r="BJ78" s="219">
        <f>IF(Таблица1[[#This Row],[ДА_Ап_Итог]]=Таблица1[[#This Row],[Train]],1,0)</f>
        <v>0</v>
      </c>
      <c r="BK78" s="219">
        <f>IF(Таблица1[[#This Row],[ДА_Ап_Итог]]=Таблица1[[#This Row],[К-средних]],1,0)</f>
        <v>1</v>
      </c>
      <c r="BL78" s="234" t="s">
        <v>2587</v>
      </c>
      <c r="BM78" s="234" t="s">
        <v>2586</v>
      </c>
      <c r="BN78" s="234" t="s">
        <v>2590</v>
      </c>
      <c r="BO78" s="234" t="s">
        <v>2588</v>
      </c>
      <c r="BP78" s="234" t="s">
        <v>2589</v>
      </c>
      <c r="BQ78" s="234" t="s">
        <v>2591</v>
      </c>
      <c r="BR78" s="234" t="s">
        <v>2592</v>
      </c>
      <c r="BS78" s="234" t="str">
        <f>RIGHT(Таблица1[[#This Row],[ПДАсВ 1]],1)</f>
        <v>2</v>
      </c>
      <c r="BT78" s="227">
        <v>2</v>
      </c>
      <c r="BU78" s="212">
        <f>IF(Таблица1[[#This Row],[ПДАсВ Итог Копия]]=Таблица1[[#This Row],[Train]],1,0)</f>
        <v>0</v>
      </c>
      <c r="BV78" s="212">
        <f>IF(Таблица1[[#This Row],[ПДАсВ Итог Копия]]=Таблица1[[#This Row],[К-средних]],1,0)</f>
        <v>0</v>
      </c>
      <c r="BW78" s="235">
        <v>27.372631179462807</v>
      </c>
      <c r="BX78" s="235">
        <v>13.447939128588057</v>
      </c>
      <c r="BY78" s="235">
        <v>15.790794487037379</v>
      </c>
      <c r="BZ78" s="235">
        <v>51.206044909132189</v>
      </c>
      <c r="CA78" s="235">
        <v>22.327687390079753</v>
      </c>
      <c r="CB78" s="235">
        <v>620.38777524380816</v>
      </c>
      <c r="CC78" s="235">
        <v>303.8604973862694</v>
      </c>
      <c r="CD78" s="218">
        <f>MATCH(MIN(Таблица1[[#This Row],[1 ДА Мах]:[7_ДА_Мах]]),Таблица1[[#This Row],[1 ДА Мах]:[7_ДА_Мах]],0)</f>
        <v>2</v>
      </c>
      <c r="CE78" s="219">
        <f>IF(Таблица1[[#This Row],[ДА_Мах_Итог]]=Таблица1[[#This Row],[Train]],1,0)</f>
        <v>0</v>
      </c>
      <c r="CF78" s="219">
        <f>IF(Таблица1[[#This Row],[ДА_Мах_Итог]]=Таблица1[[#This Row],[К-средних]],1,0)</f>
        <v>0</v>
      </c>
      <c r="CG78" s="236">
        <v>5.1051143282191519E-4</v>
      </c>
      <c r="CH78" s="236">
        <v>0.71887382217366735</v>
      </c>
      <c r="CI78" s="236">
        <v>0.27849545055162522</v>
      </c>
      <c r="CJ78" s="236">
        <v>1.1363815758973496E-9</v>
      </c>
      <c r="CK78" s="236">
        <v>2.1202147055038255E-3</v>
      </c>
      <c r="CL78" s="236">
        <v>0</v>
      </c>
      <c r="CM78" s="236">
        <v>0</v>
      </c>
      <c r="CN78" s="218">
        <f>MATCH(MAX(Таблица1[[#This Row],[1_ДА_Ап]:[7_ДА_Ап]]),Таблица1[[#This Row],[1_ДА_Ап]:[7_ДА_Ап]],0)</f>
        <v>3</v>
      </c>
      <c r="CO78" s="219">
        <f>IF(Таблица1[[#This Row],[ПДАсВ Итог Копия]]=Таблица1[[#This Row],[Train]],1,0)</f>
        <v>0</v>
      </c>
      <c r="CP78" s="219">
        <f>IF(Таблица1[[#This Row],[ПДАсВ Итог Копия]]=Таблица1[[#This Row],[К-средних]],1,0)</f>
        <v>0</v>
      </c>
      <c r="CQ78" s="234" t="s">
        <v>2586</v>
      </c>
      <c r="CR78" s="234" t="s">
        <v>2587</v>
      </c>
      <c r="CS78" s="234" t="s">
        <v>2588</v>
      </c>
      <c r="CT78" s="234" t="s">
        <v>2590</v>
      </c>
      <c r="CU78" s="234" t="s">
        <v>2589</v>
      </c>
      <c r="CV78" s="234" t="s">
        <v>2591</v>
      </c>
      <c r="CW78" s="234" t="s">
        <v>2592</v>
      </c>
      <c r="CX78" s="234" t="str">
        <f>RIGHT(Таблица1[[#This Row],[ПДАсИ 1]],1)</f>
        <v>3</v>
      </c>
      <c r="CY78" s="212">
        <v>3</v>
      </c>
      <c r="CZ78" s="212">
        <f>IF(Таблица1[[#This Row],[ПДАсИ Итог Копия]]=Таблица1[[#This Row],[Train]],1,0)</f>
        <v>0</v>
      </c>
      <c r="DA78" s="212">
        <f>IF(Таблица1[[#This Row],[ПДАсИ Итог Копия]]=Таблица1[[#This Row],[К-средних]],1,0)</f>
        <v>1</v>
      </c>
      <c r="DB78" s="237">
        <v>23.10914593146342</v>
      </c>
      <c r="DC78" s="237">
        <v>12.667639022568641</v>
      </c>
      <c r="DD78" s="237">
        <v>12.396561812531766</v>
      </c>
      <c r="DE78" s="237">
        <v>51.89718184590668</v>
      </c>
      <c r="DF78" s="237">
        <v>35.545043628966745</v>
      </c>
      <c r="DG78" s="237">
        <v>502.42375870337622</v>
      </c>
      <c r="DH78" s="237">
        <v>399.5891394480617</v>
      </c>
      <c r="DI78" s="224">
        <f>MATCH(MIN(Таблица1[[#This Row],[ПДАсИ Мах 1]:[ПДАсИ Мах 7]]),Таблица1[[#This Row],[ПДАсИ Мах 1]:[ПДАсИ Мах 7]],0)</f>
        <v>3</v>
      </c>
      <c r="DJ78" s="212">
        <f>IF(Таблица1[[#This Row],[ПДАсИ Мах Итог]]=Таблица1[[#This Row],[Train]],1,0)</f>
        <v>0</v>
      </c>
      <c r="DK78" s="212">
        <f>IF(Таблица1[[#This Row],[ПДАсИ Мах Итог]]=Таблица1[[#This Row],[К-средних]],1,0)</f>
        <v>1</v>
      </c>
      <c r="DL78" s="238">
        <v>1.6639078373232017E-3</v>
      </c>
      <c r="DM78" s="238">
        <v>0.41059383158423923</v>
      </c>
      <c r="DN78" s="238">
        <v>0.58774115469515964</v>
      </c>
      <c r="DO78" s="238">
        <v>3.1100361804531199E-10</v>
      </c>
      <c r="DP78" s="238">
        <v>1.1055722743012376E-6</v>
      </c>
      <c r="DQ78" s="238">
        <v>0</v>
      </c>
      <c r="DR78" s="238">
        <v>0</v>
      </c>
      <c r="DS78" s="224">
        <f>MATCH(MAX(Таблица1[[#This Row],[ПДАсИ Ап 1]:[ПДАсИ Ап 7]]),Таблица1[[#This Row],[ПДАсИ Ап 1]:[ПДАсИ Ап 7]],0)</f>
        <v>3</v>
      </c>
      <c r="DT78" s="212">
        <f>IF(Таблица1[[#This Row],[ПДАсИ Ап Итог]]=Таблица1[[#This Row],[Train]],1,0)</f>
        <v>0</v>
      </c>
      <c r="DU78" s="212">
        <f>IF(Таблица1[[#This Row],[ПДАсИ Ап Итог]]=Таблица1[[#This Row],[К-средних]],1,0)</f>
        <v>1</v>
      </c>
    </row>
    <row r="79" spans="1:125" ht="13.8">
      <c r="A79" s="205" t="s">
        <v>349</v>
      </c>
      <c r="B79" s="319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320">
        <v>-0.81230140916676785</v>
      </c>
      <c r="K79" s="324">
        <v>-0.65843908115097327</v>
      </c>
      <c r="L79" s="325">
        <v>-0.75454987332689494</v>
      </c>
      <c r="M79" s="328">
        <v>-0.5306919889664059</v>
      </c>
      <c r="N79" s="310">
        <v>0.63205994161925294</v>
      </c>
      <c r="O79" s="329">
        <v>0.92987964080147179</v>
      </c>
      <c r="P79" s="206">
        <v>5</v>
      </c>
      <c r="Q79" s="207">
        <v>3</v>
      </c>
      <c r="R79" s="206">
        <v>5</v>
      </c>
      <c r="S79" s="208">
        <v>3</v>
      </c>
      <c r="T79" s="271">
        <v>4</v>
      </c>
      <c r="U79" s="271">
        <v>6</v>
      </c>
      <c r="V79" s="272">
        <v>1</v>
      </c>
      <c r="W79" s="272">
        <v>1</v>
      </c>
      <c r="X79" s="312">
        <v>6</v>
      </c>
      <c r="Y79" s="313">
        <v>1</v>
      </c>
      <c r="Z79" s="271">
        <v>3</v>
      </c>
      <c r="AA79" s="314">
        <v>2</v>
      </c>
      <c r="AB79" s="343">
        <v>3</v>
      </c>
      <c r="AC79" s="343">
        <f>IF(Таблица1[[#This Row],[Train]]=Таблица1[[#This Row],[НС]],1,0)</f>
        <v>0</v>
      </c>
      <c r="AD79" s="343">
        <f>IF(Таблица1[[#This Row],[НС]]=Таблица1[[#This Row],[К-средних]],1,0)</f>
        <v>1</v>
      </c>
      <c r="AE79" s="208"/>
      <c r="AF79" s="209">
        <f>SUMXMY2(Таблица1[[#This Row],[X1]:[X9]],Таблица1[[#Totals],[X1]:[X9]])</f>
        <v>6.7575176360860167</v>
      </c>
      <c r="AG79" s="239" t="s">
        <v>2586</v>
      </c>
      <c r="AH79" s="239" t="s">
        <v>2589</v>
      </c>
      <c r="AI79" s="239" t="s">
        <v>2587</v>
      </c>
      <c r="AJ79" s="239" t="s">
        <v>2588</v>
      </c>
      <c r="AK79" s="239" t="s">
        <v>2590</v>
      </c>
      <c r="AL79" s="239" t="s">
        <v>2591</v>
      </c>
      <c r="AM79" s="239" t="s">
        <v>2592</v>
      </c>
      <c r="AN79" s="239" t="str">
        <f>RIGHT(Таблица1[[#This Row],[ДА1]],1)</f>
        <v>3</v>
      </c>
      <c r="AO79" s="214">
        <v>3</v>
      </c>
      <c r="AP79" s="213">
        <f>IF(Таблица1[[#This Row],[ДА Итог Копия]]=Таблица1[[#This Row],[Train]],1,0)</f>
        <v>0</v>
      </c>
      <c r="AQ79" s="213">
        <f>IF(Таблица1[[#This Row],[ДА Итог Копия]]=Таблица1[[#This Row],[К-средних]],1,0)</f>
        <v>1</v>
      </c>
      <c r="AR79" s="216">
        <v>80.18889820006018</v>
      </c>
      <c r="AS79" s="216">
        <v>61.514348276668258</v>
      </c>
      <c r="AT79" s="216">
        <v>42.181941356019635</v>
      </c>
      <c r="AU79" s="216">
        <v>48.052263847188577</v>
      </c>
      <c r="AV79" s="216">
        <v>90.220456312685627</v>
      </c>
      <c r="AW79" s="216">
        <v>622.82216689552047</v>
      </c>
      <c r="AX79" s="217">
        <v>414.27658865358728</v>
      </c>
      <c r="AY79" s="218">
        <f>MATCH(MIN(Таблица1[[#This Row],[1 ДА Мах]:[7_ДА_Мах]]),Таблица1[[#This Row],[1 ДА Мах]:[7_ДА_Мах]],0)</f>
        <v>3</v>
      </c>
      <c r="AZ79" s="219">
        <f>IF(Таблица1[[#This Row],[ДА_Мах_Итог]]=Таблица1[[#This Row],[Train]],1,0)</f>
        <v>0</v>
      </c>
      <c r="BA79" s="219">
        <f>IF(Таблица1[[#This Row],[ДА_Мах_Итог]]=Таблица1[[#This Row],[К-средних]],1,0)</f>
        <v>1</v>
      </c>
      <c r="BB79" s="220">
        <v>3.3146207811042758E-9</v>
      </c>
      <c r="BC79" s="220">
        <v>5.0176409071119232E-5</v>
      </c>
      <c r="BD79" s="220">
        <v>0.9894376090774667</v>
      </c>
      <c r="BE79" s="220">
        <v>1.0512211191513366E-2</v>
      </c>
      <c r="BF79" s="220">
        <v>7.3280331877325069E-12</v>
      </c>
      <c r="BG79" s="220">
        <v>0</v>
      </c>
      <c r="BH79" s="220">
        <v>0</v>
      </c>
      <c r="BI79" s="218">
        <f>MATCH(MAX(Таблица1[[#This Row],[1_ДА_Ап]:[7_ДА_Ап]]),Таблица1[[#This Row],[1_ДА_Ап]:[7_ДА_Ап]],0)</f>
        <v>3</v>
      </c>
      <c r="BJ79" s="219">
        <f>IF(Таблица1[[#This Row],[ДА_Ап_Итог]]=Таблица1[[#This Row],[Train]],1,0)</f>
        <v>0</v>
      </c>
      <c r="BK79" s="219">
        <f>IF(Таблица1[[#This Row],[ДА_Ап_Итог]]=Таблица1[[#This Row],[К-средних]],1,0)</f>
        <v>1</v>
      </c>
      <c r="BL79" s="234" t="s">
        <v>2590</v>
      </c>
      <c r="BM79" s="234" t="s">
        <v>2586</v>
      </c>
      <c r="BN79" s="234" t="s">
        <v>2587</v>
      </c>
      <c r="BO79" s="234" t="s">
        <v>2589</v>
      </c>
      <c r="BP79" s="234" t="s">
        <v>2588</v>
      </c>
      <c r="BQ79" s="234" t="s">
        <v>2591</v>
      </c>
      <c r="BR79" s="234" t="s">
        <v>2592</v>
      </c>
      <c r="BS79" s="234" t="str">
        <f>RIGHT(Таблица1[[#This Row],[ПДАсВ 1]],1)</f>
        <v>5</v>
      </c>
      <c r="BT79" s="227">
        <v>5</v>
      </c>
      <c r="BU79" s="212">
        <f>IF(Таблица1[[#This Row],[ПДАсВ Итог Копия]]=Таблица1[[#This Row],[Train]],1,0)</f>
        <v>0</v>
      </c>
      <c r="BV79" s="212">
        <f>IF(Таблица1[[#This Row],[ПДАсВ Итог Копия]]=Таблица1[[#This Row],[К-средних]],1,0)</f>
        <v>0</v>
      </c>
      <c r="BW79" s="235">
        <v>51.397806678726099</v>
      </c>
      <c r="BX79" s="235">
        <v>31.455503819049184</v>
      </c>
      <c r="BY79" s="235">
        <v>30.384870822618282</v>
      </c>
      <c r="BZ79" s="235">
        <v>44.830840242578411</v>
      </c>
      <c r="CA79" s="235">
        <v>9.475948466194442</v>
      </c>
      <c r="CB79" s="235">
        <v>575.72666551696432</v>
      </c>
      <c r="CC79" s="235">
        <v>350.11956260253208</v>
      </c>
      <c r="CD79" s="218">
        <f>MATCH(MIN(Таблица1[[#This Row],[1 ДА Мах]:[7_ДА_Мах]]),Таблица1[[#This Row],[1 ДА Мах]:[7_ДА_Мах]],0)</f>
        <v>3</v>
      </c>
      <c r="CE79" s="219">
        <f>IF(Таблица1[[#This Row],[ДА_Мах_Итог]]=Таблица1[[#This Row],[Train]],1,0)</f>
        <v>0</v>
      </c>
      <c r="CF79" s="219">
        <f>IF(Таблица1[[#This Row],[ДА_Мах_Итог]]=Таблица1[[#This Row],[К-средних]],1,0)</f>
        <v>1</v>
      </c>
      <c r="CG79" s="236">
        <v>2.364903997339917E-9</v>
      </c>
      <c r="CH79" s="236">
        <v>6.747894689235159E-5</v>
      </c>
      <c r="CI79" s="236">
        <v>1.4406660118292401E-4</v>
      </c>
      <c r="CJ79" s="236">
        <v>2.1022816700248355E-8</v>
      </c>
      <c r="CK79" s="236">
        <v>0.99978843106420401</v>
      </c>
      <c r="CL79" s="236">
        <v>0</v>
      </c>
      <c r="CM79" s="236">
        <v>0</v>
      </c>
      <c r="CN79" s="218">
        <f>MATCH(MAX(Таблица1[[#This Row],[1_ДА_Ап]:[7_ДА_Ап]]),Таблица1[[#This Row],[1_ДА_Ап]:[7_ДА_Ап]],0)</f>
        <v>3</v>
      </c>
      <c r="CO79" s="219">
        <f>IF(Таблица1[[#This Row],[ПДАсВ Итог Копия]]=Таблица1[[#This Row],[Train]],1,0)</f>
        <v>0</v>
      </c>
      <c r="CP79" s="219">
        <f>IF(Таблица1[[#This Row],[ПДАсВ Итог Копия]]=Таблица1[[#This Row],[К-средних]],1,0)</f>
        <v>0</v>
      </c>
      <c r="CQ79" s="234" t="s">
        <v>2586</v>
      </c>
      <c r="CR79" s="234" t="s">
        <v>2587</v>
      </c>
      <c r="CS79" s="234" t="s">
        <v>2589</v>
      </c>
      <c r="CT79" s="234" t="s">
        <v>2588</v>
      </c>
      <c r="CU79" s="234" t="s">
        <v>2590</v>
      </c>
      <c r="CV79" s="234" t="s">
        <v>2591</v>
      </c>
      <c r="CW79" s="234" t="s">
        <v>2592</v>
      </c>
      <c r="CX79" s="234" t="str">
        <f>RIGHT(Таблица1[[#This Row],[ПДАсИ 1]],1)</f>
        <v>3</v>
      </c>
      <c r="CY79" s="212">
        <v>3</v>
      </c>
      <c r="CZ79" s="212">
        <f>IF(Таблица1[[#This Row],[ПДАсИ Итог Копия]]=Таблица1[[#This Row],[Train]],1,0)</f>
        <v>0</v>
      </c>
      <c r="DA79" s="212">
        <f>IF(Таблица1[[#This Row],[ПДАсИ Итог Копия]]=Таблица1[[#This Row],[К-средних]],1,0)</f>
        <v>1</v>
      </c>
      <c r="DB79" s="237">
        <v>47.182263803099524</v>
      </c>
      <c r="DC79" s="237">
        <v>30.12136021756011</v>
      </c>
      <c r="DD79" s="237">
        <v>18.779128291589785</v>
      </c>
      <c r="DE79" s="237">
        <v>44.981653451013294</v>
      </c>
      <c r="DF79" s="237">
        <v>51.455790888455276</v>
      </c>
      <c r="DG79" s="237">
        <v>507.83891478639777</v>
      </c>
      <c r="DH79" s="237">
        <v>400.47460185794824</v>
      </c>
      <c r="DI79" s="224">
        <f>MATCH(MIN(Таблица1[[#This Row],[ПДАсИ Мах 1]:[ПДАсИ Мах 7]]),Таблица1[[#This Row],[ПДАсИ Мах 1]:[ПДАсИ Мах 7]],0)</f>
        <v>3</v>
      </c>
      <c r="DJ79" s="212">
        <f>IF(Таблица1[[#This Row],[ПДАсИ Мах Итог]]=Таблица1[[#This Row],[Train]],1,0)</f>
        <v>0</v>
      </c>
      <c r="DK79" s="212">
        <f>IF(Таблица1[[#This Row],[ПДАсИ Мах Итог]]=Таблица1[[#This Row],[К-средних]],1,0)</f>
        <v>1</v>
      </c>
      <c r="DL79" s="238">
        <v>4.0671805269446358E-7</v>
      </c>
      <c r="DM79" s="238">
        <v>2.7476431488166067E-3</v>
      </c>
      <c r="DN79" s="238">
        <v>0.99725152672347661</v>
      </c>
      <c r="DO79" s="238">
        <v>4.0740716368012542E-7</v>
      </c>
      <c r="DP79" s="238">
        <v>1.6002490539025467E-8</v>
      </c>
      <c r="DQ79" s="238">
        <v>0</v>
      </c>
      <c r="DR79" s="238">
        <v>0</v>
      </c>
      <c r="DS79" s="224">
        <f>MATCH(MAX(Таблица1[[#This Row],[ПДАсИ Ап 1]:[ПДАсИ Ап 7]]),Таблица1[[#This Row],[ПДАсИ Ап 1]:[ПДАсИ Ап 7]],0)</f>
        <v>3</v>
      </c>
      <c r="DT79" s="212">
        <f>IF(Таблица1[[#This Row],[ПДАсИ Ап Итог]]=Таблица1[[#This Row],[Train]],1,0)</f>
        <v>0</v>
      </c>
      <c r="DU79" s="212">
        <f>IF(Таблица1[[#This Row],[ПДАсИ Ап Итог]]=Таблица1[[#This Row],[К-средних]],1,0)</f>
        <v>1</v>
      </c>
    </row>
    <row r="80" spans="1:125" ht="13.8">
      <c r="A80" s="205" t="s">
        <v>350</v>
      </c>
      <c r="B80" s="319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320">
        <v>0.24288443851460109</v>
      </c>
      <c r="K80" s="324">
        <v>0.22345815276371622</v>
      </c>
      <c r="L80" s="325">
        <v>0.17463465513735948</v>
      </c>
      <c r="M80" s="328">
        <v>0.33860435950980483</v>
      </c>
      <c r="N80" s="310">
        <v>-0.16483763359536216</v>
      </c>
      <c r="O80" s="329">
        <v>0.56227147623451701</v>
      </c>
      <c r="P80" s="206">
        <v>5</v>
      </c>
      <c r="Q80" s="207">
        <v>5</v>
      </c>
      <c r="R80" s="206">
        <v>5</v>
      </c>
      <c r="S80" s="208">
        <v>3</v>
      </c>
      <c r="T80" s="271">
        <v>6</v>
      </c>
      <c r="U80" s="271">
        <v>6</v>
      </c>
      <c r="V80" s="272">
        <v>2</v>
      </c>
      <c r="W80" s="272">
        <v>1</v>
      </c>
      <c r="X80" s="312">
        <v>3</v>
      </c>
      <c r="Y80" s="313">
        <v>3</v>
      </c>
      <c r="Z80" s="271">
        <v>4</v>
      </c>
      <c r="AA80" s="314">
        <v>1</v>
      </c>
      <c r="AB80" s="314">
        <v>3</v>
      </c>
      <c r="AC80" s="314">
        <f>IF(Таблица1[[#This Row],[Train]]=Таблица1[[#This Row],[НС]],1,0)</f>
        <v>1</v>
      </c>
      <c r="AD80" s="314">
        <f>IF(Таблица1[[#This Row],[НС]]=Таблица1[[#This Row],[К-средних]],1,0)</f>
        <v>1</v>
      </c>
      <c r="AE80" s="208">
        <v>3</v>
      </c>
      <c r="AF80" s="209">
        <f>SUMXMY2(Таблица1[[#This Row],[X1]:[X9]],Таблица1[[#Totals],[X1]:[X9]])</f>
        <v>1.8396181908243614</v>
      </c>
      <c r="AG80" s="239" t="s">
        <v>2586</v>
      </c>
      <c r="AH80" s="239" t="s">
        <v>2588</v>
      </c>
      <c r="AI80" s="239" t="s">
        <v>2587</v>
      </c>
      <c r="AJ80" s="239" t="s">
        <v>2589</v>
      </c>
      <c r="AK80" s="239" t="s">
        <v>2590</v>
      </c>
      <c r="AL80" s="239" t="s">
        <v>2591</v>
      </c>
      <c r="AM80" s="239" t="s">
        <v>2592</v>
      </c>
      <c r="AN80" s="239" t="str">
        <f>RIGHT(Таблица1[[#This Row],[ДА1]],1)</f>
        <v>3</v>
      </c>
      <c r="AO80" s="214">
        <v>3</v>
      </c>
      <c r="AP80" s="213">
        <f>IF(Таблица1[[#This Row],[ДА Итог Копия]]=Таблица1[[#This Row],[Train]],1,0)</f>
        <v>1</v>
      </c>
      <c r="AQ80" s="213">
        <f>IF(Таблица1[[#This Row],[ДА Итог Копия]]=Таблица1[[#This Row],[К-средних]],1,0)</f>
        <v>1</v>
      </c>
      <c r="AR80" s="216">
        <v>19.067660407094834</v>
      </c>
      <c r="AS80" s="216">
        <v>25.902783653479883</v>
      </c>
      <c r="AT80" s="216">
        <v>5.7398901552149386</v>
      </c>
      <c r="AU80" s="216">
        <v>89.594105073443515</v>
      </c>
      <c r="AV80" s="216">
        <v>105.98273322550111</v>
      </c>
      <c r="AW80" s="216">
        <v>694.23207996532096</v>
      </c>
      <c r="AX80" s="217">
        <v>389.46552103702658</v>
      </c>
      <c r="AY80" s="218">
        <f>MATCH(MIN(Таблица1[[#This Row],[1 ДА Мах]:[7_ДА_Мах]]),Таблица1[[#This Row],[1 ДА Мах]:[7_ДА_Мах]],0)</f>
        <v>3</v>
      </c>
      <c r="AZ80" s="219">
        <f>IF(Таблица1[[#This Row],[ДА_Мах_Итог]]=Таблица1[[#This Row],[Train]],1,0)</f>
        <v>1</v>
      </c>
      <c r="BA80" s="219">
        <f>IF(Таблица1[[#This Row],[ДА_Мах_Итог]]=Таблица1[[#This Row],[К-средних]],1,0)</f>
        <v>1</v>
      </c>
      <c r="BB80" s="220">
        <v>7.6509571313355517E-4</v>
      </c>
      <c r="BC80" s="220">
        <v>3.3452328331235746E-5</v>
      </c>
      <c r="BD80" s="220">
        <v>0.99920145195853527</v>
      </c>
      <c r="BE80" s="220">
        <v>1.235866728381221E-19</v>
      </c>
      <c r="BF80" s="220">
        <v>3.4137070908976801E-23</v>
      </c>
      <c r="BG80" s="220">
        <v>0</v>
      </c>
      <c r="BH80" s="220">
        <v>0</v>
      </c>
      <c r="BI80" s="218">
        <f>MATCH(MAX(Таблица1[[#This Row],[1_ДА_Ап]:[7_ДА_Ап]]),Таблица1[[#This Row],[1_ДА_Ап]:[7_ДА_Ап]],0)</f>
        <v>3</v>
      </c>
      <c r="BJ80" s="219">
        <f>IF(Таблица1[[#This Row],[ДА_Ап_Итог]]=Таблица1[[#This Row],[Train]],1,0)</f>
        <v>1</v>
      </c>
      <c r="BK80" s="219">
        <f>IF(Таблица1[[#This Row],[ДА_Ап_Итог]]=Таблица1[[#This Row],[К-средних]],1,0)</f>
        <v>1</v>
      </c>
      <c r="BL80" s="234" t="s">
        <v>2586</v>
      </c>
      <c r="BM80" s="234" t="s">
        <v>2588</v>
      </c>
      <c r="BN80" s="234" t="s">
        <v>2587</v>
      </c>
      <c r="BO80" s="234" t="s">
        <v>2590</v>
      </c>
      <c r="BP80" s="234" t="s">
        <v>2589</v>
      </c>
      <c r="BQ80" s="234" t="s">
        <v>2591</v>
      </c>
      <c r="BR80" s="234" t="s">
        <v>2592</v>
      </c>
      <c r="BS80" s="234" t="str">
        <f>RIGHT(Таблица1[[#This Row],[ПДАсВ 1]],1)</f>
        <v>3</v>
      </c>
      <c r="BT80" s="227">
        <v>3</v>
      </c>
      <c r="BU80" s="212">
        <f>IF(Таблица1[[#This Row],[ПДАсВ Итог Копия]]=Таблица1[[#This Row],[Train]],1,0)</f>
        <v>1</v>
      </c>
      <c r="BV80" s="212">
        <f>IF(Таблица1[[#This Row],[ПДАсВ Итог Копия]]=Таблица1[[#This Row],[К-средних]],1,0)</f>
        <v>1</v>
      </c>
      <c r="BW80" s="235">
        <v>13.813502343647963</v>
      </c>
      <c r="BX80" s="235">
        <v>22.957967314796772</v>
      </c>
      <c r="BY80" s="235">
        <v>3.7687384247649254</v>
      </c>
      <c r="BZ80" s="235">
        <v>78.816937141566072</v>
      </c>
      <c r="CA80" s="235">
        <v>61.859287793668905</v>
      </c>
      <c r="CB80" s="235">
        <v>668.36425030749251</v>
      </c>
      <c r="CC80" s="235">
        <v>314.28717984933917</v>
      </c>
      <c r="CD80" s="218">
        <f>MATCH(MIN(Таблица1[[#This Row],[1 ДА Мах]:[7_ДА_Мах]]),Таблица1[[#This Row],[1 ДА Мах]:[7_ДА_Мах]],0)</f>
        <v>3</v>
      </c>
      <c r="CE80" s="219">
        <f>IF(Таблица1[[#This Row],[ДА_Мах_Итог]]=Таблица1[[#This Row],[Train]],1,0)</f>
        <v>1</v>
      </c>
      <c r="CF80" s="219">
        <f>IF(Таблица1[[#This Row],[ДА_Мах_Итог]]=Таблица1[[#This Row],[К-средних]],1,0)</f>
        <v>1</v>
      </c>
      <c r="CG80" s="236">
        <v>3.9375076289268644E-3</v>
      </c>
      <c r="CH80" s="236">
        <v>5.4258128077691669E-5</v>
      </c>
      <c r="CI80" s="236">
        <v>0.99600823424294693</v>
      </c>
      <c r="CJ80" s="236">
        <v>1.0064301411053646E-17</v>
      </c>
      <c r="CK80" s="236">
        <v>4.842731644648973E-14</v>
      </c>
      <c r="CL80" s="236">
        <v>0</v>
      </c>
      <c r="CM80" s="236">
        <v>0</v>
      </c>
      <c r="CN80" s="218">
        <f>MATCH(MAX(Таблица1[[#This Row],[1_ДА_Ап]:[7_ДА_Ап]]),Таблица1[[#This Row],[1_ДА_Ап]:[7_ДА_Ап]],0)</f>
        <v>3</v>
      </c>
      <c r="CO80" s="219">
        <f>IF(Таблица1[[#This Row],[ПДАсВ Итог Копия]]=Таблица1[[#This Row],[Train]],1,0)</f>
        <v>1</v>
      </c>
      <c r="CP80" s="219">
        <f>IF(Таблица1[[#This Row],[ПДАсВ Итог Копия]]=Таблица1[[#This Row],[К-средних]],1,0)</f>
        <v>1</v>
      </c>
      <c r="CQ80" s="234" t="s">
        <v>2586</v>
      </c>
      <c r="CR80" s="234" t="s">
        <v>2588</v>
      </c>
      <c r="CS80" s="234" t="s">
        <v>2587</v>
      </c>
      <c r="CT80" s="234" t="s">
        <v>2589</v>
      </c>
      <c r="CU80" s="234" t="s">
        <v>2590</v>
      </c>
      <c r="CV80" s="234" t="s">
        <v>2591</v>
      </c>
      <c r="CW80" s="234" t="s">
        <v>2592</v>
      </c>
      <c r="CX80" s="234" t="str">
        <f>RIGHT(Таблица1[[#This Row],[ПДАсИ 1]],1)</f>
        <v>3</v>
      </c>
      <c r="CY80" s="212">
        <v>3</v>
      </c>
      <c r="CZ80" s="212">
        <f>IF(Таблица1[[#This Row],[ПДАсИ Итог Копия]]=Таблица1[[#This Row],[Train]],1,0)</f>
        <v>1</v>
      </c>
      <c r="DA80" s="212">
        <f>IF(Таблица1[[#This Row],[ПДАсИ Итог Копия]]=Таблица1[[#This Row],[К-средних]],1,0)</f>
        <v>1</v>
      </c>
      <c r="DB80" s="237">
        <v>14.876741969400872</v>
      </c>
      <c r="DC80" s="237">
        <v>18.271989444129009</v>
      </c>
      <c r="DD80" s="237">
        <v>2.3868582545275911</v>
      </c>
      <c r="DE80" s="237">
        <v>48.504111564553838</v>
      </c>
      <c r="DF80" s="237">
        <v>74.09108773684612</v>
      </c>
      <c r="DG80" s="237">
        <v>470.56833397920457</v>
      </c>
      <c r="DH80" s="237">
        <v>353.70155220987226</v>
      </c>
      <c r="DI80" s="224">
        <f>MATCH(MIN(Таблица1[[#This Row],[ПДАсИ Мах 1]:[ПДАсИ Мах 7]]),Таблица1[[#This Row],[ПДАсИ Мах 1]:[ПДАсИ Мах 7]],0)</f>
        <v>3</v>
      </c>
      <c r="DJ80" s="212">
        <f>IF(Таблица1[[#This Row],[ПДАсИ Мах Итог]]=Таблица1[[#This Row],[Train]],1,0)</f>
        <v>1</v>
      </c>
      <c r="DK80" s="212">
        <f>IF(Таблица1[[#This Row],[ПДАсИ Мах Итог]]=Таблица1[[#This Row],[К-средних]],1,0)</f>
        <v>1</v>
      </c>
      <c r="DL80" s="238">
        <v>1.1624623427328414E-3</v>
      </c>
      <c r="DM80" s="238">
        <v>2.838239293079284E-4</v>
      </c>
      <c r="DN80" s="238">
        <v>0.99855371370863211</v>
      </c>
      <c r="DO80" s="238">
        <v>1.9327118538751005E-11</v>
      </c>
      <c r="DP80" s="238">
        <v>5.370637379558182E-17</v>
      </c>
      <c r="DQ80" s="238">
        <v>0</v>
      </c>
      <c r="DR80" s="238">
        <v>0</v>
      </c>
      <c r="DS80" s="224">
        <f>MATCH(MAX(Таблица1[[#This Row],[ПДАсИ Ап 1]:[ПДАсИ Ап 7]]),Таблица1[[#This Row],[ПДАсИ Ап 1]:[ПДАсИ Ап 7]],0)</f>
        <v>3</v>
      </c>
      <c r="DT80" s="212">
        <f>IF(Таблица1[[#This Row],[ПДАсИ Ап Итог]]=Таблица1[[#This Row],[Train]],1,0)</f>
        <v>1</v>
      </c>
      <c r="DU80" s="212">
        <f>IF(Таблица1[[#This Row],[ПДАсИ Ап Итог]]=Таблица1[[#This Row],[К-средних]],1,0)</f>
        <v>1</v>
      </c>
    </row>
    <row r="81" spans="1:125" ht="13.8">
      <c r="A81" s="205" t="s">
        <v>351</v>
      </c>
      <c r="B81" s="319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320">
        <v>-2.7335935595692606</v>
      </c>
      <c r="K81" s="324">
        <v>2.8077601812150634</v>
      </c>
      <c r="L81" s="325">
        <v>-0.78229151501002225</v>
      </c>
      <c r="M81" s="328">
        <v>2.2638647765951538</v>
      </c>
      <c r="N81" s="310">
        <v>0.92348872832621676</v>
      </c>
      <c r="O81" s="329">
        <v>0.88738115096197223</v>
      </c>
      <c r="P81" s="206">
        <v>2</v>
      </c>
      <c r="Q81" s="207">
        <v>2</v>
      </c>
      <c r="R81" s="206">
        <v>1</v>
      </c>
      <c r="S81" s="208">
        <v>7</v>
      </c>
      <c r="T81" s="271">
        <v>1</v>
      </c>
      <c r="U81" s="271">
        <v>3</v>
      </c>
      <c r="V81" s="272">
        <v>7</v>
      </c>
      <c r="W81" s="272">
        <v>7</v>
      </c>
      <c r="X81" s="312">
        <v>1</v>
      </c>
      <c r="Y81" s="313">
        <v>3</v>
      </c>
      <c r="Z81" s="271">
        <v>2</v>
      </c>
      <c r="AA81" s="314">
        <v>5</v>
      </c>
      <c r="AB81" s="314">
        <v>7</v>
      </c>
      <c r="AC81" s="314">
        <f>IF(Таблица1[[#This Row],[Train]]=Таблица1[[#This Row],[НС]],1,0)</f>
        <v>1</v>
      </c>
      <c r="AD81" s="314">
        <f>IF(Таблица1[[#This Row],[НС]]=Таблица1[[#This Row],[К-средних]],1,0)</f>
        <v>1</v>
      </c>
      <c r="AE81" s="208">
        <v>7</v>
      </c>
      <c r="AF81" s="209">
        <f>SUMXMY2(Таблица1[[#This Row],[X1]:[X9]],Таблица1[[#Totals],[X1]:[X9]])</f>
        <v>34.405039361778599</v>
      </c>
      <c r="AG81" s="239" t="s">
        <v>2592</v>
      </c>
      <c r="AH81" s="239" t="s">
        <v>2588</v>
      </c>
      <c r="AI81" s="239" t="s">
        <v>2587</v>
      </c>
      <c r="AJ81" s="239" t="s">
        <v>2586</v>
      </c>
      <c r="AK81" s="239" t="s">
        <v>2589</v>
      </c>
      <c r="AL81" s="239" t="s">
        <v>2590</v>
      </c>
      <c r="AM81" s="239" t="s">
        <v>2591</v>
      </c>
      <c r="AN81" s="239" t="str">
        <f>RIGHT(Таблица1[[#This Row],[ДА1]],1)</f>
        <v>7</v>
      </c>
      <c r="AO81" s="214">
        <v>7</v>
      </c>
      <c r="AP81" s="213">
        <f>IF(Таблица1[[#This Row],[ДА Итог Копия]]=Таблица1[[#This Row],[Train]],1,0)</f>
        <v>1</v>
      </c>
      <c r="AQ81" s="213">
        <f>IF(Таблица1[[#This Row],[ДА Итог Копия]]=Таблица1[[#This Row],[К-средних]],1,0)</f>
        <v>1</v>
      </c>
      <c r="AR81" s="216">
        <v>361.91404094191461</v>
      </c>
      <c r="AS81" s="216">
        <v>347.84090686111438</v>
      </c>
      <c r="AT81" s="216">
        <v>367.58806938757215</v>
      </c>
      <c r="AU81" s="216">
        <v>300.47023132723353</v>
      </c>
      <c r="AV81" s="216">
        <v>556.01004414256795</v>
      </c>
      <c r="AW81" s="216">
        <v>989.72675530479853</v>
      </c>
      <c r="AX81" s="217">
        <v>6.0316215223247616</v>
      </c>
      <c r="AY81" s="218">
        <f>MATCH(MIN(Таблица1[[#This Row],[1 ДА Мах]:[7_ДА_Мах]]),Таблица1[[#This Row],[1 ДА Мах]:[7_ДА_Мах]],0)</f>
        <v>7</v>
      </c>
      <c r="AZ81" s="219">
        <f>IF(Таблица1[[#This Row],[ДА_Мах_Итог]]=Таблица1[[#This Row],[Train]],1,0)</f>
        <v>1</v>
      </c>
      <c r="BA81" s="219">
        <f>IF(Таблица1[[#This Row],[ДА_Мах_Итог]]=Таблица1[[#This Row],[К-средних]],1,0)</f>
        <v>1</v>
      </c>
      <c r="BB81" s="220">
        <v>0</v>
      </c>
      <c r="BC81" s="220">
        <v>0</v>
      </c>
      <c r="BD81" s="220">
        <v>0</v>
      </c>
      <c r="BE81" s="220">
        <v>0</v>
      </c>
      <c r="BF81" s="220">
        <v>0</v>
      </c>
      <c r="BG81" s="220">
        <v>0</v>
      </c>
      <c r="BH81" s="220">
        <v>1</v>
      </c>
      <c r="BI81" s="218">
        <f>MATCH(MAX(Таблица1[[#This Row],[1_ДА_Ап]:[7_ДА_Ап]]),Таблица1[[#This Row],[1_ДА_Ап]:[7_ДА_Ап]],0)</f>
        <v>7</v>
      </c>
      <c r="BJ81" s="219">
        <f>IF(Таблица1[[#This Row],[ДА_Ап_Итог]]=Таблица1[[#This Row],[Train]],1,0)</f>
        <v>1</v>
      </c>
      <c r="BK81" s="219">
        <f>IF(Таблица1[[#This Row],[ДА_Ап_Итог]]=Таблица1[[#This Row],[К-средних]],1,0)</f>
        <v>1</v>
      </c>
      <c r="BL81" s="234" t="s">
        <v>2592</v>
      </c>
      <c r="BM81" s="234" t="s">
        <v>2588</v>
      </c>
      <c r="BN81" s="234" t="s">
        <v>2587</v>
      </c>
      <c r="BO81" s="234" t="s">
        <v>2586</v>
      </c>
      <c r="BP81" s="234" t="s">
        <v>2589</v>
      </c>
      <c r="BQ81" s="234" t="s">
        <v>2590</v>
      </c>
      <c r="BR81" s="234" t="s">
        <v>2591</v>
      </c>
      <c r="BS81" s="234" t="str">
        <f>RIGHT(Таблица1[[#This Row],[ПДАсВ 1]],1)</f>
        <v>7</v>
      </c>
      <c r="BT81" s="227">
        <v>7</v>
      </c>
      <c r="BU81" s="212">
        <f>IF(Таблица1[[#This Row],[ПДАсВ Итог Копия]]=Таблица1[[#This Row],[Train]],1,0)</f>
        <v>1</v>
      </c>
      <c r="BV81" s="212">
        <f>IF(Таблица1[[#This Row],[ПДАсВ Итог Копия]]=Таблица1[[#This Row],[К-средних]],1,0)</f>
        <v>1</v>
      </c>
      <c r="BW81" s="235">
        <v>245.42307852609517</v>
      </c>
      <c r="BX81" s="235">
        <v>225.05610046699303</v>
      </c>
      <c r="BY81" s="235">
        <v>280.1298966010022</v>
      </c>
      <c r="BZ81" s="235">
        <v>227.28544021708802</v>
      </c>
      <c r="CA81" s="235">
        <v>345.30669652179205</v>
      </c>
      <c r="CB81" s="235">
        <v>792.31904048624097</v>
      </c>
      <c r="CC81" s="235">
        <v>5.1401410086015522</v>
      </c>
      <c r="CD81" s="218">
        <f>MATCH(MIN(Таблица1[[#This Row],[1 ДА Мах]:[7_ДА_Мах]]),Таблица1[[#This Row],[1 ДА Мах]:[7_ДА_Мах]],0)</f>
        <v>7</v>
      </c>
      <c r="CE81" s="219">
        <f>IF(Таблица1[[#This Row],[ДА_Мах_Итог]]=Таблица1[[#This Row],[Train]],1,0)</f>
        <v>1</v>
      </c>
      <c r="CF81" s="219">
        <f>IF(Таблица1[[#This Row],[ДА_Мах_Итог]]=Таблица1[[#This Row],[К-средних]],1,0)</f>
        <v>1</v>
      </c>
      <c r="CG81" s="236">
        <v>0</v>
      </c>
      <c r="CH81" s="236">
        <v>0</v>
      </c>
      <c r="CI81" s="236">
        <v>0</v>
      </c>
      <c r="CJ81" s="236">
        <v>0</v>
      </c>
      <c r="CK81" s="236">
        <v>0</v>
      </c>
      <c r="CL81" s="236">
        <v>0</v>
      </c>
      <c r="CM81" s="236">
        <v>1</v>
      </c>
      <c r="CN81" s="218">
        <f>MATCH(MAX(Таблица1[[#This Row],[1_ДА_Ап]:[7_ДА_Ап]]),Таблица1[[#This Row],[1_ДА_Ап]:[7_ДА_Ап]],0)</f>
        <v>7</v>
      </c>
      <c r="CO81" s="219">
        <f>IF(Таблица1[[#This Row],[ПДАсВ Итог Копия]]=Таблица1[[#This Row],[Train]],1,0)</f>
        <v>1</v>
      </c>
      <c r="CP81" s="219">
        <f>IF(Таблица1[[#This Row],[ПДАсВ Итог Копия]]=Таблица1[[#This Row],[К-средних]],1,0)</f>
        <v>1</v>
      </c>
      <c r="CQ81" s="234" t="s">
        <v>2592</v>
      </c>
      <c r="CR81" s="234" t="s">
        <v>2588</v>
      </c>
      <c r="CS81" s="234" t="s">
        <v>2587</v>
      </c>
      <c r="CT81" s="234" t="s">
        <v>2586</v>
      </c>
      <c r="CU81" s="234" t="s">
        <v>2589</v>
      </c>
      <c r="CV81" s="234" t="s">
        <v>2590</v>
      </c>
      <c r="CW81" s="234" t="s">
        <v>2591</v>
      </c>
      <c r="CX81" s="234" t="str">
        <f>RIGHT(Таблица1[[#This Row],[ПДАсИ 1]],1)</f>
        <v>7</v>
      </c>
      <c r="CY81" s="212">
        <v>7</v>
      </c>
      <c r="CZ81" s="212">
        <f>IF(Таблица1[[#This Row],[ПДАсИ Итог Копия]]=Таблица1[[#This Row],[Train]],1,0)</f>
        <v>1</v>
      </c>
      <c r="DA81" s="212">
        <f>IF(Таблица1[[#This Row],[ПДАсИ Итог Копия]]=Таблица1[[#This Row],[К-средних]],1,0)</f>
        <v>1</v>
      </c>
      <c r="DB81" s="237">
        <v>338.56628087435354</v>
      </c>
      <c r="DC81" s="237">
        <v>311.95746054246666</v>
      </c>
      <c r="DD81" s="237">
        <v>345.75747193966089</v>
      </c>
      <c r="DE81" s="237">
        <v>292.62247818032682</v>
      </c>
      <c r="DF81" s="237">
        <v>539.4240116449115</v>
      </c>
      <c r="DG81" s="237">
        <v>854.07165605564364</v>
      </c>
      <c r="DH81" s="237">
        <v>5.2047368691310147</v>
      </c>
      <c r="DI81" s="224">
        <f>MATCH(MIN(Таблица1[[#This Row],[ПДАсИ Мах 1]:[ПДАсИ Мах 7]]),Таблица1[[#This Row],[ПДАсИ Мах 1]:[ПДАсИ Мах 7]],0)</f>
        <v>7</v>
      </c>
      <c r="DJ81" s="212">
        <f>IF(Таблица1[[#This Row],[ПДАсИ Мах Итог]]=Таблица1[[#This Row],[Train]],1,0)</f>
        <v>1</v>
      </c>
      <c r="DK81" s="212">
        <f>IF(Таблица1[[#This Row],[ПДАсИ Мах Итог]]=Таблица1[[#This Row],[К-средних]],1,0)</f>
        <v>1</v>
      </c>
      <c r="DL81" s="238">
        <v>0</v>
      </c>
      <c r="DM81" s="238">
        <v>0</v>
      </c>
      <c r="DN81" s="238">
        <v>0</v>
      </c>
      <c r="DO81" s="238">
        <v>0</v>
      </c>
      <c r="DP81" s="238">
        <v>0</v>
      </c>
      <c r="DQ81" s="238">
        <v>0</v>
      </c>
      <c r="DR81" s="238">
        <v>1</v>
      </c>
      <c r="DS81" s="224">
        <f>MATCH(MAX(Таблица1[[#This Row],[ПДАсИ Ап 1]:[ПДАсИ Ап 7]]),Таблица1[[#This Row],[ПДАсИ Ап 1]:[ПДАсИ Ап 7]],0)</f>
        <v>7</v>
      </c>
      <c r="DT81" s="212">
        <f>IF(Таблица1[[#This Row],[ПДАсИ Ап Итог]]=Таблица1[[#This Row],[Train]],1,0)</f>
        <v>1</v>
      </c>
      <c r="DU81" s="212">
        <f>IF(Таблица1[[#This Row],[ПДАсИ Ап Итог]]=Таблица1[[#This Row],[К-средних]],1,0)</f>
        <v>1</v>
      </c>
    </row>
    <row r="82" spans="1:125" ht="13.8">
      <c r="A82" s="205" t="s">
        <v>352</v>
      </c>
      <c r="B82" s="319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320">
        <v>-0.76655635796670851</v>
      </c>
      <c r="K82" s="324">
        <v>0.12703220156745973</v>
      </c>
      <c r="L82" s="325">
        <v>-0.39426694099348869</v>
      </c>
      <c r="M82" s="328">
        <v>0.16698553800006868</v>
      </c>
      <c r="N82" s="310">
        <v>0.22629009351320251</v>
      </c>
      <c r="O82" s="329">
        <v>-0.22106088661481935</v>
      </c>
      <c r="P82" s="206">
        <v>5</v>
      </c>
      <c r="Q82" s="207">
        <v>5</v>
      </c>
      <c r="R82" s="206">
        <v>7</v>
      </c>
      <c r="S82" s="208">
        <v>3</v>
      </c>
      <c r="T82" s="271">
        <v>2</v>
      </c>
      <c r="U82" s="271">
        <v>4</v>
      </c>
      <c r="V82" s="272">
        <v>4</v>
      </c>
      <c r="W82" s="272">
        <v>2</v>
      </c>
      <c r="X82" s="312">
        <v>4</v>
      </c>
      <c r="Y82" s="313">
        <v>4</v>
      </c>
      <c r="Z82" s="271">
        <v>5</v>
      </c>
      <c r="AA82" s="314">
        <v>1</v>
      </c>
      <c r="AB82" s="343">
        <v>3</v>
      </c>
      <c r="AC82" s="343">
        <f>IF(Таблица1[[#This Row],[Train]]=Таблица1[[#This Row],[НС]],1,0)</f>
        <v>0</v>
      </c>
      <c r="AD82" s="343">
        <f>IF(Таблица1[[#This Row],[НС]]=Таблица1[[#This Row],[К-средних]],1,0)</f>
        <v>1</v>
      </c>
      <c r="AE82" s="208"/>
      <c r="AF82" s="209">
        <f>SUMXMY2(Таблица1[[#This Row],[X1]:[X9]],Таблица1[[#Totals],[X1]:[X9]])</f>
        <v>1.9756488844786884</v>
      </c>
      <c r="AG82" s="239" t="s">
        <v>2588</v>
      </c>
      <c r="AH82" s="239" t="s">
        <v>2586</v>
      </c>
      <c r="AI82" s="239" t="s">
        <v>2587</v>
      </c>
      <c r="AJ82" s="239" t="s">
        <v>2590</v>
      </c>
      <c r="AK82" s="239" t="s">
        <v>2589</v>
      </c>
      <c r="AL82" s="239" t="s">
        <v>2591</v>
      </c>
      <c r="AM82" s="239" t="s">
        <v>2592</v>
      </c>
      <c r="AN82" s="239" t="str">
        <f>RIGHT(Таблица1[[#This Row],[ДА1]],1)</f>
        <v>1</v>
      </c>
      <c r="AO82" s="214">
        <v>1</v>
      </c>
      <c r="AP82" s="213">
        <f>IF(Таблица1[[#This Row],[ДА Итог Копия]]=Таблица1[[#This Row],[Train]],1,0)</f>
        <v>0</v>
      </c>
      <c r="AQ82" s="213">
        <f>IF(Таблица1[[#This Row],[ДА Итог Копия]]=Таблица1[[#This Row],[К-средних]],1,0)</f>
        <v>0</v>
      </c>
      <c r="AR82" s="216">
        <v>11.323179328546804</v>
      </c>
      <c r="AS82" s="216">
        <v>32.848071975424283</v>
      </c>
      <c r="AT82" s="216">
        <v>20.114760484573129</v>
      </c>
      <c r="AU82" s="216">
        <v>85.940300938934044</v>
      </c>
      <c r="AV82" s="216">
        <v>75.565423223502833</v>
      </c>
      <c r="AW82" s="216">
        <v>551.195133612105</v>
      </c>
      <c r="AX82" s="217">
        <v>372.39517427798762</v>
      </c>
      <c r="AY82" s="218">
        <f>MATCH(MIN(Таблица1[[#This Row],[1 ДА Мах]:[7_ДА_Мах]]),Таблица1[[#This Row],[1 ДА Мах]:[7_ДА_Мах]],0)</f>
        <v>1</v>
      </c>
      <c r="AZ82" s="219">
        <f>IF(Таблица1[[#This Row],[ДА_Мах_Итог]]=Таблица1[[#This Row],[Train]],1,0)</f>
        <v>0</v>
      </c>
      <c r="BA82" s="219">
        <f>IF(Таблица1[[#This Row],[ДА_Мах_Итог]]=Таблица1[[#This Row],[К-средних]],1,0)</f>
        <v>0</v>
      </c>
      <c r="BB82" s="220">
        <v>0.97983807852286264</v>
      </c>
      <c r="BC82" s="220">
        <v>2.7670818109195776E-5</v>
      </c>
      <c r="BD82" s="220">
        <v>2.0134250659024494E-2</v>
      </c>
      <c r="BE82" s="220">
        <v>2.0470618886889214E-17</v>
      </c>
      <c r="BF82" s="220">
        <v>3.6644351807530885E-15</v>
      </c>
      <c r="BG82" s="220">
        <v>0</v>
      </c>
      <c r="BH82" s="220">
        <v>0</v>
      </c>
      <c r="BI82" s="218">
        <f>MATCH(MAX(Таблица1[[#This Row],[1_ДА_Ап]:[7_ДА_Ап]]),Таблица1[[#This Row],[1_ДА_Ап]:[7_ДА_Ап]],0)</f>
        <v>1</v>
      </c>
      <c r="BJ82" s="219">
        <f>IF(Таблица1[[#This Row],[ДА_Ап_Итог]]=Таблица1[[#This Row],[Train]],1,0)</f>
        <v>0</v>
      </c>
      <c r="BK82" s="219">
        <f>IF(Таблица1[[#This Row],[ДА_Ап_Итог]]=Таблица1[[#This Row],[К-средних]],1,0)</f>
        <v>0</v>
      </c>
      <c r="BL82" s="234" t="s">
        <v>2588</v>
      </c>
      <c r="BM82" s="234" t="s">
        <v>2586</v>
      </c>
      <c r="BN82" s="234" t="s">
        <v>2587</v>
      </c>
      <c r="BO82" s="234" t="s">
        <v>2590</v>
      </c>
      <c r="BP82" s="234" t="s">
        <v>2589</v>
      </c>
      <c r="BQ82" s="234" t="s">
        <v>2591</v>
      </c>
      <c r="BR82" s="234" t="s">
        <v>2592</v>
      </c>
      <c r="BS82" s="234" t="str">
        <f>RIGHT(Таблица1[[#This Row],[ПДАсВ 1]],1)</f>
        <v>1</v>
      </c>
      <c r="BT82" s="227">
        <v>1</v>
      </c>
      <c r="BU82" s="212">
        <f>IF(Таблица1[[#This Row],[ПДАсВ Итог Копия]]=Таблица1[[#This Row],[Train]],1,0)</f>
        <v>0</v>
      </c>
      <c r="BV82" s="212">
        <f>IF(Таблица1[[#This Row],[ПДАсВ Итог Копия]]=Таблица1[[#This Row],[К-средних]],1,0)</f>
        <v>0</v>
      </c>
      <c r="BW82" s="235">
        <v>6.5775073944455142</v>
      </c>
      <c r="BX82" s="235">
        <v>15.71952903390657</v>
      </c>
      <c r="BY82" s="235">
        <v>11.033141211617332</v>
      </c>
      <c r="BZ82" s="235">
        <v>70.173332679732425</v>
      </c>
      <c r="CA82" s="235">
        <v>54.228065430811796</v>
      </c>
      <c r="CB82" s="235">
        <v>521.60848766660627</v>
      </c>
      <c r="CC82" s="235">
        <v>284.0987540113918</v>
      </c>
      <c r="CD82" s="218">
        <f>MATCH(MIN(Таблица1[[#This Row],[1 ДА Мах]:[7_ДА_Мах]]),Таблица1[[#This Row],[1 ДА Мах]:[7_ДА_Мах]],0)</f>
        <v>1</v>
      </c>
      <c r="CE82" s="219">
        <f>IF(Таблица1[[#This Row],[ДА_Мах_Итог]]=Таблица1[[#This Row],[Train]],1,0)</f>
        <v>0</v>
      </c>
      <c r="CF82" s="219">
        <f>IF(Таблица1[[#This Row],[ДА_Мах_Итог]]=Таблица1[[#This Row],[К-средних]],1,0)</f>
        <v>0</v>
      </c>
      <c r="CG82" s="236">
        <v>0.83794034454679989</v>
      </c>
      <c r="CH82" s="236">
        <v>1.1560778008786542E-2</v>
      </c>
      <c r="CI82" s="236">
        <v>0.15049887743185175</v>
      </c>
      <c r="CJ82" s="236">
        <v>4.3294611765419167E-15</v>
      </c>
      <c r="CK82" s="236">
        <v>1.2557541986191421E-11</v>
      </c>
      <c r="CL82" s="236">
        <v>0</v>
      </c>
      <c r="CM82" s="236">
        <v>0</v>
      </c>
      <c r="CN82" s="218">
        <f>MATCH(MAX(Таблица1[[#This Row],[1_ДА_Ап]:[7_ДА_Ап]]),Таблица1[[#This Row],[1_ДА_Ап]:[7_ДА_Ап]],0)</f>
        <v>1</v>
      </c>
      <c r="CO82" s="219">
        <f>IF(Таблица1[[#This Row],[ПДАсВ Итог Копия]]=Таблица1[[#This Row],[Train]],1,0)</f>
        <v>0</v>
      </c>
      <c r="CP82" s="219">
        <f>IF(Таблица1[[#This Row],[ПДАсВ Итог Копия]]=Таблица1[[#This Row],[К-средних]],1,0)</f>
        <v>0</v>
      </c>
      <c r="CQ82" s="234" t="s">
        <v>2588</v>
      </c>
      <c r="CR82" s="234" t="s">
        <v>2586</v>
      </c>
      <c r="CS82" s="234" t="s">
        <v>2587</v>
      </c>
      <c r="CT82" s="234" t="s">
        <v>2589</v>
      </c>
      <c r="CU82" s="234" t="s">
        <v>2590</v>
      </c>
      <c r="CV82" s="234" t="s">
        <v>2591</v>
      </c>
      <c r="CW82" s="234" t="s">
        <v>2592</v>
      </c>
      <c r="CX82" s="234" t="str">
        <f>RIGHT(Таблица1[[#This Row],[ПДАсИ 1]],1)</f>
        <v>1</v>
      </c>
      <c r="CY82" s="212">
        <v>1</v>
      </c>
      <c r="CZ82" s="212">
        <f>IF(Таблица1[[#This Row],[ПДАсИ Итог Копия]]=Таблица1[[#This Row],[Train]],1,0)</f>
        <v>0</v>
      </c>
      <c r="DA82" s="212">
        <f>IF(Таблица1[[#This Row],[ПДАсИ Итог Копия]]=Таблица1[[#This Row],[К-средних]],1,0)</f>
        <v>0</v>
      </c>
      <c r="DB82" s="237">
        <v>4.8181649058722584</v>
      </c>
      <c r="DC82" s="237">
        <v>15.486236927085884</v>
      </c>
      <c r="DD82" s="237">
        <v>8.6373970732718668</v>
      </c>
      <c r="DE82" s="237">
        <v>65.844735611622411</v>
      </c>
      <c r="DF82" s="237">
        <v>71.519395524802661</v>
      </c>
      <c r="DG82" s="237">
        <v>393.64525428174454</v>
      </c>
      <c r="DH82" s="237">
        <v>365.13079926501962</v>
      </c>
      <c r="DI82" s="224">
        <f>MATCH(MIN(Таблица1[[#This Row],[ПДАсИ Мах 1]:[ПДАсИ Мах 7]]),Таблица1[[#This Row],[ПДАсИ Мах 1]:[ПДАсИ Мах 7]],0)</f>
        <v>1</v>
      </c>
      <c r="DJ82" s="212">
        <f>IF(Таблица1[[#This Row],[ПДАсИ Мах Итог]]=Таблица1[[#This Row],[Train]],1,0)</f>
        <v>0</v>
      </c>
      <c r="DK82" s="212">
        <f>IF(Таблица1[[#This Row],[ПДАсИ Мах Итог]]=Таблица1[[#This Row],[К-средних]],1,0)</f>
        <v>0</v>
      </c>
      <c r="DL82" s="238">
        <v>0.79787563490950009</v>
      </c>
      <c r="DM82" s="238">
        <v>5.1325304422848439E-3</v>
      </c>
      <c r="DN82" s="238">
        <v>0.19699183464819939</v>
      </c>
      <c r="DO82" s="238">
        <v>1.489575411639611E-14</v>
      </c>
      <c r="DP82" s="238">
        <v>8.7262118298368321E-16</v>
      </c>
      <c r="DQ82" s="238">
        <v>0</v>
      </c>
      <c r="DR82" s="238">
        <v>0</v>
      </c>
      <c r="DS82" s="224">
        <f>MATCH(MAX(Таблица1[[#This Row],[ПДАсИ Ап 1]:[ПДАсИ Ап 7]]),Таблица1[[#This Row],[ПДАсИ Ап 1]:[ПДАсИ Ап 7]],0)</f>
        <v>1</v>
      </c>
      <c r="DT82" s="212">
        <f>IF(Таблица1[[#This Row],[ПДАсИ Ап Итог]]=Таблица1[[#This Row],[Train]],1,0)</f>
        <v>0</v>
      </c>
      <c r="DU82" s="212">
        <f>IF(Таблица1[[#This Row],[ПДАсИ Ап Итог]]=Таблица1[[#This Row],[К-средних]],1,0)</f>
        <v>0</v>
      </c>
    </row>
    <row r="83" spans="1:125" ht="13.8">
      <c r="A83" s="205" t="s">
        <v>353</v>
      </c>
      <c r="B83" s="319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320">
        <v>-2.2395470066086198</v>
      </c>
      <c r="K83" s="324">
        <v>-3.9924950647161506</v>
      </c>
      <c r="L83" s="325">
        <v>-1.8635103694499162</v>
      </c>
      <c r="M83" s="328">
        <v>-3.7109729532442404</v>
      </c>
      <c r="N83" s="310">
        <v>1.1704781850426063</v>
      </c>
      <c r="O83" s="329">
        <v>0.38136225770278087</v>
      </c>
      <c r="P83" s="206">
        <v>6</v>
      </c>
      <c r="Q83" s="207">
        <v>6</v>
      </c>
      <c r="R83" s="206">
        <v>3</v>
      </c>
      <c r="S83" s="208">
        <v>4</v>
      </c>
      <c r="T83" s="271">
        <v>7</v>
      </c>
      <c r="U83" s="271">
        <v>2</v>
      </c>
      <c r="V83" s="272">
        <v>5</v>
      </c>
      <c r="W83" s="272">
        <v>3</v>
      </c>
      <c r="X83" s="312">
        <v>7</v>
      </c>
      <c r="Y83" s="313">
        <v>5</v>
      </c>
      <c r="Z83" s="271">
        <v>7</v>
      </c>
      <c r="AA83" s="314">
        <v>4</v>
      </c>
      <c r="AB83" s="343">
        <v>4</v>
      </c>
      <c r="AC83" s="343">
        <f>IF(Таблица1[[#This Row],[Train]]=Таблица1[[#This Row],[НС]],1,0)</f>
        <v>0</v>
      </c>
      <c r="AD83" s="343">
        <f>IF(Таблица1[[#This Row],[НС]]=Таблица1[[#This Row],[К-средних]],1,0)</f>
        <v>1</v>
      </c>
      <c r="AE83" s="208"/>
      <c r="AF83" s="209">
        <f>SUMXMY2(Таблица1[[#This Row],[X1]:[X9]],Таблица1[[#Totals],[X1]:[X9]])</f>
        <v>47.45369766550143</v>
      </c>
      <c r="AG83" s="239" t="s">
        <v>2590</v>
      </c>
      <c r="AH83" s="239" t="s">
        <v>2589</v>
      </c>
      <c r="AI83" s="239" t="s">
        <v>2588</v>
      </c>
      <c r="AJ83" s="239" t="s">
        <v>2587</v>
      </c>
      <c r="AK83" s="239" t="s">
        <v>2586</v>
      </c>
      <c r="AL83" s="239" t="s">
        <v>2591</v>
      </c>
      <c r="AM83" s="239" t="s">
        <v>2592</v>
      </c>
      <c r="AN83" s="239" t="str">
        <f>RIGHT(Таблица1[[#This Row],[ДА1]],1)</f>
        <v>5</v>
      </c>
      <c r="AO83" s="214">
        <v>5</v>
      </c>
      <c r="AP83" s="213">
        <f>IF(Таблица1[[#This Row],[ДА Итог Копия]]=Таблица1[[#This Row],[Train]],1,0)</f>
        <v>0</v>
      </c>
      <c r="AQ83" s="213">
        <f>IF(Таблица1[[#This Row],[ДА Итог Копия]]=Таблица1[[#This Row],[К-средних]],1,0)</f>
        <v>0</v>
      </c>
      <c r="AR83" s="216">
        <v>529.68293458950518</v>
      </c>
      <c r="AS83" s="216">
        <v>494.16170914647103</v>
      </c>
      <c r="AT83" s="216">
        <v>479.15885525403314</v>
      </c>
      <c r="AU83" s="216">
        <v>331.7871760324204</v>
      </c>
      <c r="AV83" s="216">
        <v>276.59684071495593</v>
      </c>
      <c r="AW83" s="216">
        <v>630.3053973936037</v>
      </c>
      <c r="AX83" s="217">
        <v>977.516974279029</v>
      </c>
      <c r="AY83" s="218">
        <f>MATCH(MIN(Таблица1[[#This Row],[1 ДА Мах]:[7_ДА_Мах]]),Таблица1[[#This Row],[1 ДА Мах]:[7_ДА_Мах]],0)</f>
        <v>5</v>
      </c>
      <c r="AZ83" s="219">
        <f>IF(Таблица1[[#This Row],[ДА_Мах_Итог]]=Таблица1[[#This Row],[Train]],1,0)</f>
        <v>0</v>
      </c>
      <c r="BA83" s="219">
        <f>IF(Таблица1[[#This Row],[ДА_Мах_Итог]]=Таблица1[[#This Row],[К-средних]],1,0)</f>
        <v>0</v>
      </c>
      <c r="BB83" s="220">
        <v>0</v>
      </c>
      <c r="BC83" s="220">
        <v>0</v>
      </c>
      <c r="BD83" s="220">
        <v>0</v>
      </c>
      <c r="BE83" s="220">
        <v>1.0365039431660857E-12</v>
      </c>
      <c r="BF83" s="220">
        <v>0.9999999999989635</v>
      </c>
      <c r="BG83" s="220">
        <v>0</v>
      </c>
      <c r="BH83" s="220">
        <v>0</v>
      </c>
      <c r="BI83" s="218">
        <f>MATCH(MAX(Таблица1[[#This Row],[1_ДА_Ап]:[7_ДА_Ап]]),Таблица1[[#This Row],[1_ДА_Ап]:[7_ДА_Ап]],0)</f>
        <v>5</v>
      </c>
      <c r="BJ83" s="219">
        <f>IF(Таблица1[[#This Row],[ДА_Ап_Итог]]=Таблица1[[#This Row],[Train]],1,0)</f>
        <v>0</v>
      </c>
      <c r="BK83" s="219">
        <f>IF(Таблица1[[#This Row],[ДА_Ап_Итог]]=Таблица1[[#This Row],[К-средних]],1,0)</f>
        <v>0</v>
      </c>
      <c r="BL83" s="234" t="s">
        <v>2590</v>
      </c>
      <c r="BM83" s="234" t="s">
        <v>2589</v>
      </c>
      <c r="BN83" s="234" t="s">
        <v>2588</v>
      </c>
      <c r="BO83" s="234" t="s">
        <v>2587</v>
      </c>
      <c r="BP83" s="234" t="s">
        <v>2586</v>
      </c>
      <c r="BQ83" s="234" t="s">
        <v>2591</v>
      </c>
      <c r="BR83" s="234" t="s">
        <v>2592</v>
      </c>
      <c r="BS83" s="234" t="str">
        <f>RIGHT(Таблица1[[#This Row],[ПДАсВ 1]],1)</f>
        <v>5</v>
      </c>
      <c r="BT83" s="227">
        <v>5</v>
      </c>
      <c r="BU83" s="212">
        <f>IF(Таблица1[[#This Row],[ПДАсВ Итог Копия]]=Таблица1[[#This Row],[Train]],1,0)</f>
        <v>0</v>
      </c>
      <c r="BV83" s="212">
        <f>IF(Таблица1[[#This Row],[ПДАсВ Итог Копия]]=Таблица1[[#This Row],[К-средних]],1,0)</f>
        <v>0</v>
      </c>
      <c r="BW83" s="235">
        <v>429.10113883822635</v>
      </c>
      <c r="BX83" s="235">
        <v>365.64932863479436</v>
      </c>
      <c r="BY83" s="235">
        <v>377.82994696064793</v>
      </c>
      <c r="BZ83" s="235">
        <v>247.38664540919126</v>
      </c>
      <c r="CA83" s="235">
        <v>195.20520150577784</v>
      </c>
      <c r="CB83" s="235">
        <v>554.52656275202446</v>
      </c>
      <c r="CC83" s="235">
        <v>710.99957661413373</v>
      </c>
      <c r="CD83" s="218">
        <f>MATCH(MIN(Таблица1[[#This Row],[1 ДА Мах]:[7_ДА_Мах]]),Таблица1[[#This Row],[1 ДА Мах]:[7_ДА_Мах]],0)</f>
        <v>5</v>
      </c>
      <c r="CE83" s="219">
        <f>IF(Таблица1[[#This Row],[ДА_Мах_Итог]]=Таблица1[[#This Row],[Train]],1,0)</f>
        <v>0</v>
      </c>
      <c r="CF83" s="219">
        <f>IF(Таблица1[[#This Row],[ДА_Мах_Итог]]=Таблица1[[#This Row],[К-средних]],1,0)</f>
        <v>0</v>
      </c>
      <c r="CG83" s="236">
        <v>0</v>
      </c>
      <c r="CH83" s="236">
        <v>0</v>
      </c>
      <c r="CI83" s="236">
        <v>0</v>
      </c>
      <c r="CJ83" s="236">
        <v>4.665985958244399E-12</v>
      </c>
      <c r="CK83" s="236">
        <v>0.99999999999533395</v>
      </c>
      <c r="CL83" s="236">
        <v>0</v>
      </c>
      <c r="CM83" s="236">
        <v>0</v>
      </c>
      <c r="CN83" s="218">
        <f>MATCH(MAX(Таблица1[[#This Row],[1_ДА_Ап]:[7_ДА_Ап]]),Таблица1[[#This Row],[1_ДА_Ап]:[7_ДА_Ап]],0)</f>
        <v>5</v>
      </c>
      <c r="CO83" s="219">
        <f>IF(Таблица1[[#This Row],[ПДАсВ Итог Копия]]=Таблица1[[#This Row],[Train]],1,0)</f>
        <v>0</v>
      </c>
      <c r="CP83" s="219">
        <f>IF(Таблица1[[#This Row],[ПДАсВ Итог Копия]]=Таблица1[[#This Row],[К-средних]],1,0)</f>
        <v>0</v>
      </c>
      <c r="CQ83" s="234" t="s">
        <v>2590</v>
      </c>
      <c r="CR83" s="234" t="s">
        <v>2589</v>
      </c>
      <c r="CS83" s="234" t="s">
        <v>2588</v>
      </c>
      <c r="CT83" s="234" t="s">
        <v>2587</v>
      </c>
      <c r="CU83" s="234" t="s">
        <v>2586</v>
      </c>
      <c r="CV83" s="234" t="s">
        <v>2591</v>
      </c>
      <c r="CW83" s="234" t="s">
        <v>2592</v>
      </c>
      <c r="CX83" s="234" t="str">
        <f>RIGHT(Таблица1[[#This Row],[ПДАсИ 1]],1)</f>
        <v>5</v>
      </c>
      <c r="CY83" s="212">
        <v>5</v>
      </c>
      <c r="CZ83" s="212">
        <f>IF(Таблица1[[#This Row],[ПДАсИ Итог Копия]]=Таблица1[[#This Row],[Train]],1,0)</f>
        <v>0</v>
      </c>
      <c r="DA83" s="212">
        <f>IF(Таблица1[[#This Row],[ПДАсИ Итог Копия]]=Таблица1[[#This Row],[К-средних]],1,0)</f>
        <v>0</v>
      </c>
      <c r="DB83" s="237">
        <v>389.94159315817774</v>
      </c>
      <c r="DC83" s="237">
        <v>348.2234998740829</v>
      </c>
      <c r="DD83" s="237">
        <v>350.81705157045133</v>
      </c>
      <c r="DE83" s="237">
        <v>283.95423258698224</v>
      </c>
      <c r="DF83" s="237">
        <v>168.89278795532175</v>
      </c>
      <c r="DG83" s="237">
        <v>537.35408373129235</v>
      </c>
      <c r="DH83" s="237">
        <v>918.00854160302879</v>
      </c>
      <c r="DI83" s="224">
        <f>MATCH(MIN(Таблица1[[#This Row],[ПДАсИ Мах 1]:[ПДАсИ Мах 7]]),Таблица1[[#This Row],[ПДАсИ Мах 1]:[ПДАсИ Мах 7]],0)</f>
        <v>5</v>
      </c>
      <c r="DJ83" s="212">
        <f>IF(Таблица1[[#This Row],[ПДАсИ Мах Итог]]=Таблица1[[#This Row],[Train]],1,0)</f>
        <v>0</v>
      </c>
      <c r="DK83" s="212">
        <f>IF(Таблица1[[#This Row],[ПДАсИ Мах Итог]]=Таблица1[[#This Row],[К-средних]],1,0)</f>
        <v>0</v>
      </c>
      <c r="DL83" s="238">
        <v>0</v>
      </c>
      <c r="DM83" s="238">
        <v>0</v>
      </c>
      <c r="DN83" s="238">
        <v>0</v>
      </c>
      <c r="DO83" s="238">
        <v>1.0344863351908872E-25</v>
      </c>
      <c r="DP83" s="238">
        <v>1</v>
      </c>
      <c r="DQ83" s="238">
        <v>0</v>
      </c>
      <c r="DR83" s="238">
        <v>0</v>
      </c>
      <c r="DS83" s="224">
        <f>MATCH(MAX(Таблица1[[#This Row],[ПДАсИ Ап 1]:[ПДАсИ Ап 7]]),Таблица1[[#This Row],[ПДАсИ Ап 1]:[ПДАсИ Ап 7]],0)</f>
        <v>5</v>
      </c>
      <c r="DT83" s="212">
        <f>IF(Таблица1[[#This Row],[ПДАсИ Ап Итог]]=Таблица1[[#This Row],[Train]],1,0)</f>
        <v>0</v>
      </c>
      <c r="DU83" s="212">
        <f>IF(Таблица1[[#This Row],[ПДАсИ Ап Итог]]=Таблица1[[#This Row],[К-средних]],1,0)</f>
        <v>0</v>
      </c>
    </row>
    <row r="84" spans="1:125" ht="13.8">
      <c r="A84" s="205" t="s">
        <v>354</v>
      </c>
      <c r="B84" s="319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320">
        <v>-1.4832288267676386</v>
      </c>
      <c r="K84" s="324">
        <v>-2.3297418952120257</v>
      </c>
      <c r="L84" s="325">
        <v>-2.5343694858075905</v>
      </c>
      <c r="M84" s="328">
        <v>-2.2733819746809272</v>
      </c>
      <c r="N84" s="310">
        <v>1.877776307156843</v>
      </c>
      <c r="O84" s="329">
        <v>1.020457771116662</v>
      </c>
      <c r="P84" s="206">
        <v>6</v>
      </c>
      <c r="Q84" s="207">
        <v>6</v>
      </c>
      <c r="R84" s="206">
        <v>3</v>
      </c>
      <c r="S84" s="208">
        <v>4</v>
      </c>
      <c r="T84" s="271">
        <v>7</v>
      </c>
      <c r="U84" s="271">
        <v>2</v>
      </c>
      <c r="V84" s="272">
        <v>5</v>
      </c>
      <c r="W84" s="272">
        <v>3</v>
      </c>
      <c r="X84" s="312">
        <v>7</v>
      </c>
      <c r="Y84" s="313">
        <v>5</v>
      </c>
      <c r="Z84" s="271">
        <v>7</v>
      </c>
      <c r="AA84" s="314">
        <v>4</v>
      </c>
      <c r="AB84" s="343">
        <v>4</v>
      </c>
      <c r="AC84" s="343">
        <f>IF(Таблица1[[#This Row],[Train]]=Таблица1[[#This Row],[НС]],1,0)</f>
        <v>0</v>
      </c>
      <c r="AD84" s="343">
        <f>IF(Таблица1[[#This Row],[НС]]=Таблица1[[#This Row],[К-средних]],1,0)</f>
        <v>1</v>
      </c>
      <c r="AE84" s="208"/>
      <c r="AF84" s="209">
        <f>SUMXMY2(Таблица1[[#This Row],[X1]:[X9]],Таблица1[[#Totals],[X1]:[X9]])</f>
        <v>31.992923175012884</v>
      </c>
      <c r="AG84" s="239" t="s">
        <v>2590</v>
      </c>
      <c r="AH84" s="239" t="s">
        <v>2589</v>
      </c>
      <c r="AI84" s="239" t="s">
        <v>2586</v>
      </c>
      <c r="AJ84" s="239" t="s">
        <v>2588</v>
      </c>
      <c r="AK84" s="239" t="s">
        <v>2587</v>
      </c>
      <c r="AL84" s="239" t="s">
        <v>2591</v>
      </c>
      <c r="AM84" s="239" t="s">
        <v>2592</v>
      </c>
      <c r="AN84" s="239" t="str">
        <f>RIGHT(Таблица1[[#This Row],[ДА1]],1)</f>
        <v>5</v>
      </c>
      <c r="AO84" s="214">
        <v>5</v>
      </c>
      <c r="AP84" s="213">
        <f>IF(Таблица1[[#This Row],[ДА Итог Копия]]=Таблица1[[#This Row],[Train]],1,0)</f>
        <v>0</v>
      </c>
      <c r="AQ84" s="213">
        <f>IF(Таблица1[[#This Row],[ДА Итог Копия]]=Таблица1[[#This Row],[К-средних]],1,0)</f>
        <v>0</v>
      </c>
      <c r="AR84" s="216">
        <v>369.68337107267564</v>
      </c>
      <c r="AS84" s="216">
        <v>396.24156392195073</v>
      </c>
      <c r="AT84" s="216">
        <v>330.68736174342797</v>
      </c>
      <c r="AU84" s="216">
        <v>230.49940716219041</v>
      </c>
      <c r="AV84" s="216">
        <v>183.16373206713189</v>
      </c>
      <c r="AW84" s="216">
        <v>621.07774113022344</v>
      </c>
      <c r="AX84" s="217">
        <v>891.23217497426378</v>
      </c>
      <c r="AY84" s="218">
        <f>MATCH(MIN(Таблица1[[#This Row],[1 ДА Мах]:[7_ДА_Мах]]),Таблица1[[#This Row],[1 ДА Мах]:[7_ДА_Мах]],0)</f>
        <v>5</v>
      </c>
      <c r="AZ84" s="219">
        <f>IF(Таблица1[[#This Row],[ДА_Мах_Итог]]=Таблица1[[#This Row],[Train]],1,0)</f>
        <v>0</v>
      </c>
      <c r="BA84" s="219">
        <f>IF(Таблица1[[#This Row],[ДА_Мах_Итог]]=Таблица1[[#This Row],[К-средних]],1,0)</f>
        <v>0</v>
      </c>
      <c r="BB84" s="220">
        <v>0</v>
      </c>
      <c r="BC84" s="220">
        <v>0</v>
      </c>
      <c r="BD84" s="220">
        <v>4.6197752191339377E-32</v>
      </c>
      <c r="BE84" s="220">
        <v>5.2624593544178896E-11</v>
      </c>
      <c r="BF84" s="220">
        <v>0.99999999994737543</v>
      </c>
      <c r="BG84" s="220">
        <v>0</v>
      </c>
      <c r="BH84" s="220">
        <v>0</v>
      </c>
      <c r="BI84" s="218">
        <f>MATCH(MAX(Таблица1[[#This Row],[1_ДА_Ап]:[7_ДА_Ап]]),Таблица1[[#This Row],[1_ДА_Ап]:[7_ДА_Ап]],0)</f>
        <v>5</v>
      </c>
      <c r="BJ84" s="219">
        <f>IF(Таблица1[[#This Row],[ДА_Ап_Итог]]=Таблица1[[#This Row],[Train]],1,0)</f>
        <v>0</v>
      </c>
      <c r="BK84" s="219">
        <f>IF(Таблица1[[#This Row],[ДА_Ап_Итог]]=Таблица1[[#This Row],[К-средних]],1,0)</f>
        <v>0</v>
      </c>
      <c r="BL84" s="234" t="s">
        <v>2590</v>
      </c>
      <c r="BM84" s="234" t="s">
        <v>2589</v>
      </c>
      <c r="BN84" s="234" t="s">
        <v>2588</v>
      </c>
      <c r="BO84" s="234" t="s">
        <v>2587</v>
      </c>
      <c r="BP84" s="234" t="s">
        <v>2586</v>
      </c>
      <c r="BQ84" s="234" t="s">
        <v>2591</v>
      </c>
      <c r="BR84" s="234" t="s">
        <v>2592</v>
      </c>
      <c r="BS84" s="234" t="str">
        <f>RIGHT(Таблица1[[#This Row],[ПДАсВ 1]],1)</f>
        <v>5</v>
      </c>
      <c r="BT84" s="227">
        <v>5</v>
      </c>
      <c r="BU84" s="212">
        <f>IF(Таблица1[[#This Row],[ПДАсВ Итог Копия]]=Таблица1[[#This Row],[Train]],1,0)</f>
        <v>0</v>
      </c>
      <c r="BV84" s="212">
        <f>IF(Таблица1[[#This Row],[ПДАсВ Итог Копия]]=Таблица1[[#This Row],[К-средних]],1,0)</f>
        <v>0</v>
      </c>
      <c r="BW84" s="235">
        <v>325.69163620367175</v>
      </c>
      <c r="BX84" s="235">
        <v>330.53116823236365</v>
      </c>
      <c r="BY84" s="235">
        <v>289.52256085553239</v>
      </c>
      <c r="BZ84" s="235">
        <v>201.35864455341874</v>
      </c>
      <c r="CA84" s="235">
        <v>135.44242648596867</v>
      </c>
      <c r="CB84" s="235">
        <v>577.84176920724724</v>
      </c>
      <c r="CC84" s="235">
        <v>736.2706064645264</v>
      </c>
      <c r="CD84" s="218">
        <f>MATCH(MIN(Таблица1[[#This Row],[1 ДА Мах]:[7_ДА_Мах]]),Таблица1[[#This Row],[1 ДА Мах]:[7_ДА_Мах]],0)</f>
        <v>5</v>
      </c>
      <c r="CE84" s="219">
        <f>IF(Таблица1[[#This Row],[ДА_Мах_Итог]]=Таблица1[[#This Row],[Train]],1,0)</f>
        <v>0</v>
      </c>
      <c r="CF84" s="219">
        <f>IF(Таблица1[[#This Row],[ДА_Мах_Итог]]=Таблица1[[#This Row],[К-средних]],1,0)</f>
        <v>0</v>
      </c>
      <c r="CG84" s="236">
        <v>0</v>
      </c>
      <c r="CH84" s="236">
        <v>0</v>
      </c>
      <c r="CI84" s="236">
        <v>0</v>
      </c>
      <c r="CJ84" s="236">
        <v>4.8581969016725529E-15</v>
      </c>
      <c r="CK84" s="236">
        <v>0.99999999999999512</v>
      </c>
      <c r="CL84" s="236">
        <v>0</v>
      </c>
      <c r="CM84" s="236">
        <v>0</v>
      </c>
      <c r="CN84" s="218">
        <f>MATCH(MAX(Таблица1[[#This Row],[1_ДА_Ап]:[7_ДА_Ап]]),Таблица1[[#This Row],[1_ДА_Ап]:[7_ДА_Ап]],0)</f>
        <v>5</v>
      </c>
      <c r="CO84" s="219">
        <f>IF(Таблица1[[#This Row],[ПДАсВ Итог Копия]]=Таблица1[[#This Row],[Train]],1,0)</f>
        <v>0</v>
      </c>
      <c r="CP84" s="219">
        <f>IF(Таблица1[[#This Row],[ПДАсВ Итог Копия]]=Таблица1[[#This Row],[К-средних]],1,0)</f>
        <v>0</v>
      </c>
      <c r="CQ84" s="234" t="s">
        <v>2590</v>
      </c>
      <c r="CR84" s="234" t="s">
        <v>2589</v>
      </c>
      <c r="CS84" s="234" t="s">
        <v>2586</v>
      </c>
      <c r="CT84" s="234" t="s">
        <v>2588</v>
      </c>
      <c r="CU84" s="234" t="s">
        <v>2587</v>
      </c>
      <c r="CV84" s="234" t="s">
        <v>2591</v>
      </c>
      <c r="CW84" s="234" t="s">
        <v>2592</v>
      </c>
      <c r="CX84" s="234" t="str">
        <f>RIGHT(Таблица1[[#This Row],[ПДАсИ 1]],1)</f>
        <v>5</v>
      </c>
      <c r="CY84" s="212">
        <v>5</v>
      </c>
      <c r="CZ84" s="212">
        <f>IF(Таблица1[[#This Row],[ПДАсИ Итог Копия]]=Таблица1[[#This Row],[Train]],1,0)</f>
        <v>0</v>
      </c>
      <c r="DA84" s="212">
        <f>IF(Таблица1[[#This Row],[ПДАсИ Итог Копия]]=Таблица1[[#This Row],[К-средних]],1,0)</f>
        <v>0</v>
      </c>
      <c r="DB84" s="237">
        <v>299.40478310595915</v>
      </c>
      <c r="DC84" s="237">
        <v>316.85729623031989</v>
      </c>
      <c r="DD84" s="237">
        <v>267.82842523429628</v>
      </c>
      <c r="DE84" s="237">
        <v>215.85465617239871</v>
      </c>
      <c r="DF84" s="237">
        <v>131.26379530458971</v>
      </c>
      <c r="DG84" s="237">
        <v>518.98526526553678</v>
      </c>
      <c r="DH84" s="237">
        <v>873.22723520423847</v>
      </c>
      <c r="DI84" s="224">
        <f>MATCH(MIN(Таблица1[[#This Row],[ПДАсИ Мах 1]:[ПДАсИ Мах 7]]),Таблица1[[#This Row],[ПДАсИ Мах 1]:[ПДАсИ Мах 7]],0)</f>
        <v>5</v>
      </c>
      <c r="DJ84" s="212">
        <f>IF(Таблица1[[#This Row],[ПДАсИ Мах Итог]]=Таблица1[[#This Row],[Train]],1,0)</f>
        <v>0</v>
      </c>
      <c r="DK84" s="212">
        <f>IF(Таблица1[[#This Row],[ПДАсИ Мах Итог]]=Таблица1[[#This Row],[К-средних]],1,0)</f>
        <v>0</v>
      </c>
      <c r="DL84" s="238">
        <v>0</v>
      </c>
      <c r="DM84" s="238">
        <v>0</v>
      </c>
      <c r="DN84" s="238">
        <v>1.1074838543968077E-29</v>
      </c>
      <c r="DO84" s="238">
        <v>4.2788587762790783E-19</v>
      </c>
      <c r="DP84" s="238">
        <v>1</v>
      </c>
      <c r="DQ84" s="238">
        <v>0</v>
      </c>
      <c r="DR84" s="238">
        <v>0</v>
      </c>
      <c r="DS84" s="224">
        <f>MATCH(MAX(Таблица1[[#This Row],[ПДАсИ Ап 1]:[ПДАсИ Ап 7]]),Таблица1[[#This Row],[ПДАсИ Ап 1]:[ПДАсИ Ап 7]],0)</f>
        <v>5</v>
      </c>
      <c r="DT84" s="212">
        <f>IF(Таблица1[[#This Row],[ПДАсИ Ап Итог]]=Таблица1[[#This Row],[Train]],1,0)</f>
        <v>0</v>
      </c>
      <c r="DU84" s="212">
        <f>IF(Таблица1[[#This Row],[ПДАсИ Ап Итог]]=Таблица1[[#This Row],[К-средних]],1,0)</f>
        <v>0</v>
      </c>
    </row>
    <row r="85" spans="1:125" ht="13.8">
      <c r="A85" s="205" t="s">
        <v>355</v>
      </c>
      <c r="B85" s="319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320">
        <v>0.5905468276350524</v>
      </c>
      <c r="K85" s="326">
        <v>-0.62558043335484814</v>
      </c>
      <c r="L85" s="327">
        <v>0.43587121206339352</v>
      </c>
      <c r="M85" s="330">
        <v>-0.50078212039322545</v>
      </c>
      <c r="N85" s="331">
        <v>-0.37312218235903805</v>
      </c>
      <c r="O85" s="332">
        <v>-0.31329970393803408</v>
      </c>
      <c r="P85" s="206">
        <v>5</v>
      </c>
      <c r="Q85" s="207">
        <v>5</v>
      </c>
      <c r="R85" s="206">
        <v>4</v>
      </c>
      <c r="S85" s="208">
        <v>2</v>
      </c>
      <c r="T85" s="271">
        <v>3</v>
      </c>
      <c r="U85" s="271">
        <v>7</v>
      </c>
      <c r="V85" s="272">
        <v>3</v>
      </c>
      <c r="W85" s="272">
        <v>6</v>
      </c>
      <c r="X85" s="312">
        <v>6</v>
      </c>
      <c r="Y85" s="313">
        <v>2</v>
      </c>
      <c r="Z85" s="271">
        <v>6</v>
      </c>
      <c r="AA85" s="314">
        <v>2</v>
      </c>
      <c r="AB85" s="314">
        <v>2</v>
      </c>
      <c r="AC85" s="314">
        <f>IF(Таблица1[[#This Row],[Train]]=Таблица1[[#This Row],[НС]],1,0)</f>
        <v>1</v>
      </c>
      <c r="AD85" s="314">
        <f>IF(Таблица1[[#This Row],[НС]]=Таблица1[[#This Row],[К-средних]],1,0)</f>
        <v>1</v>
      </c>
      <c r="AE85" s="208">
        <v>2</v>
      </c>
      <c r="AF85" s="209">
        <f>SUMXMY2(Таблица1[[#This Row],[X1]:[X9]],Таблица1[[#Totals],[X1]:[X9]])</f>
        <v>1.9368550920811685</v>
      </c>
      <c r="AG85" s="239" t="s">
        <v>2587</v>
      </c>
      <c r="AH85" s="239" t="s">
        <v>2586</v>
      </c>
      <c r="AI85" s="239" t="s">
        <v>2588</v>
      </c>
      <c r="AJ85" s="239" t="s">
        <v>2589</v>
      </c>
      <c r="AK85" s="239" t="s">
        <v>2590</v>
      </c>
      <c r="AL85" s="239" t="s">
        <v>2591</v>
      </c>
      <c r="AM85" s="239" t="s">
        <v>2592</v>
      </c>
      <c r="AN85" s="239" t="str">
        <f>RIGHT(Таблица1[[#This Row],[ДА1]],1)</f>
        <v>2</v>
      </c>
      <c r="AO85" s="214">
        <v>2</v>
      </c>
      <c r="AP85" s="213">
        <f>IF(Таблица1[[#This Row],[ДА Итог Копия]]=Таблица1[[#This Row],[Train]],1,0)</f>
        <v>1</v>
      </c>
      <c r="AQ85" s="213">
        <f>IF(Таблица1[[#This Row],[ДА Итог Копия]]=Таблица1[[#This Row],[К-средних]],1,0)</f>
        <v>1</v>
      </c>
      <c r="AR85" s="216">
        <v>26.559382335514634</v>
      </c>
      <c r="AS85" s="216">
        <v>6.1146397293894967</v>
      </c>
      <c r="AT85" s="216">
        <v>19.063954276638508</v>
      </c>
      <c r="AU85" s="216">
        <v>43.463374607128792</v>
      </c>
      <c r="AV85" s="216">
        <v>66.032665240737686</v>
      </c>
      <c r="AW85" s="216">
        <v>555.48991723624556</v>
      </c>
      <c r="AX85" s="217">
        <v>309.48244092657234</v>
      </c>
      <c r="AY85" s="218">
        <f>MATCH(MIN(Таблица1[[#This Row],[1 ДА Мах]:[7_ДА_Мах]]),Таблица1[[#This Row],[1 ДА Мах]:[7_ДА_Мах]],0)</f>
        <v>2</v>
      </c>
      <c r="AZ85" s="219">
        <f>IF(Таблица1[[#This Row],[ДА_Мах_Итог]]=Таблица1[[#This Row],[Train]],1,0)</f>
        <v>1</v>
      </c>
      <c r="BA85" s="219">
        <f>IF(Таблица1[[#This Row],[ДА_Мах_Итог]]=Таблица1[[#This Row],[К-средних]],1,0)</f>
        <v>1</v>
      </c>
      <c r="BB85" s="220">
        <v>2.7207816231190637E-5</v>
      </c>
      <c r="BC85" s="220">
        <v>0.99804901665946077</v>
      </c>
      <c r="BD85" s="220">
        <v>1.923773588230937E-3</v>
      </c>
      <c r="BE85" s="220">
        <v>1.9360525807605757E-9</v>
      </c>
      <c r="BF85" s="220">
        <v>2.4325286089396314E-14</v>
      </c>
      <c r="BG85" s="220">
        <v>0</v>
      </c>
      <c r="BH85" s="220">
        <v>0</v>
      </c>
      <c r="BI85" s="218">
        <f>MATCH(MAX(Таблица1[[#This Row],[1_ДА_Ап]:[7_ДА_Ап]]),Таблица1[[#This Row],[1_ДА_Ап]:[7_ДА_Ап]],0)</f>
        <v>2</v>
      </c>
      <c r="BJ85" s="219">
        <f>IF(Таблица1[[#This Row],[ДА_Ап_Итог]]=Таблица1[[#This Row],[Train]],1,0)</f>
        <v>1</v>
      </c>
      <c r="BK85" s="219">
        <f>IF(Таблица1[[#This Row],[ДА_Ап_Итог]]=Таблица1[[#This Row],[К-средних]],1,0)</f>
        <v>1</v>
      </c>
      <c r="BL85" s="234" t="s">
        <v>2587</v>
      </c>
      <c r="BM85" s="234" t="s">
        <v>2586</v>
      </c>
      <c r="BN85" s="234" t="s">
        <v>2588</v>
      </c>
      <c r="BO85" s="234" t="s">
        <v>2589</v>
      </c>
      <c r="BP85" s="234" t="s">
        <v>2590</v>
      </c>
      <c r="BQ85" s="234" t="s">
        <v>2591</v>
      </c>
      <c r="BR85" s="234" t="s">
        <v>2592</v>
      </c>
      <c r="BS85" s="234" t="str">
        <f>RIGHT(Таблица1[[#This Row],[ПДАсВ 1]],1)</f>
        <v>2</v>
      </c>
      <c r="BT85" s="227">
        <v>2</v>
      </c>
      <c r="BU85" s="212">
        <f>IF(Таблица1[[#This Row],[ПДАсВ Итог Копия]]=Таблица1[[#This Row],[Train]],1,0)</f>
        <v>1</v>
      </c>
      <c r="BV85" s="212">
        <f>IF(Таблица1[[#This Row],[ПДАсВ Итог Копия]]=Таблица1[[#This Row],[К-средних]],1,0)</f>
        <v>1</v>
      </c>
      <c r="BW85" s="235">
        <v>24.095296784924493</v>
      </c>
      <c r="BX85" s="235">
        <v>5.7332223978771104</v>
      </c>
      <c r="BY85" s="235">
        <v>15.23361200353308</v>
      </c>
      <c r="BZ85" s="235">
        <v>27.483101572775038</v>
      </c>
      <c r="CA85" s="235">
        <v>35.000455157124328</v>
      </c>
      <c r="CB85" s="235">
        <v>540.42531270453185</v>
      </c>
      <c r="CC85" s="235">
        <v>208.97007495809686</v>
      </c>
      <c r="CD85" s="218">
        <f>MATCH(MIN(Таблица1[[#This Row],[1 ДА Мах]:[7_ДА_Мах]]),Таблица1[[#This Row],[1 ДА Мах]:[7_ДА_Мах]],0)</f>
        <v>2</v>
      </c>
      <c r="CE85" s="219">
        <f>IF(Таблица1[[#This Row],[ДА_Мах_Итог]]=Таблица1[[#This Row],[Train]],1,0)</f>
        <v>1</v>
      </c>
      <c r="CF85" s="219">
        <f>IF(Таблица1[[#This Row],[ДА_Мах_Итог]]=Таблица1[[#This Row],[К-средних]],1,0)</f>
        <v>1</v>
      </c>
      <c r="CG85" s="236">
        <v>7.6397931844645223E-5</v>
      </c>
      <c r="CH85" s="236">
        <v>0.9892228280870784</v>
      </c>
      <c r="CI85" s="236">
        <v>1.0695984184796184E-2</v>
      </c>
      <c r="CJ85" s="236">
        <v>4.6806685070559069E-6</v>
      </c>
      <c r="CK85" s="236">
        <v>1.091277735305084E-7</v>
      </c>
      <c r="CL85" s="236">
        <v>0</v>
      </c>
      <c r="CM85" s="236">
        <v>0</v>
      </c>
      <c r="CN85" s="218">
        <f>MATCH(MAX(Таблица1[[#This Row],[1_ДА_Ап]:[7_ДА_Ап]]),Таблица1[[#This Row],[1_ДА_Ап]:[7_ДА_Ап]],0)</f>
        <v>2</v>
      </c>
      <c r="CO85" s="219">
        <f>IF(Таблица1[[#This Row],[ПДАсВ Итог Копия]]=Таблица1[[#This Row],[Train]],1,0)</f>
        <v>1</v>
      </c>
      <c r="CP85" s="219">
        <f>IF(Таблица1[[#This Row],[ПДАсВ Итог Копия]]=Таблица1[[#This Row],[К-средних]],1,0)</f>
        <v>1</v>
      </c>
      <c r="CQ85" s="234" t="s">
        <v>2587</v>
      </c>
      <c r="CR85" s="234" t="s">
        <v>2586</v>
      </c>
      <c r="CS85" s="234" t="s">
        <v>2588</v>
      </c>
      <c r="CT85" s="234" t="s">
        <v>2589</v>
      </c>
      <c r="CU85" s="234" t="s">
        <v>2590</v>
      </c>
      <c r="CV85" s="234" t="s">
        <v>2591</v>
      </c>
      <c r="CW85" s="234" t="s">
        <v>2592</v>
      </c>
      <c r="CX85" s="234" t="str">
        <f>RIGHT(Таблица1[[#This Row],[ПДАсИ 1]],1)</f>
        <v>2</v>
      </c>
      <c r="CY85" s="212">
        <v>2</v>
      </c>
      <c r="CZ85" s="212">
        <f>IF(Таблица1[[#This Row],[ПДАсИ Итог Копия]]=Таблица1[[#This Row],[Train]],1,0)</f>
        <v>1</v>
      </c>
      <c r="DA85" s="212">
        <f>IF(Таблица1[[#This Row],[ПДАсИ Итог Копия]]=Таблица1[[#This Row],[К-средних]],1,0)</f>
        <v>1</v>
      </c>
      <c r="DB85" s="237">
        <v>19.507760230740821</v>
      </c>
      <c r="DC85" s="237">
        <v>4.1220716043291947</v>
      </c>
      <c r="DD85" s="237">
        <v>9.380991094017066</v>
      </c>
      <c r="DE85" s="237">
        <v>26.287891547782376</v>
      </c>
      <c r="DF85" s="237">
        <v>54.617084724037426</v>
      </c>
      <c r="DG85" s="237">
        <v>430.95345296144882</v>
      </c>
      <c r="DH85" s="237">
        <v>290.94095196303795</v>
      </c>
      <c r="DI85" s="224">
        <f>MATCH(MIN(Таблица1[[#This Row],[ПДАсИ Мах 1]:[ПДАсИ Мах 7]]),Таблица1[[#This Row],[ПДАсИ Мах 1]:[ПДАсИ Мах 7]],0)</f>
        <v>2</v>
      </c>
      <c r="DJ85" s="212">
        <f>IF(Таблица1[[#This Row],[ПДАсИ Мах Итог]]=Таблица1[[#This Row],[Train]],1,0)</f>
        <v>1</v>
      </c>
      <c r="DK85" s="212">
        <f>IF(Таблица1[[#This Row],[ПДАсИ Мах Итог]]=Таблица1[[#This Row],[К-средних]],1,0)</f>
        <v>1</v>
      </c>
      <c r="DL85" s="238">
        <v>3.1367411224987704E-4</v>
      </c>
      <c r="DM85" s="238">
        <v>0.91701671000295637</v>
      </c>
      <c r="DN85" s="238">
        <v>8.2666091600614278E-2</v>
      </c>
      <c r="DO85" s="238">
        <v>3.5242816938107938E-6</v>
      </c>
      <c r="DP85" s="238">
        <v>2.4857902338115009E-12</v>
      </c>
      <c r="DQ85" s="238">
        <v>0</v>
      </c>
      <c r="DR85" s="238">
        <v>0</v>
      </c>
      <c r="DS85" s="224">
        <f>MATCH(MAX(Таблица1[[#This Row],[ПДАсИ Ап 1]:[ПДАсИ Ап 7]]),Таблица1[[#This Row],[ПДАсИ Ап 1]:[ПДАсИ Ап 7]],0)</f>
        <v>2</v>
      </c>
      <c r="DT85" s="212">
        <f>IF(Таблица1[[#This Row],[ПДАсИ Ап Итог]]=Таблица1[[#This Row],[Train]],1,0)</f>
        <v>1</v>
      </c>
      <c r="DU85" s="212">
        <f>IF(Таблица1[[#This Row],[ПДАсИ Ап Итог]]=Таблица1[[#This Row],[К-средних]],1,0)</f>
        <v>1</v>
      </c>
    </row>
    <row r="86" spans="1:125" ht="13.8">
      <c r="A86" s="205">
        <f>SUBTOTAL(103,Таблица1[Наименование])</f>
        <v>84</v>
      </c>
      <c r="B86" s="321">
        <f>SUBTOTAL(101,Таблица1[X1])</f>
        <v>-4.9827866700438574E-16</v>
      </c>
      <c r="C86" s="322">
        <f>SUBTOTAL(101,Таблица1[X2])</f>
        <v>7.4130516540075553E-16</v>
      </c>
      <c r="D86" s="322">
        <f>SUBTOTAL(101,Таблица1[X3])</f>
        <v>-2.9077269692563624E-16</v>
      </c>
      <c r="E86" s="322">
        <f>SUBTOTAL(101,Таблица1[X4])</f>
        <v>-1.1895246692412391E-15</v>
      </c>
      <c r="F86" s="322">
        <f>SUBTOTAL(101,Таблица1[X5])</f>
        <v>-1.0659462730478438E-15</v>
      </c>
      <c r="G86" s="322">
        <f>SUBTOTAL(101,Таблица1[X6])</f>
        <v>-1.5662074811676317E-16</v>
      </c>
      <c r="H86" s="322">
        <f>SUBTOTAL(101,Таблица1[X7])</f>
        <v>2.9820722610839397E-17</v>
      </c>
      <c r="I86" s="322">
        <f>SUBTOTAL(101,Таблица1[X8])</f>
        <v>-1.0071308866242491E-15</v>
      </c>
      <c r="J86" s="323">
        <f>SUBTOTAL(101,Таблица1[X9])</f>
        <v>2.7887745023322384E-16</v>
      </c>
      <c r="K86" s="212"/>
      <c r="L86" s="212"/>
      <c r="M86" s="212"/>
      <c r="N86" s="212"/>
      <c r="O86" s="212"/>
      <c r="P86" s="222"/>
      <c r="Q86" s="211"/>
      <c r="R86" s="222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>
        <f>SUM(Таблица1[Точность НС])/AE86</f>
        <v>0.96875</v>
      </c>
      <c r="AD86" s="211">
        <f>SUM(Таблица1[Совпадение НС])/Таблица1[[#Totals],[Наименование]]</f>
        <v>0.76190476190476186</v>
      </c>
      <c r="AE86" s="211">
        <f>SUBTOTAL(102,Таблица1[Train])</f>
        <v>32</v>
      </c>
      <c r="AF86" s="223">
        <f>SUBTOTAL(109,Таблица1[[Квадрат расстояния ]])</f>
        <v>747</v>
      </c>
      <c r="AG86" s="199"/>
      <c r="AH86" s="196"/>
      <c r="AI86" s="196"/>
      <c r="AJ86" s="196"/>
      <c r="AK86" s="196"/>
      <c r="AL86" s="196"/>
      <c r="AM86" s="196"/>
      <c r="AN86" s="196"/>
      <c r="AO86" s="215"/>
      <c r="AP86" s="196">
        <f>SUBTOTAL(109,Таблица1[Точность ДА])/Таблица1[[#Totals],[Train]]</f>
        <v>1</v>
      </c>
      <c r="AQ86" s="196">
        <f>SUBTOTAL(109,Таблица1[Совпадение ДА])/Таблица1[[#Totals],[Наименование]]</f>
        <v>0.77380952380952384</v>
      </c>
      <c r="AR86" s="196"/>
      <c r="AS86" s="196"/>
      <c r="AT86" s="196"/>
      <c r="AU86" s="196"/>
      <c r="AV86" s="196"/>
      <c r="AW86" s="196"/>
      <c r="AX86" s="196"/>
      <c r="AY86" s="196"/>
      <c r="AZ86" s="196">
        <f>SUBTOTAL(109,Таблица1[Точность_ДА_Мах])/Таблица1[[#Totals],[Train]]</f>
        <v>1</v>
      </c>
      <c r="BA86" s="196">
        <f>SUBTOTAL(109,Таблица1[Совпадение_ДА_Мах])/Таблица1[[#Totals],[Наименование]]</f>
        <v>0.76190476190476186</v>
      </c>
      <c r="BB86" s="196"/>
      <c r="BC86" s="196"/>
      <c r="BD86" s="196"/>
      <c r="BE86" s="196"/>
      <c r="BF86" s="196"/>
      <c r="BG86" s="196"/>
      <c r="BH86" s="196"/>
      <c r="BI86" s="196"/>
      <c r="BJ86" s="196">
        <f>SUBTOTAL(109,Таблица1[Точность_ДА_Ап])/Таблица1[[#Totals],[Train]]</f>
        <v>1</v>
      </c>
      <c r="BK86" s="196">
        <f>SUBTOTAL(109,Таблица1[Совпадение_ДА_Ап])/Таблица1[[#Totals],[Наименование]]</f>
        <v>0.77380952380952384</v>
      </c>
      <c r="BL86" s="196"/>
      <c r="BM86" s="196"/>
      <c r="BN86" s="196"/>
      <c r="BO86" s="196"/>
      <c r="BP86" s="196"/>
      <c r="BQ86" s="196"/>
      <c r="BR86" s="196"/>
      <c r="BS86" s="196"/>
      <c r="BT86" s="215"/>
      <c r="BU86" s="196">
        <f>SUBTOTAL(109,Таблица1[[ПДАсВ Точность ]])/Таблица1[[#Totals],[Train]]</f>
        <v>0.9375</v>
      </c>
      <c r="BV86" s="196">
        <f>SUBTOTAL(109,Таблица1[ПДАсВ Совпадение])/Таблица1[[#Totals],[Наименование]]</f>
        <v>0.69047619047619047</v>
      </c>
      <c r="BW86" s="196"/>
      <c r="BX86" s="196"/>
      <c r="BY86" s="196"/>
      <c r="BZ86" s="196"/>
      <c r="CA86" s="196"/>
      <c r="CB86" s="196"/>
      <c r="CC86" s="196"/>
      <c r="CD86" s="196"/>
      <c r="CE86" s="196">
        <f>SUBTOTAL(109,Таблица1[ПДАсВ Мах Точность])/Таблица1[[#Totals],[Train]]</f>
        <v>1</v>
      </c>
      <c r="CF86" s="196">
        <f>SUBTOTAL(109,Таблица1[ПДАсВ Мах Совпадение])/Таблица1[[#Totals],[Наименование]]</f>
        <v>0.76190476190476186</v>
      </c>
      <c r="CG86" s="196"/>
      <c r="CH86" s="196"/>
      <c r="CI86" s="196"/>
      <c r="CJ86" s="196"/>
      <c r="CK86" s="196"/>
      <c r="CL86" s="196"/>
      <c r="CM86" s="196"/>
      <c r="CN86" s="196"/>
      <c r="CO86" s="196">
        <f>SUBTOTAL(109,Таблица1[ПДАсВ Ап Точность])/Таблица1[[#Totals],[Train]]</f>
        <v>0.9375</v>
      </c>
      <c r="CP86" s="196">
        <f>SUBTOTAL(109,Таблица1[ПДАсВ Ап Совпадение])/Таблица1[[#Totals],[Наименование]]</f>
        <v>0.69047619047619047</v>
      </c>
      <c r="CQ86" s="196"/>
      <c r="CR86" s="196"/>
      <c r="CS86" s="196"/>
      <c r="CT86" s="196"/>
      <c r="CU86" s="196"/>
      <c r="CV86" s="196"/>
      <c r="CW86" s="196"/>
      <c r="CX86" s="196"/>
      <c r="CY86" s="196"/>
      <c r="CZ86" s="196">
        <f>SUBTOTAL(109,Таблица1[ПДАсИ Точность])/Таблица1[[#Totals],[Train]]</f>
        <v>0.96875</v>
      </c>
      <c r="DA86" s="196">
        <f>SUBTOTAL(109,Таблица1[ПДАсИ Совпадение])/Таблица1[[#Totals],[Наименование]]</f>
        <v>0.73809523809523814</v>
      </c>
      <c r="DB86" s="196"/>
      <c r="DC86" s="196"/>
      <c r="DD86" s="196"/>
      <c r="DE86" s="196"/>
      <c r="DF86" s="196"/>
      <c r="DG86" s="196"/>
      <c r="DH86" s="196"/>
      <c r="DI86" s="196"/>
      <c r="DJ86" s="225">
        <f>SUBTOTAL(109,Таблица1[ПДАсИ Мах Точность])/Таблица1[[#Totals],[Train]]</f>
        <v>0.96875</v>
      </c>
      <c r="DK86" s="225">
        <f>SUBTOTAL(109,Таблица1[ПДАсИ Мах Совпадение])/Таблица1[[#Totals],[Наименование]]</f>
        <v>0.75</v>
      </c>
      <c r="DL86" s="196"/>
      <c r="DM86" s="196"/>
      <c r="DN86" s="196"/>
      <c r="DO86" s="196"/>
      <c r="DP86" s="196"/>
      <c r="DQ86" s="196"/>
      <c r="DR86" s="196"/>
      <c r="DS86" s="196"/>
      <c r="DT86" s="225">
        <f>SUBTOTAL(109,Таблица1[ПДАсИ Ап Точность])/Таблица1[[#Totals],[Train]]</f>
        <v>0.96875</v>
      </c>
      <c r="DU86" s="225">
        <f>SUBTOTAL(109,Таблица1[ПДАсИ Ап Совпадение])/Таблица1[[#Totals],[Наименование]]</f>
        <v>0.75</v>
      </c>
    </row>
    <row r="87" spans="1:125" ht="13.8">
      <c r="A87" s="197"/>
      <c r="B87" s="198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</row>
  </sheetData>
  <phoneticPr fontId="6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7D5A-4E4F-485A-BD15-512DBD7DEB47}">
  <dimension ref="A2:AJ235"/>
  <sheetViews>
    <sheetView topLeftCell="N109" zoomScale="55" zoomScaleNormal="55" workbookViewId="0">
      <selection activeCell="Q175" sqref="Q175"/>
    </sheetView>
  </sheetViews>
  <sheetFormatPr defaultRowHeight="13.2"/>
  <cols>
    <col min="1" max="1" width="41.44140625" bestFit="1" customWidth="1"/>
    <col min="2" max="2" width="21.77734375" bestFit="1" customWidth="1"/>
    <col min="3" max="7" width="13" bestFit="1" customWidth="1"/>
    <col min="8" max="8" width="41.44140625" bestFit="1" customWidth="1"/>
    <col min="9" max="9" width="13.21875" bestFit="1" customWidth="1"/>
    <col min="10" max="11" width="23.77734375" bestFit="1" customWidth="1"/>
    <col min="12" max="15" width="23.77734375" customWidth="1"/>
    <col min="16" max="16" width="23.77734375" bestFit="1" customWidth="1"/>
    <col min="17" max="17" width="41.44140625" bestFit="1" customWidth="1"/>
    <col min="18" max="20" width="23.77734375" bestFit="1" customWidth="1"/>
    <col min="21" max="21" width="13.21875" customWidth="1"/>
    <col min="22" max="30" width="23.77734375" bestFit="1" customWidth="1"/>
    <col min="31" max="31" width="23.77734375" customWidth="1"/>
    <col min="32" max="75" width="23.77734375" bestFit="1" customWidth="1"/>
    <col min="76" max="84" width="23.44140625" bestFit="1" customWidth="1"/>
    <col min="85" max="85" width="28.77734375" bestFit="1" customWidth="1"/>
  </cols>
  <sheetData>
    <row r="2" spans="1:16">
      <c r="B2" s="177" t="s">
        <v>2556</v>
      </c>
    </row>
    <row r="3" spans="1:16">
      <c r="A3" s="177" t="s">
        <v>2553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</row>
    <row r="4" spans="1:16">
      <c r="A4" s="179" t="s">
        <v>2544</v>
      </c>
      <c r="B4">
        <v>-0.4943154058050987</v>
      </c>
      <c r="C4">
        <v>1.8563162324991018</v>
      </c>
      <c r="D4">
        <v>3.8175336590685802</v>
      </c>
      <c r="E4">
        <v>-0.36089097709701257</v>
      </c>
      <c r="F4">
        <v>-7.0990408721339507E-2</v>
      </c>
      <c r="G4">
        <v>0.7079114662794187</v>
      </c>
      <c r="H4">
        <v>-0.35324323818135545</v>
      </c>
      <c r="P4" t="s">
        <v>2576</v>
      </c>
    </row>
    <row r="5" spans="1:16">
      <c r="A5" s="179" t="s">
        <v>2545</v>
      </c>
      <c r="B5">
        <v>3.3249355871724808</v>
      </c>
      <c r="C5">
        <v>-0.94547659652481708</v>
      </c>
      <c r="D5">
        <v>-0.23909262628917405</v>
      </c>
      <c r="E5">
        <v>2.9333282400370465E-2</v>
      </c>
      <c r="F5">
        <v>-0.19781044621046753</v>
      </c>
      <c r="G5">
        <v>0.39619425603314157</v>
      </c>
      <c r="H5">
        <v>-0.2921412248444199</v>
      </c>
    </row>
    <row r="6" spans="1:16">
      <c r="A6" s="179" t="s">
        <v>2546</v>
      </c>
      <c r="B6">
        <v>0.4974340642396467</v>
      </c>
      <c r="C6">
        <v>1.2098248814851478</v>
      </c>
      <c r="D6">
        <v>-0.80861576737710494</v>
      </c>
      <c r="E6">
        <v>-0.74431792951289577</v>
      </c>
      <c r="F6">
        <v>-0.31607449721194647</v>
      </c>
      <c r="G6">
        <v>0.75577359137263034</v>
      </c>
      <c r="H6">
        <v>0.80299969070030019</v>
      </c>
    </row>
    <row r="7" spans="1:16">
      <c r="A7" s="179" t="s">
        <v>2547</v>
      </c>
      <c r="B7">
        <v>1.6383126858732366</v>
      </c>
      <c r="C7">
        <v>1.0589909901558296</v>
      </c>
      <c r="D7">
        <v>-0.29646305955010266</v>
      </c>
      <c r="E7">
        <v>-0.54469843820819153</v>
      </c>
      <c r="F7">
        <v>-3.5031390210701389E-2</v>
      </c>
      <c r="G7">
        <v>-0.80209412861069673</v>
      </c>
      <c r="H7">
        <v>0.60105426915753202</v>
      </c>
    </row>
    <row r="8" spans="1:16">
      <c r="A8" s="179" t="s">
        <v>2548</v>
      </c>
      <c r="B8">
        <v>-0.99986335027840845</v>
      </c>
      <c r="C8">
        <v>3.1193895536889675</v>
      </c>
      <c r="D8">
        <v>1.5154535833944074</v>
      </c>
      <c r="E8">
        <v>-0.16046651650893223</v>
      </c>
      <c r="F8">
        <v>-8.6029231572130632E-2</v>
      </c>
      <c r="G8">
        <v>1.116602035475172</v>
      </c>
      <c r="H8">
        <v>-0.42536901214409456</v>
      </c>
    </row>
    <row r="9" spans="1:16">
      <c r="A9" s="179" t="s">
        <v>2549</v>
      </c>
      <c r="B9">
        <v>-1.4500736289717651</v>
      </c>
      <c r="C9">
        <v>0.33326219657141332</v>
      </c>
      <c r="D9">
        <v>2.4637572208637235</v>
      </c>
      <c r="E9">
        <v>-6.2763212200476759E-2</v>
      </c>
      <c r="F9">
        <v>0.70964135294291397</v>
      </c>
      <c r="G9">
        <v>-0.48366401318348895</v>
      </c>
      <c r="H9">
        <v>-0.59370935579667672</v>
      </c>
    </row>
    <row r="10" spans="1:16">
      <c r="A10" s="179" t="s">
        <v>2550</v>
      </c>
      <c r="B10">
        <v>0.70480821711411823</v>
      </c>
      <c r="C10">
        <v>5.3402128852686301</v>
      </c>
      <c r="D10">
        <v>-0.72400872602104516</v>
      </c>
      <c r="E10">
        <v>-0.27683321138690831</v>
      </c>
      <c r="F10">
        <v>-0.35714430553898618</v>
      </c>
      <c r="G10">
        <v>-0.41172078180772481</v>
      </c>
      <c r="H10">
        <v>0.29043834477517466</v>
      </c>
    </row>
    <row r="11" spans="1:16">
      <c r="A11" s="179" t="s">
        <v>2551</v>
      </c>
      <c r="B11">
        <v>0.4539279478823659</v>
      </c>
      <c r="C11">
        <v>-0.40894004422702934</v>
      </c>
      <c r="D11">
        <v>-0.37744851166829224</v>
      </c>
      <c r="E11">
        <v>0.20249955193340938</v>
      </c>
      <c r="F11">
        <v>-0.57359577160556874</v>
      </c>
      <c r="G11">
        <v>1.7315844116939836</v>
      </c>
      <c r="H11">
        <v>-0.19780985637671392</v>
      </c>
    </row>
    <row r="12" spans="1:16">
      <c r="A12" s="179" t="s">
        <v>2552</v>
      </c>
      <c r="B12">
        <v>-1.7068712993012618</v>
      </c>
      <c r="C12">
        <v>-1.0273031498070471</v>
      </c>
      <c r="D12">
        <v>-1.9223813182882081</v>
      </c>
      <c r="E12">
        <v>0.70448250182400007</v>
      </c>
      <c r="F12">
        <v>-0.17201591475069911</v>
      </c>
      <c r="G12">
        <v>1.1129117456243012</v>
      </c>
      <c r="H12">
        <v>-0.3846846262096914</v>
      </c>
    </row>
    <row r="23" spans="1:16">
      <c r="B23" s="177" t="s">
        <v>2557</v>
      </c>
    </row>
    <row r="24" spans="1:16">
      <c r="A24" s="177" t="s">
        <v>2553</v>
      </c>
      <c r="B24" s="180">
        <v>1</v>
      </c>
      <c r="C24" s="180">
        <v>2</v>
      </c>
      <c r="D24" s="180">
        <v>3</v>
      </c>
      <c r="E24" s="180">
        <v>4</v>
      </c>
      <c r="F24" s="180">
        <v>5</v>
      </c>
      <c r="G24" s="180">
        <v>6</v>
      </c>
      <c r="H24" s="180">
        <v>7</v>
      </c>
      <c r="P24" t="s">
        <v>2563</v>
      </c>
    </row>
    <row r="25" spans="1:16">
      <c r="A25" s="179" t="s">
        <v>2544</v>
      </c>
      <c r="B25">
        <v>-0.2666811695553582</v>
      </c>
      <c r="C25">
        <v>-0.34434179296866885</v>
      </c>
      <c r="D25">
        <v>-0.30383920740027942</v>
      </c>
      <c r="E25">
        <v>2.1027937642957961</v>
      </c>
      <c r="F25">
        <v>0.97463482083586916</v>
      </c>
      <c r="G25">
        <v>1.8563162324991018</v>
      </c>
      <c r="H25">
        <v>-0.4943154058050987</v>
      </c>
    </row>
    <row r="26" spans="1:16">
      <c r="A26" s="179" t="s">
        <v>2545</v>
      </c>
      <c r="B26">
        <v>-0.22303844514745474</v>
      </c>
      <c r="C26">
        <v>0.1434156896091783</v>
      </c>
      <c r="D26">
        <v>-0.39848771048195708</v>
      </c>
      <c r="E26">
        <v>0.32280371367099675</v>
      </c>
      <c r="F26">
        <v>0.23450571739154133</v>
      </c>
      <c r="G26">
        <v>-0.94547659652481708</v>
      </c>
      <c r="H26">
        <v>3.3249355871724808</v>
      </c>
    </row>
    <row r="27" spans="1:16">
      <c r="A27" s="179" t="s">
        <v>2546</v>
      </c>
      <c r="B27">
        <v>1.0702579305103677</v>
      </c>
      <c r="C27">
        <v>-0.64560772363168795</v>
      </c>
      <c r="D27">
        <v>-0.1944070178930033</v>
      </c>
      <c r="E27">
        <v>-0.68760066060142699</v>
      </c>
      <c r="F27">
        <v>0.56364987738105521</v>
      </c>
      <c r="G27">
        <v>1.2098248814851478</v>
      </c>
      <c r="H27">
        <v>0.4974340642396467</v>
      </c>
    </row>
    <row r="28" spans="1:16">
      <c r="A28" s="179" t="s">
        <v>2547</v>
      </c>
      <c r="B28">
        <v>0.84353093483079455</v>
      </c>
      <c r="C28">
        <v>-0.54647884318133133</v>
      </c>
      <c r="D28">
        <v>1.2130610849658817E-2</v>
      </c>
      <c r="E28">
        <v>-0.36788628230978299</v>
      </c>
      <c r="F28">
        <v>-1.0154568353308846</v>
      </c>
      <c r="G28">
        <v>1.0589909901558296</v>
      </c>
      <c r="H28">
        <v>1.6383126858732366</v>
      </c>
    </row>
    <row r="29" spans="1:16">
      <c r="A29" s="179" t="s">
        <v>2548</v>
      </c>
      <c r="B29">
        <v>-0.49525605110804449</v>
      </c>
      <c r="C29">
        <v>-0.10385986435522095</v>
      </c>
      <c r="D29">
        <v>-0.3016143222796332</v>
      </c>
      <c r="E29">
        <v>1.2545638901611504</v>
      </c>
      <c r="F29">
        <v>1.3319170540364704</v>
      </c>
      <c r="G29">
        <v>3.1193895536889675</v>
      </c>
      <c r="H29">
        <v>-0.99986335027840845</v>
      </c>
    </row>
    <row r="30" spans="1:16">
      <c r="A30" s="179" t="s">
        <v>2549</v>
      </c>
      <c r="B30">
        <v>-0.76645592315034394</v>
      </c>
      <c r="C30">
        <v>-0.15024944872430462</v>
      </c>
      <c r="D30">
        <v>0.30012690963984406</v>
      </c>
      <c r="E30">
        <v>2.2494896159827418</v>
      </c>
      <c r="F30">
        <v>-0.41629376349585284</v>
      </c>
      <c r="G30">
        <v>0.33326219657141332</v>
      </c>
      <c r="H30">
        <v>-1.4500736289717651</v>
      </c>
    </row>
    <row r="31" spans="1:16">
      <c r="A31" s="179" t="s">
        <v>2550</v>
      </c>
      <c r="B31">
        <v>0.4716296229534841</v>
      </c>
      <c r="C31">
        <v>-0.32470653320196419</v>
      </c>
      <c r="D31">
        <v>-0.22978968150799201</v>
      </c>
      <c r="E31">
        <v>-0.69396369662566337</v>
      </c>
      <c r="F31">
        <v>-0.37913014391873734</v>
      </c>
      <c r="G31">
        <v>5.3402128852686301</v>
      </c>
      <c r="H31">
        <v>0.70480821711411823</v>
      </c>
    </row>
    <row r="32" spans="1:16">
      <c r="A32" s="179" t="s">
        <v>2551</v>
      </c>
      <c r="B32">
        <v>-0.17039168509459615</v>
      </c>
      <c r="C32">
        <v>0.19980497210403569</v>
      </c>
      <c r="D32">
        <v>-0.42783496376227159</v>
      </c>
      <c r="E32">
        <v>-0.47192310934450338</v>
      </c>
      <c r="F32">
        <v>2.0662944148897036</v>
      </c>
      <c r="G32">
        <v>-0.40894004422702934</v>
      </c>
      <c r="H32">
        <v>0.4539279478823659</v>
      </c>
    </row>
    <row r="33" spans="1:8">
      <c r="A33" s="179" t="s">
        <v>2552</v>
      </c>
      <c r="B33">
        <v>-0.45491819666630429</v>
      </c>
      <c r="C33">
        <v>0.94271742469985709</v>
      </c>
      <c r="D33">
        <v>-0.18690120918881367</v>
      </c>
      <c r="E33">
        <v>-1.1218429222871695</v>
      </c>
      <c r="F33">
        <v>0.78928366118197646</v>
      </c>
      <c r="G33">
        <v>-1.0273031498070471</v>
      </c>
      <c r="H33">
        <v>-1.7068712993012618</v>
      </c>
    </row>
    <row r="43" spans="1:8">
      <c r="B43" t="s">
        <v>2576</v>
      </c>
    </row>
    <row r="45" spans="1:8">
      <c r="A45" t="s">
        <v>2684</v>
      </c>
    </row>
    <row r="71" spans="1:1">
      <c r="A71" t="s">
        <v>2685</v>
      </c>
    </row>
    <row r="151" spans="1:36" ht="13.8">
      <c r="A151" s="281" t="s">
        <v>2708</v>
      </c>
      <c r="B151" s="282" t="s">
        <v>2709</v>
      </c>
      <c r="C151" s="282" t="s">
        <v>2710</v>
      </c>
      <c r="D151" s="280" t="s">
        <v>2576</v>
      </c>
      <c r="H151" s="290" t="s">
        <v>2708</v>
      </c>
      <c r="I151" s="291" t="s">
        <v>2709</v>
      </c>
      <c r="J151" s="291" t="s">
        <v>2710</v>
      </c>
      <c r="K151" s="287" t="s">
        <v>2711</v>
      </c>
      <c r="L151" s="315"/>
      <c r="M151" s="315"/>
      <c r="N151" s="315"/>
      <c r="O151" s="315"/>
      <c r="Q151" s="299" t="s">
        <v>2708</v>
      </c>
      <c r="R151" s="291" t="s">
        <v>2709</v>
      </c>
      <c r="S151" s="291" t="s">
        <v>2710</v>
      </c>
      <c r="T151" s="291" t="s">
        <v>2563</v>
      </c>
      <c r="V151" s="299" t="s">
        <v>2708</v>
      </c>
      <c r="W151" s="291" t="s">
        <v>2709</v>
      </c>
      <c r="X151" s="291" t="s">
        <v>2710</v>
      </c>
      <c r="Y151" s="291" t="s">
        <v>2717</v>
      </c>
      <c r="AA151" s="305" t="s">
        <v>2708</v>
      </c>
      <c r="AB151" s="303" t="s">
        <v>2709</v>
      </c>
      <c r="AC151" s="303" t="s">
        <v>2710</v>
      </c>
      <c r="AD151" t="s">
        <v>2576</v>
      </c>
      <c r="AG151" s="305" t="s">
        <v>2708</v>
      </c>
      <c r="AH151" s="303" t="s">
        <v>2709</v>
      </c>
      <c r="AI151" s="303" t="s">
        <v>2710</v>
      </c>
      <c r="AJ151" t="s">
        <v>2563</v>
      </c>
    </row>
    <row r="152" spans="1:36">
      <c r="A152" s="268" t="s">
        <v>270</v>
      </c>
      <c r="B152" s="269">
        <v>-0.68302336053045276</v>
      </c>
      <c r="C152" s="269">
        <v>0.71050364226684515</v>
      </c>
      <c r="D152" s="206">
        <v>4</v>
      </c>
      <c r="H152" s="283" t="s">
        <v>285</v>
      </c>
      <c r="I152" s="284">
        <v>2.1016928005327316</v>
      </c>
      <c r="J152" s="284">
        <v>-0.32784773230137498</v>
      </c>
      <c r="K152" s="288">
        <v>1</v>
      </c>
      <c r="L152" s="271"/>
      <c r="M152" s="271"/>
      <c r="N152" s="271"/>
      <c r="O152" s="271"/>
      <c r="Q152" s="293" t="s">
        <v>274</v>
      </c>
      <c r="R152" s="295">
        <v>0.95419538499667966</v>
      </c>
      <c r="S152" s="295">
        <v>-0.8035224435647651</v>
      </c>
      <c r="T152" s="296">
        <v>1</v>
      </c>
      <c r="V152" s="293" t="s">
        <v>272</v>
      </c>
      <c r="W152" s="295">
        <v>-1.2270999878536024</v>
      </c>
      <c r="X152" s="295">
        <v>-5.7894323128173497E-2</v>
      </c>
      <c r="Y152" s="296">
        <v>1</v>
      </c>
      <c r="AA152" s="304" t="s">
        <v>273</v>
      </c>
      <c r="AB152" s="302">
        <v>-8.9119810673757766E-2</v>
      </c>
      <c r="AC152" s="302">
        <v>0.11179639989172215</v>
      </c>
      <c r="AD152" s="306">
        <v>1</v>
      </c>
      <c r="AE152" s="306"/>
      <c r="AG152" s="304" t="s">
        <v>275</v>
      </c>
      <c r="AH152" s="302">
        <v>-0.38849176077921294</v>
      </c>
      <c r="AI152" s="302">
        <v>-0.53253982233248742</v>
      </c>
      <c r="AJ152" s="307">
        <v>1</v>
      </c>
    </row>
    <row r="153" spans="1:36">
      <c r="A153" s="268" t="s">
        <v>271</v>
      </c>
      <c r="B153" s="269">
        <v>-0.92614254749908309</v>
      </c>
      <c r="C153" s="269">
        <v>0.77680176065732853</v>
      </c>
      <c r="D153" s="206">
        <v>4</v>
      </c>
      <c r="H153" s="283" t="s">
        <v>289</v>
      </c>
      <c r="I153" s="284">
        <v>1.729940374128673</v>
      </c>
      <c r="J153" s="284">
        <v>-0.49850143467973385</v>
      </c>
      <c r="K153" s="288">
        <v>1</v>
      </c>
      <c r="L153" s="271"/>
      <c r="M153" s="271"/>
      <c r="N153" s="271"/>
      <c r="O153" s="271"/>
      <c r="Q153" s="293" t="s">
        <v>275</v>
      </c>
      <c r="R153" s="295">
        <v>0.64016186034313138</v>
      </c>
      <c r="S153" s="295">
        <v>-0.37488435258881508</v>
      </c>
      <c r="T153" s="296">
        <v>1</v>
      </c>
      <c r="V153" s="293" t="s">
        <v>287</v>
      </c>
      <c r="W153" s="295">
        <v>-0.318374362849288</v>
      </c>
      <c r="X153" s="295">
        <v>-4.1097720157032044E-2</v>
      </c>
      <c r="Y153" s="296">
        <v>1</v>
      </c>
      <c r="AA153" s="304" t="s">
        <v>287</v>
      </c>
      <c r="AB153" s="302">
        <v>0.11533952265455763</v>
      </c>
      <c r="AC153" s="302">
        <v>-9.6234457451758598E-2</v>
      </c>
      <c r="AD153" s="306">
        <v>1</v>
      </c>
      <c r="AE153" s="306"/>
      <c r="AG153" s="304" t="s">
        <v>277</v>
      </c>
      <c r="AH153" s="302">
        <v>-0.54185207836917237</v>
      </c>
      <c r="AI153" s="302">
        <v>0.15189894281162353</v>
      </c>
      <c r="AJ153" s="307">
        <v>1</v>
      </c>
    </row>
    <row r="154" spans="1:36">
      <c r="A154" s="268" t="s">
        <v>272</v>
      </c>
      <c r="B154" s="269">
        <v>-1.2270999878536024</v>
      </c>
      <c r="C154" s="269">
        <v>-5.7894323128173497E-2</v>
      </c>
      <c r="D154" s="206">
        <v>5</v>
      </c>
      <c r="H154" s="283" t="s">
        <v>297</v>
      </c>
      <c r="I154" s="284">
        <v>1.4395658363140249</v>
      </c>
      <c r="J154" s="284">
        <v>-0.30848258554336028</v>
      </c>
      <c r="K154" s="288">
        <v>1</v>
      </c>
      <c r="L154" s="271"/>
      <c r="M154" s="271"/>
      <c r="N154" s="271"/>
      <c r="O154" s="271"/>
      <c r="Q154" s="293" t="s">
        <v>279</v>
      </c>
      <c r="R154" s="295">
        <v>0.51170261896111424</v>
      </c>
      <c r="S154" s="295">
        <v>-0.10498910077533605</v>
      </c>
      <c r="T154" s="296">
        <v>1</v>
      </c>
      <c r="V154" s="293" t="s">
        <v>288</v>
      </c>
      <c r="W154" s="295">
        <v>-1.4449780679126303</v>
      </c>
      <c r="X154" s="295">
        <v>9.2604128562096821E-2</v>
      </c>
      <c r="Y154" s="296">
        <v>1</v>
      </c>
      <c r="AA154" s="304" t="s">
        <v>294</v>
      </c>
      <c r="AB154" s="302">
        <v>-5.5939346466515515E-2</v>
      </c>
      <c r="AC154" s="302">
        <v>0.14808415904548797</v>
      </c>
      <c r="AD154" s="306">
        <v>1</v>
      </c>
      <c r="AE154" s="306"/>
      <c r="AG154" s="304" t="s">
        <v>279</v>
      </c>
      <c r="AH154" s="302">
        <v>-0.15111573761358915</v>
      </c>
      <c r="AI154" s="302">
        <v>-0.42197622310556893</v>
      </c>
      <c r="AJ154" s="307">
        <v>1</v>
      </c>
    </row>
    <row r="155" spans="1:36">
      <c r="A155" s="268" t="s">
        <v>273</v>
      </c>
      <c r="B155" s="269">
        <v>1.2150067041600144E-2</v>
      </c>
      <c r="C155" s="269">
        <v>0.24194645938294049</v>
      </c>
      <c r="D155" s="206">
        <v>4</v>
      </c>
      <c r="H155" s="283" t="s">
        <v>314</v>
      </c>
      <c r="I155" s="284">
        <v>1.8832580965494981</v>
      </c>
      <c r="J155" s="284">
        <v>-0.61657227555087213</v>
      </c>
      <c r="K155" s="288">
        <v>1</v>
      </c>
      <c r="L155" s="271"/>
      <c r="M155" s="271"/>
      <c r="N155" s="271"/>
      <c r="O155" s="271"/>
      <c r="Q155" s="293" t="s">
        <v>289</v>
      </c>
      <c r="R155" s="295">
        <v>1.729940374128673</v>
      </c>
      <c r="S155" s="295">
        <v>-0.49850143467973385</v>
      </c>
      <c r="T155" s="296">
        <v>1</v>
      </c>
      <c r="V155" s="293" t="s">
        <v>299</v>
      </c>
      <c r="W155" s="295">
        <v>-0.88911062369306804</v>
      </c>
      <c r="X155" s="295">
        <v>-0.54877663704302182</v>
      </c>
      <c r="Y155" s="296">
        <v>1</v>
      </c>
      <c r="AA155" s="304" t="s">
        <v>306</v>
      </c>
      <c r="AB155" s="302">
        <v>0.2872563941386353</v>
      </c>
      <c r="AC155" s="302">
        <v>0.25316770172592307</v>
      </c>
      <c r="AD155" s="306">
        <v>1</v>
      </c>
      <c r="AE155" s="306"/>
      <c r="AG155" s="304" t="s">
        <v>286</v>
      </c>
      <c r="AH155" s="302">
        <v>-0.11443173247445947</v>
      </c>
      <c r="AI155" s="302">
        <v>-0.27850479167278203</v>
      </c>
      <c r="AJ155" s="307">
        <v>1</v>
      </c>
    </row>
    <row r="156" spans="1:36">
      <c r="A156" s="268" t="s">
        <v>274</v>
      </c>
      <c r="B156" s="269">
        <v>0.95419538499667966</v>
      </c>
      <c r="C156" s="269">
        <v>-0.8035224435647651</v>
      </c>
      <c r="D156" s="206">
        <v>7</v>
      </c>
      <c r="H156" s="283" t="s">
        <v>318</v>
      </c>
      <c r="I156" s="284">
        <v>1.5900207776688355</v>
      </c>
      <c r="J156" s="284">
        <v>-0.16828258056050027</v>
      </c>
      <c r="K156" s="288">
        <v>1</v>
      </c>
      <c r="L156" s="271"/>
      <c r="M156" s="271"/>
      <c r="N156" s="271"/>
      <c r="O156" s="271"/>
      <c r="Q156" s="293" t="s">
        <v>293</v>
      </c>
      <c r="R156" s="295">
        <v>0.57679327393605218</v>
      </c>
      <c r="S156" s="295">
        <v>-0.30231808885321471</v>
      </c>
      <c r="T156" s="296">
        <v>1</v>
      </c>
      <c r="V156" s="293" t="s">
        <v>301</v>
      </c>
      <c r="W156" s="295">
        <v>-0.9231846783284714</v>
      </c>
      <c r="X156" s="295">
        <v>-0.1568985565660376</v>
      </c>
      <c r="Y156" s="296">
        <v>1</v>
      </c>
      <c r="AA156" s="304" t="s">
        <v>309</v>
      </c>
      <c r="AB156" s="302">
        <v>0.10380338291087092</v>
      </c>
      <c r="AC156" s="302">
        <v>0.28923821759140128</v>
      </c>
      <c r="AD156" s="306">
        <v>1</v>
      </c>
      <c r="AE156" s="306"/>
      <c r="AG156" s="304" t="s">
        <v>293</v>
      </c>
      <c r="AH156" s="302">
        <v>-0.18125232865637222</v>
      </c>
      <c r="AI156" s="302">
        <v>-0.57956194601559274</v>
      </c>
      <c r="AJ156" s="307">
        <v>1</v>
      </c>
    </row>
    <row r="157" spans="1:36">
      <c r="A157" s="268" t="s">
        <v>275</v>
      </c>
      <c r="B157" s="269">
        <v>0.64016186034313138</v>
      </c>
      <c r="C157" s="269">
        <v>-0.37488435258881508</v>
      </c>
      <c r="D157" s="206">
        <v>7</v>
      </c>
      <c r="H157" s="283" t="s">
        <v>338</v>
      </c>
      <c r="I157" s="284">
        <v>1.6056705170788306</v>
      </c>
      <c r="J157" s="284">
        <v>-0.90518136094967316</v>
      </c>
      <c r="K157" s="288">
        <v>1</v>
      </c>
      <c r="L157" s="271"/>
      <c r="M157" s="271"/>
      <c r="N157" s="271"/>
      <c r="O157" s="271"/>
      <c r="Q157" s="293" t="s">
        <v>296</v>
      </c>
      <c r="R157" s="295">
        <v>0.97493628898955165</v>
      </c>
      <c r="S157" s="295">
        <v>-0.52676090862852065</v>
      </c>
      <c r="T157" s="296">
        <v>1</v>
      </c>
      <c r="V157" s="293" t="s">
        <v>306</v>
      </c>
      <c r="W157" s="295">
        <v>-0.36269751175821474</v>
      </c>
      <c r="X157" s="295">
        <v>-5.6497923201090594E-2</v>
      </c>
      <c r="Y157" s="296">
        <v>1</v>
      </c>
      <c r="AA157" s="304" t="s">
        <v>311</v>
      </c>
      <c r="AB157" s="302">
        <v>2.6720359327504967E-2</v>
      </c>
      <c r="AC157" s="302">
        <v>5.1855904965029009E-2</v>
      </c>
      <c r="AD157" s="306">
        <v>1</v>
      </c>
      <c r="AE157" s="306"/>
      <c r="AG157" s="304" t="s">
        <v>296</v>
      </c>
      <c r="AH157" s="302">
        <v>-0.24709135883320335</v>
      </c>
      <c r="AI157" s="302">
        <v>-0.78129522214936309</v>
      </c>
      <c r="AJ157" s="307">
        <v>1</v>
      </c>
    </row>
    <row r="158" spans="1:36">
      <c r="A158" s="268" t="s">
        <v>276</v>
      </c>
      <c r="B158" s="269">
        <v>-1.6078402545490693E-2</v>
      </c>
      <c r="C158" s="269">
        <v>0.61365064390561352</v>
      </c>
      <c r="D158" s="206">
        <v>5</v>
      </c>
      <c r="H158" s="283" t="s">
        <v>351</v>
      </c>
      <c r="I158" s="284">
        <v>2.8077601812150634</v>
      </c>
      <c r="J158" s="284">
        <v>-0.78229151501002225</v>
      </c>
      <c r="K158" s="288">
        <v>1</v>
      </c>
      <c r="L158" s="271"/>
      <c r="M158" s="271"/>
      <c r="N158" s="271"/>
      <c r="O158" s="271"/>
      <c r="Q158" s="293" t="s">
        <v>297</v>
      </c>
      <c r="R158" s="295">
        <v>1.4395658363140249</v>
      </c>
      <c r="S158" s="295">
        <v>-0.30848258554336028</v>
      </c>
      <c r="T158" s="296">
        <v>1</v>
      </c>
      <c r="V158" s="293" t="s">
        <v>309</v>
      </c>
      <c r="W158" s="295">
        <v>-0.39168033809985148</v>
      </c>
      <c r="X158" s="295">
        <v>-3.4587405710614152E-2</v>
      </c>
      <c r="Y158" s="296">
        <v>1</v>
      </c>
      <c r="AA158" s="304" t="s">
        <v>332</v>
      </c>
      <c r="AB158" s="302">
        <v>-0.11211465116360947</v>
      </c>
      <c r="AC158" s="302">
        <v>0.19708823508447099</v>
      </c>
      <c r="AD158" s="306">
        <v>1</v>
      </c>
      <c r="AE158" s="306"/>
      <c r="AG158" s="304" t="s">
        <v>298</v>
      </c>
      <c r="AH158" s="302">
        <v>-0.56989889793253101</v>
      </c>
      <c r="AI158" s="302">
        <v>-0.44314094694650352</v>
      </c>
      <c r="AJ158" s="307">
        <v>1</v>
      </c>
    </row>
    <row r="159" spans="1:36">
      <c r="A159" s="268" t="s">
        <v>277</v>
      </c>
      <c r="B159" s="269">
        <v>0.33820098691855244</v>
      </c>
      <c r="C159" s="269">
        <v>0.49600666943754734</v>
      </c>
      <c r="D159" s="206">
        <v>7</v>
      </c>
      <c r="H159" s="283" t="s">
        <v>273</v>
      </c>
      <c r="I159" s="284">
        <v>1.2150067041600144E-2</v>
      </c>
      <c r="J159" s="284">
        <v>0.24194645938294049</v>
      </c>
      <c r="K159" s="288">
        <v>2</v>
      </c>
      <c r="L159" s="271"/>
      <c r="M159" s="271"/>
      <c r="N159" s="271"/>
      <c r="O159" s="271"/>
      <c r="Q159" s="293" t="s">
        <v>298</v>
      </c>
      <c r="R159" s="295">
        <v>0.89348547526359789</v>
      </c>
      <c r="S159" s="295">
        <v>2.704492275511363E-2</v>
      </c>
      <c r="T159" s="296">
        <v>1</v>
      </c>
      <c r="V159" s="293" t="s">
        <v>311</v>
      </c>
      <c r="W159" s="295">
        <v>-0.21063761047768614</v>
      </c>
      <c r="X159" s="295">
        <v>-3.7812234363291536E-2</v>
      </c>
      <c r="Y159" s="296">
        <v>1</v>
      </c>
      <c r="AA159" s="304" t="s">
        <v>337</v>
      </c>
      <c r="AB159" s="302">
        <v>0.15340828202585571</v>
      </c>
      <c r="AC159" s="302">
        <v>0.32951726359117373</v>
      </c>
      <c r="AD159" s="306">
        <v>1</v>
      </c>
      <c r="AE159" s="306"/>
      <c r="AG159" s="304" t="s">
        <v>308</v>
      </c>
      <c r="AH159" s="302">
        <v>-0.22014196453994933</v>
      </c>
      <c r="AI159" s="302">
        <v>-0.23223457413964091</v>
      </c>
      <c r="AJ159" s="307">
        <v>1</v>
      </c>
    </row>
    <row r="160" spans="1:36">
      <c r="A160" s="268" t="s">
        <v>278</v>
      </c>
      <c r="B160" s="269">
        <v>-0.23684745505431254</v>
      </c>
      <c r="C160" s="269">
        <v>0.7046265835101243</v>
      </c>
      <c r="D160" s="206">
        <v>5</v>
      </c>
      <c r="H160" s="283" t="s">
        <v>286</v>
      </c>
      <c r="I160" s="284">
        <v>0.29307343975629818</v>
      </c>
      <c r="J160" s="284">
        <v>-0.17038645980682604</v>
      </c>
      <c r="K160" s="288">
        <v>2</v>
      </c>
      <c r="L160" s="271"/>
      <c r="M160" s="271"/>
      <c r="N160" s="271"/>
      <c r="O160" s="271"/>
      <c r="Q160" s="293" t="s">
        <v>300</v>
      </c>
      <c r="R160" s="295">
        <v>1.2934335741622118</v>
      </c>
      <c r="S160" s="295">
        <v>-1.7339610608620482</v>
      </c>
      <c r="T160" s="296">
        <v>1</v>
      </c>
      <c r="V160" s="293" t="s">
        <v>321</v>
      </c>
      <c r="W160" s="295">
        <v>-1.7465284351683674</v>
      </c>
      <c r="X160" s="295">
        <v>0.19250875829998629</v>
      </c>
      <c r="Y160" s="296">
        <v>1</v>
      </c>
      <c r="AA160" s="304" t="s">
        <v>346</v>
      </c>
      <c r="AB160" s="302">
        <v>0.1018538299199819</v>
      </c>
      <c r="AC160" s="302">
        <v>2.6135792256813027E-2</v>
      </c>
      <c r="AD160" s="306">
        <v>1</v>
      </c>
      <c r="AE160" s="306"/>
      <c r="AG160" s="304" t="s">
        <v>310</v>
      </c>
      <c r="AH160" s="302">
        <v>-0.49589350567880308</v>
      </c>
      <c r="AI160" s="302">
        <v>0.21738163977052516</v>
      </c>
      <c r="AJ160" s="307">
        <v>1</v>
      </c>
    </row>
    <row r="161" spans="1:36">
      <c r="A161" s="268" t="s">
        <v>279</v>
      </c>
      <c r="B161" s="269">
        <v>0.51170261896111424</v>
      </c>
      <c r="C161" s="269">
        <v>-0.10498910077533605</v>
      </c>
      <c r="D161" s="206">
        <v>7</v>
      </c>
      <c r="H161" s="283" t="s">
        <v>287</v>
      </c>
      <c r="I161" s="284">
        <v>-0.318374362849288</v>
      </c>
      <c r="J161" s="284">
        <v>-4.1097720157032044E-2</v>
      </c>
      <c r="K161" s="288">
        <v>2</v>
      </c>
      <c r="L161" s="271"/>
      <c r="M161" s="271"/>
      <c r="N161" s="271"/>
      <c r="O161" s="271"/>
      <c r="Q161" s="293" t="s">
        <v>314</v>
      </c>
      <c r="R161" s="295">
        <v>1.8832580965494981</v>
      </c>
      <c r="S161" s="295">
        <v>-0.61657227555087213</v>
      </c>
      <c r="T161" s="296">
        <v>1</v>
      </c>
      <c r="V161" s="293" t="s">
        <v>326</v>
      </c>
      <c r="W161" s="295">
        <v>-0.74395023330978849</v>
      </c>
      <c r="X161" s="295">
        <v>-0.58694886640448163</v>
      </c>
      <c r="Y161" s="296">
        <v>1</v>
      </c>
      <c r="AA161" s="304" t="s">
        <v>348</v>
      </c>
      <c r="AB161" s="302">
        <v>0.23327541193028459</v>
      </c>
      <c r="AC161" s="302">
        <v>0.28958655804007843</v>
      </c>
      <c r="AD161" s="306">
        <v>1</v>
      </c>
      <c r="AE161" s="306"/>
      <c r="AG161" s="304" t="s">
        <v>316</v>
      </c>
      <c r="AH161" s="302">
        <v>-0.16465997908068913</v>
      </c>
      <c r="AI161" s="302">
        <v>-9.6974650045999103E-2</v>
      </c>
      <c r="AJ161" s="307">
        <v>1</v>
      </c>
    </row>
    <row r="162" spans="1:36">
      <c r="A162" s="268" t="s">
        <v>280</v>
      </c>
      <c r="B162" s="269">
        <v>0.96281979262049577</v>
      </c>
      <c r="C162" s="269">
        <v>-4.7553611002280141</v>
      </c>
      <c r="D162" s="206">
        <v>2</v>
      </c>
      <c r="H162" s="283" t="s">
        <v>294</v>
      </c>
      <c r="I162" s="284">
        <v>-0.1854355341492282</v>
      </c>
      <c r="J162" s="284">
        <v>0.17904171901853597</v>
      </c>
      <c r="K162" s="288">
        <v>2</v>
      </c>
      <c r="L162" s="271"/>
      <c r="M162" s="271"/>
      <c r="N162" s="271"/>
      <c r="O162" s="271"/>
      <c r="Q162" s="293" t="s">
        <v>323</v>
      </c>
      <c r="R162" s="295">
        <v>0.92312929691281453</v>
      </c>
      <c r="S162" s="295">
        <v>-9.8501531737235887E-2</v>
      </c>
      <c r="T162" s="296">
        <v>1</v>
      </c>
      <c r="V162" s="293" t="s">
        <v>336</v>
      </c>
      <c r="W162" s="295">
        <v>-1.5669879891515488</v>
      </c>
      <c r="X162" s="295">
        <v>-0.24929968874400013</v>
      </c>
      <c r="Y162" s="296">
        <v>1</v>
      </c>
      <c r="AA162" s="304" t="s">
        <v>285</v>
      </c>
      <c r="AB162" s="302">
        <v>-0.87079771322023269</v>
      </c>
      <c r="AC162" s="302">
        <v>-1.3575790268402448</v>
      </c>
      <c r="AD162" s="306">
        <v>2</v>
      </c>
      <c r="AE162" s="306"/>
      <c r="AG162" s="304" t="s">
        <v>320</v>
      </c>
      <c r="AH162" s="302">
        <v>-1.1620164067016108</v>
      </c>
      <c r="AI162" s="302">
        <v>-6.6345486943133136E-2</v>
      </c>
      <c r="AJ162" s="307">
        <v>1</v>
      </c>
    </row>
    <row r="163" spans="1:36">
      <c r="A163" s="268" t="s">
        <v>281</v>
      </c>
      <c r="B163" s="269">
        <v>-0.48532664482316235</v>
      </c>
      <c r="C163" s="269">
        <v>1.8963777182999793</v>
      </c>
      <c r="D163" s="206">
        <v>4</v>
      </c>
      <c r="H163" s="283" t="s">
        <v>306</v>
      </c>
      <c r="I163" s="284">
        <v>-0.36269751175821474</v>
      </c>
      <c r="J163" s="284">
        <v>-5.6497923201090594E-2</v>
      </c>
      <c r="K163" s="288">
        <v>2</v>
      </c>
      <c r="L163" s="271"/>
      <c r="M163" s="271"/>
      <c r="N163" s="271"/>
      <c r="O163" s="271"/>
      <c r="Q163" s="293" t="s">
        <v>325</v>
      </c>
      <c r="R163" s="295">
        <v>0.89689255044671046</v>
      </c>
      <c r="S163" s="295">
        <v>-0.5564981783703693</v>
      </c>
      <c r="T163" s="296">
        <v>1</v>
      </c>
      <c r="V163" s="293" t="s">
        <v>337</v>
      </c>
      <c r="W163" s="295">
        <v>-0.47194241629879347</v>
      </c>
      <c r="X163" s="295">
        <v>-5.7009175861415073E-2</v>
      </c>
      <c r="Y163" s="296">
        <v>1</v>
      </c>
      <c r="AA163" s="304" t="s">
        <v>289</v>
      </c>
      <c r="AB163" s="302">
        <v>-0.73306807779064387</v>
      </c>
      <c r="AC163" s="302">
        <v>-1.2326220708139033</v>
      </c>
      <c r="AD163" s="306">
        <v>2</v>
      </c>
      <c r="AE163" s="306"/>
      <c r="AG163" s="304" t="s">
        <v>323</v>
      </c>
      <c r="AH163" s="302">
        <v>-0.55259005149687179</v>
      </c>
      <c r="AI163" s="302">
        <v>-0.48076065394553058</v>
      </c>
      <c r="AJ163" s="307">
        <v>1</v>
      </c>
    </row>
    <row r="164" spans="1:36">
      <c r="A164" s="268" t="s">
        <v>282</v>
      </c>
      <c r="B164" s="269">
        <v>-0.52924279581934619</v>
      </c>
      <c r="C164" s="269">
        <v>0.93210280997852146</v>
      </c>
      <c r="D164" s="206">
        <v>4</v>
      </c>
      <c r="H164" s="283" t="s">
        <v>308</v>
      </c>
      <c r="I164" s="284">
        <v>0.25722699652217695</v>
      </c>
      <c r="J164" s="284">
        <v>-0.20484082621392849</v>
      </c>
      <c r="K164" s="288">
        <v>2</v>
      </c>
      <c r="L164" s="271"/>
      <c r="M164" s="271"/>
      <c r="N164" s="271"/>
      <c r="O164" s="271"/>
      <c r="Q164" s="293" t="s">
        <v>328</v>
      </c>
      <c r="R164" s="295">
        <v>0.72322600461361142</v>
      </c>
      <c r="S164" s="295">
        <v>-0.8604536477137229</v>
      </c>
      <c r="T164" s="296">
        <v>1</v>
      </c>
      <c r="V164" s="293" t="s">
        <v>343</v>
      </c>
      <c r="W164" s="295">
        <v>-0.65369065560722028</v>
      </c>
      <c r="X164" s="295">
        <v>-0.25339290950272947</v>
      </c>
      <c r="Y164" s="296">
        <v>1</v>
      </c>
      <c r="AA164" s="304" t="s">
        <v>297</v>
      </c>
      <c r="AB164" s="302">
        <v>-0.78657463201853839</v>
      </c>
      <c r="AC164" s="302">
        <v>-1.284946910306225</v>
      </c>
      <c r="AD164" s="306">
        <v>2</v>
      </c>
      <c r="AE164" s="306"/>
      <c r="AG164" s="304" t="s">
        <v>324</v>
      </c>
      <c r="AH164" s="302">
        <v>-0.67360864374600249</v>
      </c>
      <c r="AI164" s="302">
        <v>1.493801203940251E-2</v>
      </c>
      <c r="AJ164" s="307">
        <v>1</v>
      </c>
    </row>
    <row r="165" spans="1:36">
      <c r="A165" s="268" t="s">
        <v>283</v>
      </c>
      <c r="B165" s="269">
        <v>-0.35104936105338225</v>
      </c>
      <c r="C165" s="269">
        <v>0.80032821154494027</v>
      </c>
      <c r="D165" s="206">
        <v>4</v>
      </c>
      <c r="H165" s="283" t="s">
        <v>309</v>
      </c>
      <c r="I165" s="284">
        <v>-0.39168033809985148</v>
      </c>
      <c r="J165" s="284">
        <v>-3.4587405710614152E-2</v>
      </c>
      <c r="K165" s="288">
        <v>2</v>
      </c>
      <c r="L165" s="271"/>
      <c r="M165" s="271"/>
      <c r="N165" s="271"/>
      <c r="O165" s="271"/>
      <c r="Q165" s="293" t="s">
        <v>331</v>
      </c>
      <c r="R165" s="295">
        <v>0.64770436317676972</v>
      </c>
      <c r="S165" s="295">
        <v>-0.17144126170212115</v>
      </c>
      <c r="T165" s="296">
        <v>1</v>
      </c>
      <c r="V165" s="293" t="s">
        <v>346</v>
      </c>
      <c r="W165" s="295">
        <v>-0.16850937742986946</v>
      </c>
      <c r="X165" s="295">
        <v>-0.16601203416391094</v>
      </c>
      <c r="Y165" s="296">
        <v>1</v>
      </c>
      <c r="AA165" s="304" t="s">
        <v>300</v>
      </c>
      <c r="AB165" s="302">
        <v>0.15181174882733139</v>
      </c>
      <c r="AC165" s="302">
        <v>-1.7709981633448415</v>
      </c>
      <c r="AD165" s="306">
        <v>2</v>
      </c>
      <c r="AE165" s="306"/>
      <c r="AG165" s="304" t="s">
        <v>325</v>
      </c>
      <c r="AH165" s="302">
        <v>-0.29397361667948574</v>
      </c>
      <c r="AI165" s="302">
        <v>-0.78637416212332634</v>
      </c>
      <c r="AJ165" s="307">
        <v>1</v>
      </c>
    </row>
    <row r="166" spans="1:36">
      <c r="A166" s="268" t="s">
        <v>284</v>
      </c>
      <c r="B166" s="269">
        <v>-0.38826955751306025</v>
      </c>
      <c r="C166" s="269">
        <v>0.45112113830844014</v>
      </c>
      <c r="D166" s="206">
        <v>4</v>
      </c>
      <c r="H166" s="283" t="s">
        <v>311</v>
      </c>
      <c r="I166" s="284">
        <v>-0.21063761047768614</v>
      </c>
      <c r="J166" s="284">
        <v>-3.7812234363291536E-2</v>
      </c>
      <c r="K166" s="288">
        <v>2</v>
      </c>
      <c r="L166" s="271"/>
      <c r="M166" s="271"/>
      <c r="N166" s="271"/>
      <c r="O166" s="271"/>
      <c r="Q166" s="293" t="s">
        <v>338</v>
      </c>
      <c r="R166" s="295">
        <v>1.6056705170788306</v>
      </c>
      <c r="S166" s="295">
        <v>-0.90518136094967316</v>
      </c>
      <c r="T166" s="296">
        <v>1</v>
      </c>
      <c r="V166" s="293" t="s">
        <v>348</v>
      </c>
      <c r="W166" s="295">
        <v>-0.41174067825606686</v>
      </c>
      <c r="X166" s="295">
        <v>7.8671901897058472E-2</v>
      </c>
      <c r="Y166" s="296">
        <v>1</v>
      </c>
      <c r="AA166" s="304" t="s">
        <v>314</v>
      </c>
      <c r="AB166" s="302">
        <v>-0.79728429106607812</v>
      </c>
      <c r="AC166" s="302">
        <v>-1.464215058777294</v>
      </c>
      <c r="AD166" s="306">
        <v>2</v>
      </c>
      <c r="AE166" s="306"/>
      <c r="AG166" s="304" t="s">
        <v>327</v>
      </c>
      <c r="AH166" s="302">
        <v>-0.15087741072062189</v>
      </c>
      <c r="AI166" s="302">
        <v>-0.33596317991568669</v>
      </c>
      <c r="AJ166" s="307">
        <v>1</v>
      </c>
    </row>
    <row r="167" spans="1:36">
      <c r="A167" s="268" t="s">
        <v>285</v>
      </c>
      <c r="B167" s="269">
        <v>2.1016928005327316</v>
      </c>
      <c r="C167" s="269">
        <v>-0.32784773230137498</v>
      </c>
      <c r="D167" s="206">
        <v>1</v>
      </c>
      <c r="H167" s="283" t="s">
        <v>316</v>
      </c>
      <c r="I167" s="284">
        <v>1.3010984636579551E-2</v>
      </c>
      <c r="J167" s="284">
        <v>-7.1492088820078431E-2</v>
      </c>
      <c r="K167" s="288">
        <v>2</v>
      </c>
      <c r="L167" s="271"/>
      <c r="M167" s="271"/>
      <c r="N167" s="271"/>
      <c r="O167" s="271"/>
      <c r="Q167" s="293" t="s">
        <v>341</v>
      </c>
      <c r="R167" s="295">
        <v>0.8086103429632151</v>
      </c>
      <c r="S167" s="295">
        <v>0.1112933883260542</v>
      </c>
      <c r="T167" s="296">
        <v>1</v>
      </c>
      <c r="V167" s="293" t="s">
        <v>349</v>
      </c>
      <c r="W167" s="295">
        <v>-0.65843908115097327</v>
      </c>
      <c r="X167" s="295">
        <v>-0.75454987332689494</v>
      </c>
      <c r="Y167" s="296">
        <v>1</v>
      </c>
      <c r="AA167" s="304" t="s">
        <v>318</v>
      </c>
      <c r="AB167" s="302">
        <v>-0.7259052450957203</v>
      </c>
      <c r="AC167" s="302">
        <v>-1.0358133860264127</v>
      </c>
      <c r="AD167" s="306">
        <v>2</v>
      </c>
      <c r="AE167" s="306"/>
      <c r="AG167" s="304" t="s">
        <v>330</v>
      </c>
      <c r="AH167" s="302">
        <v>-0.59840703031219089</v>
      </c>
      <c r="AI167" s="302">
        <v>-0.27314833281500489</v>
      </c>
      <c r="AJ167" s="307">
        <v>1</v>
      </c>
    </row>
    <row r="168" spans="1:36">
      <c r="A168" s="268" t="s">
        <v>286</v>
      </c>
      <c r="B168" s="269">
        <v>0.29307343975629818</v>
      </c>
      <c r="C168" s="269">
        <v>-0.17038645980682604</v>
      </c>
      <c r="D168" s="206">
        <v>7</v>
      </c>
      <c r="H168" s="283" t="s">
        <v>333</v>
      </c>
      <c r="I168" s="284">
        <v>6.2759846586646545E-2</v>
      </c>
      <c r="J168" s="284">
        <v>-0.30337973464224988</v>
      </c>
      <c r="K168" s="288">
        <v>2</v>
      </c>
      <c r="L168" s="271"/>
      <c r="M168" s="271"/>
      <c r="N168" s="271"/>
      <c r="O168" s="271"/>
      <c r="Q168" s="293" t="s">
        <v>271</v>
      </c>
      <c r="R168" s="295">
        <v>-0.92614254749908309</v>
      </c>
      <c r="S168" s="295">
        <v>0.77680176065732853</v>
      </c>
      <c r="T168" s="296">
        <v>2</v>
      </c>
      <c r="V168" s="293" t="s">
        <v>273</v>
      </c>
      <c r="W168" s="295">
        <v>1.2150067041600144E-2</v>
      </c>
      <c r="X168" s="295">
        <v>0.24194645938294049</v>
      </c>
      <c r="Y168" s="296">
        <v>2</v>
      </c>
      <c r="AA168" s="304" t="s">
        <v>338</v>
      </c>
      <c r="AB168" s="302">
        <v>-0.43187961823046961</v>
      </c>
      <c r="AC168" s="302">
        <v>-1.6351653933383339</v>
      </c>
      <c r="AD168" s="306">
        <v>2</v>
      </c>
      <c r="AE168" s="306"/>
      <c r="AG168" s="304" t="s">
        <v>331</v>
      </c>
      <c r="AH168" s="302">
        <v>-0.41930164612182774</v>
      </c>
      <c r="AI168" s="302">
        <v>-0.35065073975896993</v>
      </c>
      <c r="AJ168" s="307">
        <v>1</v>
      </c>
    </row>
    <row r="169" spans="1:36">
      <c r="A169" s="268" t="s">
        <v>287</v>
      </c>
      <c r="B169" s="269">
        <v>-0.318374362849288</v>
      </c>
      <c r="C169" s="269">
        <v>-4.1097720157032044E-2</v>
      </c>
      <c r="D169" s="206">
        <v>5</v>
      </c>
      <c r="H169" s="283" t="s">
        <v>337</v>
      </c>
      <c r="I169" s="284">
        <v>-0.47194241629879347</v>
      </c>
      <c r="J169" s="284">
        <v>-5.7009175861415073E-2</v>
      </c>
      <c r="K169" s="288">
        <v>2</v>
      </c>
      <c r="L169" s="271"/>
      <c r="M169" s="271"/>
      <c r="N169" s="271"/>
      <c r="O169" s="271"/>
      <c r="Q169" s="293" t="s">
        <v>273</v>
      </c>
      <c r="R169" s="295">
        <v>1.2150067041600144E-2</v>
      </c>
      <c r="S169" s="295">
        <v>0.24194645938294049</v>
      </c>
      <c r="T169" s="296">
        <v>2</v>
      </c>
      <c r="V169" s="293" t="s">
        <v>276</v>
      </c>
      <c r="W169" s="295">
        <v>-1.6078402545490693E-2</v>
      </c>
      <c r="X169" s="295">
        <v>0.61365064390561352</v>
      </c>
      <c r="Y169" s="296">
        <v>2</v>
      </c>
      <c r="AA169" s="304" t="s">
        <v>351</v>
      </c>
      <c r="AB169" s="302">
        <v>-1.17686586283827</v>
      </c>
      <c r="AC169" s="302">
        <v>-2.1431056667695443</v>
      </c>
      <c r="AD169" s="306">
        <v>2</v>
      </c>
      <c r="AE169" s="306"/>
      <c r="AG169" s="304" t="s">
        <v>333</v>
      </c>
      <c r="AH169" s="302">
        <v>1.7948078753961819E-2</v>
      </c>
      <c r="AI169" s="302">
        <v>-0.30041965122295811</v>
      </c>
      <c r="AJ169" s="307">
        <v>1</v>
      </c>
    </row>
    <row r="170" spans="1:36">
      <c r="A170" s="268" t="s">
        <v>288</v>
      </c>
      <c r="B170" s="269">
        <v>-1.4449780679126303</v>
      </c>
      <c r="C170" s="269">
        <v>9.2604128562096821E-2</v>
      </c>
      <c r="D170" s="206">
        <v>6</v>
      </c>
      <c r="H170" s="283" t="s">
        <v>346</v>
      </c>
      <c r="I170" s="284">
        <v>-0.16850937742986946</v>
      </c>
      <c r="J170" s="284">
        <v>-0.16601203416391094</v>
      </c>
      <c r="K170" s="288">
        <v>2</v>
      </c>
      <c r="L170" s="271"/>
      <c r="M170" s="271"/>
      <c r="N170" s="271"/>
      <c r="O170" s="271"/>
      <c r="Q170" s="293" t="s">
        <v>281</v>
      </c>
      <c r="R170" s="295">
        <v>-0.48532664482316235</v>
      </c>
      <c r="S170" s="295">
        <v>1.8963777182999793</v>
      </c>
      <c r="T170" s="296">
        <v>2</v>
      </c>
      <c r="V170" s="293" t="s">
        <v>277</v>
      </c>
      <c r="W170" s="295">
        <v>0.33820098691855244</v>
      </c>
      <c r="X170" s="295">
        <v>0.49600666943754734</v>
      </c>
      <c r="Y170" s="296">
        <v>2</v>
      </c>
      <c r="AA170" s="304" t="s">
        <v>272</v>
      </c>
      <c r="AB170" s="302">
        <v>0.79058352877034876</v>
      </c>
      <c r="AC170" s="302">
        <v>0.74798878588910789</v>
      </c>
      <c r="AD170" s="306">
        <v>3</v>
      </c>
      <c r="AE170" s="306"/>
      <c r="AG170" s="304" t="s">
        <v>335</v>
      </c>
      <c r="AH170" s="302">
        <v>-0.36298232173799749</v>
      </c>
      <c r="AI170" s="302">
        <v>0.14481752289660785</v>
      </c>
      <c r="AJ170" s="307">
        <v>1</v>
      </c>
    </row>
    <row r="171" spans="1:36">
      <c r="A171" s="268" t="s">
        <v>289</v>
      </c>
      <c r="B171" s="269">
        <v>1.729940374128673</v>
      </c>
      <c r="C171" s="269">
        <v>-0.49850143467973385</v>
      </c>
      <c r="D171" s="206">
        <v>7</v>
      </c>
      <c r="H171" s="283" t="s">
        <v>348</v>
      </c>
      <c r="I171" s="284">
        <v>-0.41174067825606686</v>
      </c>
      <c r="J171" s="284">
        <v>7.8671901897058472E-2</v>
      </c>
      <c r="K171" s="288">
        <v>2</v>
      </c>
      <c r="L171" s="271"/>
      <c r="M171" s="271"/>
      <c r="N171" s="271"/>
      <c r="O171" s="271"/>
      <c r="Q171" s="293" t="s">
        <v>282</v>
      </c>
      <c r="R171" s="295">
        <v>-0.52924279581934619</v>
      </c>
      <c r="S171" s="295">
        <v>0.93210280997852146</v>
      </c>
      <c r="T171" s="296">
        <v>2</v>
      </c>
      <c r="V171" s="293" t="s">
        <v>290</v>
      </c>
      <c r="W171" s="295">
        <v>5.4112778576927596E-2</v>
      </c>
      <c r="X171" s="295">
        <v>0.54066044290843662</v>
      </c>
      <c r="Y171" s="296">
        <v>2</v>
      </c>
      <c r="AA171" s="304" t="s">
        <v>288</v>
      </c>
      <c r="AB171" s="302">
        <v>1.0015406709965224</v>
      </c>
      <c r="AC171" s="302">
        <v>0.98006832302496982</v>
      </c>
      <c r="AD171" s="306">
        <v>3</v>
      </c>
      <c r="AE171" s="306"/>
      <c r="AG171" s="304" t="s">
        <v>340</v>
      </c>
      <c r="AH171" s="302">
        <v>-0.4066182503095459</v>
      </c>
      <c r="AI171" s="302">
        <v>-6.0400047882279789E-2</v>
      </c>
      <c r="AJ171" s="307">
        <v>1</v>
      </c>
    </row>
    <row r="172" spans="1:36">
      <c r="A172" s="268" t="s">
        <v>290</v>
      </c>
      <c r="B172" s="269">
        <v>5.4112778576927596E-2</v>
      </c>
      <c r="C172" s="269">
        <v>0.54066044290843662</v>
      </c>
      <c r="D172" s="206">
        <v>7</v>
      </c>
      <c r="H172" s="283" t="s">
        <v>352</v>
      </c>
      <c r="I172" s="284">
        <v>0.12703220156745973</v>
      </c>
      <c r="J172" s="284">
        <v>-0.39426694099348869</v>
      </c>
      <c r="K172" s="288">
        <v>2</v>
      </c>
      <c r="L172" s="271"/>
      <c r="M172" s="271"/>
      <c r="N172" s="271"/>
      <c r="O172" s="271"/>
      <c r="Q172" s="293" t="s">
        <v>283</v>
      </c>
      <c r="R172" s="295">
        <v>-0.35104936105338225</v>
      </c>
      <c r="S172" s="295">
        <v>0.80032821154494027</v>
      </c>
      <c r="T172" s="296">
        <v>2</v>
      </c>
      <c r="V172" s="293" t="s">
        <v>294</v>
      </c>
      <c r="W172" s="295">
        <v>-0.1854355341492282</v>
      </c>
      <c r="X172" s="295">
        <v>0.17904171901853597</v>
      </c>
      <c r="Y172" s="296">
        <v>2</v>
      </c>
      <c r="AA172" s="304" t="s">
        <v>299</v>
      </c>
      <c r="AB172" s="302">
        <v>1.2400512669958057</v>
      </c>
      <c r="AC172" s="302">
        <v>0.28656942891912751</v>
      </c>
      <c r="AD172" s="306">
        <v>3</v>
      </c>
      <c r="AE172" s="306"/>
      <c r="AG172" s="304" t="s">
        <v>341</v>
      </c>
      <c r="AH172" s="302">
        <v>-0.53921967522483771</v>
      </c>
      <c r="AI172" s="302">
        <v>-0.3767139753160289</v>
      </c>
      <c r="AJ172" s="307">
        <v>1</v>
      </c>
    </row>
    <row r="173" spans="1:36">
      <c r="A173" s="268" t="s">
        <v>291</v>
      </c>
      <c r="B173" s="269">
        <v>-0.68467341977940421</v>
      </c>
      <c r="C173" s="269">
        <v>0.96444080885915162</v>
      </c>
      <c r="D173" s="206">
        <v>4</v>
      </c>
      <c r="H173" s="283" t="s">
        <v>270</v>
      </c>
      <c r="I173" s="284">
        <v>-0.68302336053045276</v>
      </c>
      <c r="J173" s="284">
        <v>0.71050364226684515</v>
      </c>
      <c r="K173" s="288">
        <v>3</v>
      </c>
      <c r="L173" s="271"/>
      <c r="M173" s="271"/>
      <c r="N173" s="271"/>
      <c r="O173" s="271"/>
      <c r="Q173" s="293" t="s">
        <v>291</v>
      </c>
      <c r="R173" s="295">
        <v>-0.68467341977940421</v>
      </c>
      <c r="S173" s="295">
        <v>0.96444080885915162</v>
      </c>
      <c r="T173" s="296">
        <v>2</v>
      </c>
      <c r="V173" s="293" t="s">
        <v>310</v>
      </c>
      <c r="W173" s="295">
        <v>0.16443121958165952</v>
      </c>
      <c r="X173" s="295">
        <v>0.64391023856106</v>
      </c>
      <c r="Y173" s="296">
        <v>2</v>
      </c>
      <c r="AA173" s="304" t="s">
        <v>301</v>
      </c>
      <c r="AB173" s="302">
        <v>0.72918590139698258</v>
      </c>
      <c r="AC173" s="302">
        <v>0.60203755166720763</v>
      </c>
      <c r="AD173" s="306">
        <v>3</v>
      </c>
      <c r="AE173" s="306"/>
      <c r="AG173" s="304" t="s">
        <v>344</v>
      </c>
      <c r="AH173" s="302">
        <v>-0.51610250166578775</v>
      </c>
      <c r="AI173" s="302">
        <v>1.2553331004984375E-2</v>
      </c>
      <c r="AJ173" s="307">
        <v>1</v>
      </c>
    </row>
    <row r="174" spans="1:36">
      <c r="A174" s="268" t="s">
        <v>292</v>
      </c>
      <c r="B174" s="269">
        <v>-0.16729151751754429</v>
      </c>
      <c r="C174" s="269">
        <v>1.2610593447827485</v>
      </c>
      <c r="D174" s="206">
        <v>4</v>
      </c>
      <c r="H174" s="283" t="s">
        <v>271</v>
      </c>
      <c r="I174" s="284">
        <v>-0.92614254749908309</v>
      </c>
      <c r="J174" s="284">
        <v>0.77680176065732853</v>
      </c>
      <c r="K174" s="288">
        <v>3</v>
      </c>
      <c r="L174" s="271"/>
      <c r="M174" s="271"/>
      <c r="N174" s="271"/>
      <c r="O174" s="271"/>
      <c r="Q174" s="293" t="s">
        <v>292</v>
      </c>
      <c r="R174" s="295">
        <v>-0.16729151751754429</v>
      </c>
      <c r="S174" s="295">
        <v>1.2610593447827485</v>
      </c>
      <c r="T174" s="296">
        <v>2</v>
      </c>
      <c r="V174" s="293" t="s">
        <v>313</v>
      </c>
      <c r="W174" s="295">
        <v>0.36891789994640045</v>
      </c>
      <c r="X174" s="295">
        <v>0.92496213008077244</v>
      </c>
      <c r="Y174" s="296">
        <v>2</v>
      </c>
      <c r="AA174" s="304" t="s">
        <v>321</v>
      </c>
      <c r="AB174" s="302">
        <v>0.87762677608307582</v>
      </c>
      <c r="AC174" s="302">
        <v>1.0832102283588858</v>
      </c>
      <c r="AD174" s="306">
        <v>3</v>
      </c>
      <c r="AE174" s="306"/>
      <c r="AG174" s="304" t="s">
        <v>345</v>
      </c>
      <c r="AH174" s="302">
        <v>-0.35499981984382156</v>
      </c>
      <c r="AI174" s="302">
        <v>0.11730944566896107</v>
      </c>
      <c r="AJ174" s="307">
        <v>1</v>
      </c>
    </row>
    <row r="175" spans="1:36">
      <c r="A175" s="268" t="s">
        <v>293</v>
      </c>
      <c r="B175" s="269">
        <v>0.57679327393605218</v>
      </c>
      <c r="C175" s="269">
        <v>-0.30231808885321471</v>
      </c>
      <c r="D175" s="206">
        <v>7</v>
      </c>
      <c r="H175" s="283" t="s">
        <v>281</v>
      </c>
      <c r="I175" s="284">
        <v>-0.48532664482316235</v>
      </c>
      <c r="J175" s="284">
        <v>1.8963777182999793</v>
      </c>
      <c r="K175" s="288">
        <v>3</v>
      </c>
      <c r="L175" s="271"/>
      <c r="M175" s="271"/>
      <c r="N175" s="271"/>
      <c r="O175" s="271"/>
      <c r="Q175" s="293" t="s">
        <v>304</v>
      </c>
      <c r="R175" s="295">
        <v>-0.65945593580130513</v>
      </c>
      <c r="S175" s="295">
        <v>0.53319119340522758</v>
      </c>
      <c r="T175" s="296">
        <v>2</v>
      </c>
      <c r="V175" s="293" t="s">
        <v>315</v>
      </c>
      <c r="W175" s="295">
        <v>0.31842677389158502</v>
      </c>
      <c r="X175" s="295">
        <v>1.3568222239238188</v>
      </c>
      <c r="Y175" s="296">
        <v>2</v>
      </c>
      <c r="AA175" s="304" t="s">
        <v>326</v>
      </c>
      <c r="AB175" s="302">
        <v>0.88065318213145261</v>
      </c>
      <c r="AC175" s="302">
        <v>0.2338025479337949</v>
      </c>
      <c r="AD175" s="306">
        <v>3</v>
      </c>
      <c r="AE175" s="306"/>
      <c r="AG175" s="304" t="s">
        <v>347</v>
      </c>
      <c r="AH175" s="302">
        <v>-0.49876748996794334</v>
      </c>
      <c r="AI175" s="302">
        <v>0.19382803288830666</v>
      </c>
      <c r="AJ175" s="307">
        <v>1</v>
      </c>
    </row>
    <row r="176" spans="1:36">
      <c r="A176" s="268" t="s">
        <v>294</v>
      </c>
      <c r="B176" s="269">
        <v>-0.1854355341492282</v>
      </c>
      <c r="C176" s="269">
        <v>0.17904171901853597</v>
      </c>
      <c r="D176" s="206">
        <v>5</v>
      </c>
      <c r="H176" s="283" t="s">
        <v>282</v>
      </c>
      <c r="I176" s="284">
        <v>-0.52924279581934619</v>
      </c>
      <c r="J176" s="284">
        <v>0.93210280997852146</v>
      </c>
      <c r="K176" s="288">
        <v>3</v>
      </c>
      <c r="L176" s="271"/>
      <c r="M176" s="271"/>
      <c r="N176" s="271"/>
      <c r="O176" s="271"/>
      <c r="Q176" s="293" t="s">
        <v>305</v>
      </c>
      <c r="R176" s="295">
        <v>-0.32426004968955108</v>
      </c>
      <c r="S176" s="295">
        <v>0.81512009778660988</v>
      </c>
      <c r="T176" s="296">
        <v>2</v>
      </c>
      <c r="V176" s="293" t="s">
        <v>317</v>
      </c>
      <c r="W176" s="295">
        <v>0.26247666877664366</v>
      </c>
      <c r="X176" s="295">
        <v>1.0498866289616577</v>
      </c>
      <c r="Y176" s="296">
        <v>2</v>
      </c>
      <c r="AA176" s="304" t="s">
        <v>336</v>
      </c>
      <c r="AB176" s="302">
        <v>1.3144228074563784</v>
      </c>
      <c r="AC176" s="302">
        <v>0.83446588494493323</v>
      </c>
      <c r="AD176" s="306">
        <v>3</v>
      </c>
      <c r="AE176" s="306"/>
      <c r="AG176" s="304" t="s">
        <v>350</v>
      </c>
      <c r="AH176" s="302">
        <v>-0.36682838037648707</v>
      </c>
      <c r="AI176" s="302">
        <v>-8.5213244737700547E-2</v>
      </c>
      <c r="AJ176" s="307">
        <v>1</v>
      </c>
    </row>
    <row r="177" spans="1:36">
      <c r="A177" s="268" t="s">
        <v>295</v>
      </c>
      <c r="B177" s="269">
        <v>-0.34986602269780964</v>
      </c>
      <c r="C177" s="269">
        <v>1.1177608079990411</v>
      </c>
      <c r="D177" s="206">
        <v>5</v>
      </c>
      <c r="H177" s="283" t="s">
        <v>283</v>
      </c>
      <c r="I177" s="284">
        <v>-0.35104936105338225</v>
      </c>
      <c r="J177" s="284">
        <v>0.80032821154494027</v>
      </c>
      <c r="K177" s="288">
        <v>3</v>
      </c>
      <c r="L177" s="271"/>
      <c r="M177" s="271"/>
      <c r="N177" s="271"/>
      <c r="O177" s="271"/>
      <c r="Q177" s="293" t="s">
        <v>307</v>
      </c>
      <c r="R177" s="295">
        <v>-0.41375132862549491</v>
      </c>
      <c r="S177" s="295">
        <v>1.1658020576053612</v>
      </c>
      <c r="T177" s="296">
        <v>2</v>
      </c>
      <c r="V177" s="293" t="s">
        <v>320</v>
      </c>
      <c r="W177" s="295">
        <v>1.2449821091177646</v>
      </c>
      <c r="X177" s="295">
        <v>1.2500740127821388</v>
      </c>
      <c r="Y177" s="296">
        <v>2</v>
      </c>
      <c r="AA177" s="304" t="s">
        <v>343</v>
      </c>
      <c r="AB177" s="302">
        <v>0.47803147429678572</v>
      </c>
      <c r="AC177" s="302">
        <v>0.45363932430539305</v>
      </c>
      <c r="AD177" s="306">
        <v>3</v>
      </c>
      <c r="AE177" s="306"/>
      <c r="AG177" s="304" t="s">
        <v>352</v>
      </c>
      <c r="AH177" s="302">
        <v>1.2809539512048759E-2</v>
      </c>
      <c r="AI177" s="302">
        <v>-0.28094001498696397</v>
      </c>
      <c r="AJ177" s="307">
        <v>1</v>
      </c>
    </row>
    <row r="178" spans="1:36">
      <c r="A178" s="268" t="s">
        <v>296</v>
      </c>
      <c r="B178" s="269">
        <v>0.97493628898955165</v>
      </c>
      <c r="C178" s="269">
        <v>-0.52676090862852065</v>
      </c>
      <c r="D178" s="206">
        <v>7</v>
      </c>
      <c r="H178" s="283" t="s">
        <v>291</v>
      </c>
      <c r="I178" s="284">
        <v>-0.68467341977940421</v>
      </c>
      <c r="J178" s="284">
        <v>0.96444080885915162</v>
      </c>
      <c r="K178" s="288">
        <v>3</v>
      </c>
      <c r="L178" s="271"/>
      <c r="M178" s="271"/>
      <c r="N178" s="271"/>
      <c r="O178" s="271"/>
      <c r="Q178" s="293" t="s">
        <v>310</v>
      </c>
      <c r="R178" s="295">
        <v>0.16443121958165952</v>
      </c>
      <c r="S178" s="295">
        <v>0.64391023856106</v>
      </c>
      <c r="T178" s="296">
        <v>2</v>
      </c>
      <c r="V178" s="293" t="s">
        <v>324</v>
      </c>
      <c r="W178" s="295">
        <v>0.49726383204057012</v>
      </c>
      <c r="X178" s="295">
        <v>0.34363529892959965</v>
      </c>
      <c r="Y178" s="296">
        <v>2</v>
      </c>
      <c r="AA178" s="304" t="s">
        <v>349</v>
      </c>
      <c r="AB178" s="302">
        <v>0.81028984568778351</v>
      </c>
      <c r="AC178" s="302">
        <v>-0.15672945775482311</v>
      </c>
      <c r="AD178" s="306">
        <v>3</v>
      </c>
      <c r="AE178" s="306"/>
      <c r="AG178" s="304" t="s">
        <v>273</v>
      </c>
      <c r="AH178" s="302">
        <v>-8.9119810673757766E-2</v>
      </c>
      <c r="AI178" s="302">
        <v>0.11179639989172215</v>
      </c>
      <c r="AJ178" s="307">
        <v>2</v>
      </c>
    </row>
    <row r="179" spans="1:36">
      <c r="A179" s="268" t="s">
        <v>297</v>
      </c>
      <c r="B179" s="269">
        <v>1.4395658363140249</v>
      </c>
      <c r="C179" s="269">
        <v>-0.30848258554336028</v>
      </c>
      <c r="D179" s="206">
        <v>7</v>
      </c>
      <c r="H179" s="283" t="s">
        <v>292</v>
      </c>
      <c r="I179" s="284">
        <v>-0.16729151751754429</v>
      </c>
      <c r="J179" s="284">
        <v>1.2610593447827485</v>
      </c>
      <c r="K179" s="288">
        <v>3</v>
      </c>
      <c r="L179" s="271"/>
      <c r="M179" s="271"/>
      <c r="N179" s="271"/>
      <c r="O179" s="271"/>
      <c r="Q179" s="293" t="s">
        <v>312</v>
      </c>
      <c r="R179" s="295">
        <v>-1.0605544616470557</v>
      </c>
      <c r="S179" s="295">
        <v>0.72872141224169495</v>
      </c>
      <c r="T179" s="296">
        <v>2</v>
      </c>
      <c r="V179" s="293" t="s">
        <v>330</v>
      </c>
      <c r="W179" s="295">
        <v>0.41894522895485448</v>
      </c>
      <c r="X179" s="295">
        <v>0.26928079732523602</v>
      </c>
      <c r="Y179" s="296">
        <v>2</v>
      </c>
      <c r="AA179" s="304" t="s">
        <v>277</v>
      </c>
      <c r="AB179" s="302">
        <v>-0.54185207836917237</v>
      </c>
      <c r="AC179" s="302">
        <v>0.15189894281162353</v>
      </c>
      <c r="AD179" s="306">
        <v>4</v>
      </c>
      <c r="AE179" s="306"/>
      <c r="AG179" s="304" t="s">
        <v>284</v>
      </c>
      <c r="AH179" s="302">
        <v>-0.10394890266884078</v>
      </c>
      <c r="AI179" s="302">
        <v>0.52785114680889056</v>
      </c>
      <c r="AJ179" s="307">
        <v>2</v>
      </c>
    </row>
    <row r="180" spans="1:36">
      <c r="A180" s="268" t="s">
        <v>298</v>
      </c>
      <c r="B180" s="269">
        <v>0.89348547526359789</v>
      </c>
      <c r="C180" s="269">
        <v>2.704492275511363E-2</v>
      </c>
      <c r="D180" s="206">
        <v>7</v>
      </c>
      <c r="H180" s="283" t="s">
        <v>295</v>
      </c>
      <c r="I180" s="284">
        <v>-0.34986602269780964</v>
      </c>
      <c r="J180" s="284">
        <v>1.1177608079990411</v>
      </c>
      <c r="K180" s="288">
        <v>3</v>
      </c>
      <c r="L180" s="271"/>
      <c r="M180" s="271"/>
      <c r="N180" s="271"/>
      <c r="O180" s="271"/>
      <c r="Q180" s="293" t="s">
        <v>313</v>
      </c>
      <c r="R180" s="295">
        <v>0.36891789994640045</v>
      </c>
      <c r="S180" s="295">
        <v>0.92496213008077244</v>
      </c>
      <c r="T180" s="296">
        <v>2</v>
      </c>
      <c r="V180" s="293" t="s">
        <v>332</v>
      </c>
      <c r="W180" s="295">
        <v>-0.19496999628164027</v>
      </c>
      <c r="X180" s="295">
        <v>0.48796129978427788</v>
      </c>
      <c r="Y180" s="296">
        <v>2</v>
      </c>
      <c r="AA180" s="304" t="s">
        <v>310</v>
      </c>
      <c r="AB180" s="302">
        <v>-0.49589350567880308</v>
      </c>
      <c r="AC180" s="302">
        <v>0.21738163977052516</v>
      </c>
      <c r="AD180" s="306">
        <v>4</v>
      </c>
      <c r="AE180" s="306"/>
      <c r="AG180" s="304" t="s">
        <v>287</v>
      </c>
      <c r="AH180" s="302">
        <v>0.11533952265455763</v>
      </c>
      <c r="AI180" s="302">
        <v>-9.6234457451758598E-2</v>
      </c>
      <c r="AJ180" s="307">
        <v>2</v>
      </c>
    </row>
    <row r="181" spans="1:36">
      <c r="A181" s="268" t="s">
        <v>299</v>
      </c>
      <c r="B181" s="269">
        <v>-0.88911062369306804</v>
      </c>
      <c r="C181" s="269">
        <v>-0.54877663704302182</v>
      </c>
      <c r="D181" s="206">
        <v>6</v>
      </c>
      <c r="H181" s="283" t="s">
        <v>304</v>
      </c>
      <c r="I181" s="284">
        <v>-0.65945593580130513</v>
      </c>
      <c r="J181" s="284">
        <v>0.53319119340522758</v>
      </c>
      <c r="K181" s="288">
        <v>3</v>
      </c>
      <c r="L181" s="271"/>
      <c r="M181" s="271"/>
      <c r="N181" s="271"/>
      <c r="O181" s="271"/>
      <c r="Q181" s="293" t="s">
        <v>315</v>
      </c>
      <c r="R181" s="295">
        <v>0.31842677389158502</v>
      </c>
      <c r="S181" s="295">
        <v>1.3568222239238188</v>
      </c>
      <c r="T181" s="296">
        <v>2</v>
      </c>
      <c r="V181" s="293" t="s">
        <v>335</v>
      </c>
      <c r="W181" s="295">
        <v>0.29698020447087331</v>
      </c>
      <c r="X181" s="295">
        <v>0.27968024922970758</v>
      </c>
      <c r="Y181" s="296">
        <v>2</v>
      </c>
      <c r="AA181" s="304" t="s">
        <v>313</v>
      </c>
      <c r="AB181" s="302">
        <v>-0.85026456640818671</v>
      </c>
      <c r="AC181" s="302">
        <v>0.39623852075782362</v>
      </c>
      <c r="AD181" s="306">
        <v>4</v>
      </c>
      <c r="AE181" s="306"/>
      <c r="AG181" s="304" t="s">
        <v>294</v>
      </c>
      <c r="AH181" s="302">
        <v>-5.5939346466515515E-2</v>
      </c>
      <c r="AI181" s="302">
        <v>0.14808415904548797</v>
      </c>
      <c r="AJ181" s="307">
        <v>2</v>
      </c>
    </row>
    <row r="182" spans="1:36">
      <c r="A182" s="268" t="s">
        <v>300</v>
      </c>
      <c r="B182" s="269">
        <v>1.2934335741622118</v>
      </c>
      <c r="C182" s="269">
        <v>-1.7339610608620482</v>
      </c>
      <c r="D182" s="206">
        <v>7</v>
      </c>
      <c r="H182" s="283" t="s">
        <v>305</v>
      </c>
      <c r="I182" s="284">
        <v>-0.32426004968955108</v>
      </c>
      <c r="J182" s="284">
        <v>0.81512009778660988</v>
      </c>
      <c r="K182" s="288">
        <v>3</v>
      </c>
      <c r="L182" s="271"/>
      <c r="M182" s="271"/>
      <c r="N182" s="271"/>
      <c r="O182" s="271"/>
      <c r="Q182" s="293" t="s">
        <v>317</v>
      </c>
      <c r="R182" s="295">
        <v>0.26247666877664366</v>
      </c>
      <c r="S182" s="295">
        <v>1.0498866289616577</v>
      </c>
      <c r="T182" s="296">
        <v>2</v>
      </c>
      <c r="V182" s="293" t="s">
        <v>339</v>
      </c>
      <c r="W182" s="295">
        <v>-0.16317693096208374</v>
      </c>
      <c r="X182" s="295">
        <v>0.39977989433818162</v>
      </c>
      <c r="Y182" s="296">
        <v>2</v>
      </c>
      <c r="AA182" s="304" t="s">
        <v>315</v>
      </c>
      <c r="AB182" s="302">
        <v>-0.75655269664103209</v>
      </c>
      <c r="AC182" s="302">
        <v>0.49300251609350881</v>
      </c>
      <c r="AD182" s="306">
        <v>4</v>
      </c>
      <c r="AE182" s="306"/>
      <c r="AG182" s="304" t="s">
        <v>304</v>
      </c>
      <c r="AH182" s="302">
        <v>8.6655908263776643E-2</v>
      </c>
      <c r="AI182" s="302">
        <v>0.68421042878290372</v>
      </c>
      <c r="AJ182" s="307">
        <v>2</v>
      </c>
    </row>
    <row r="183" spans="1:36">
      <c r="A183" s="268" t="s">
        <v>301</v>
      </c>
      <c r="B183" s="269">
        <v>-0.9231846783284714</v>
      </c>
      <c r="C183" s="269">
        <v>-0.1568985565660376</v>
      </c>
      <c r="D183" s="206">
        <v>6</v>
      </c>
      <c r="H183" s="283" t="s">
        <v>307</v>
      </c>
      <c r="I183" s="284">
        <v>-0.41375132862549491</v>
      </c>
      <c r="J183" s="284">
        <v>1.1658020576053612</v>
      </c>
      <c r="K183" s="288">
        <v>3</v>
      </c>
      <c r="L183" s="271"/>
      <c r="M183" s="271"/>
      <c r="N183" s="271"/>
      <c r="O183" s="271"/>
      <c r="Q183" s="293" t="s">
        <v>320</v>
      </c>
      <c r="R183" s="295">
        <v>1.2449821091177646</v>
      </c>
      <c r="S183" s="295">
        <v>1.2500740127821388</v>
      </c>
      <c r="T183" s="296">
        <v>2</v>
      </c>
      <c r="V183" s="293" t="s">
        <v>344</v>
      </c>
      <c r="W183" s="295">
        <v>0.32025018871457267</v>
      </c>
      <c r="X183" s="295">
        <v>0.4606849685317011</v>
      </c>
      <c r="Y183" s="296">
        <v>2</v>
      </c>
      <c r="AA183" s="304" t="s">
        <v>317</v>
      </c>
      <c r="AB183" s="302">
        <v>-0.72892822121547196</v>
      </c>
      <c r="AC183" s="302">
        <v>0.39193431682269342</v>
      </c>
      <c r="AD183" s="306">
        <v>4</v>
      </c>
      <c r="AE183" s="306"/>
      <c r="AG183" s="304" t="s">
        <v>306</v>
      </c>
      <c r="AH183" s="302">
        <v>0.2872563941386353</v>
      </c>
      <c r="AI183" s="302">
        <v>0.25316770172592307</v>
      </c>
      <c r="AJ183" s="307">
        <v>2</v>
      </c>
    </row>
    <row r="184" spans="1:36">
      <c r="A184" s="268" t="s">
        <v>302</v>
      </c>
      <c r="B184" s="269">
        <v>-1.4555521054958924</v>
      </c>
      <c r="C184" s="269">
        <v>-1.6099056437636912</v>
      </c>
      <c r="D184" s="206">
        <v>3</v>
      </c>
      <c r="H184" s="283" t="s">
        <v>312</v>
      </c>
      <c r="I184" s="284">
        <v>-1.0605544616470557</v>
      </c>
      <c r="J184" s="284">
        <v>0.72872141224169495</v>
      </c>
      <c r="K184" s="288">
        <v>3</v>
      </c>
      <c r="L184" s="271"/>
      <c r="M184" s="271"/>
      <c r="N184" s="271"/>
      <c r="O184" s="271"/>
      <c r="Q184" s="293" t="s">
        <v>322</v>
      </c>
      <c r="R184" s="295">
        <v>-1.1585940839303204</v>
      </c>
      <c r="S184" s="295">
        <v>0.52081779384099725</v>
      </c>
      <c r="T184" s="296">
        <v>2</v>
      </c>
      <c r="V184" s="293" t="s">
        <v>345</v>
      </c>
      <c r="W184" s="295">
        <v>0.12979954898566595</v>
      </c>
      <c r="X184" s="295">
        <v>0.80747881613885342</v>
      </c>
      <c r="Y184" s="296">
        <v>2</v>
      </c>
      <c r="AA184" s="304" t="s">
        <v>320</v>
      </c>
      <c r="AB184" s="302">
        <v>-1.1620164067016108</v>
      </c>
      <c r="AC184" s="302">
        <v>-6.6345486943133136E-2</v>
      </c>
      <c r="AD184" s="306">
        <v>4</v>
      </c>
      <c r="AE184" s="306"/>
      <c r="AG184" s="304" t="s">
        <v>309</v>
      </c>
      <c r="AH184" s="302">
        <v>0.10380338291087092</v>
      </c>
      <c r="AI184" s="302">
        <v>0.28923821759140128</v>
      </c>
      <c r="AJ184" s="307">
        <v>2</v>
      </c>
    </row>
    <row r="185" spans="1:36">
      <c r="A185" s="268" t="s">
        <v>304</v>
      </c>
      <c r="B185" s="269">
        <v>-0.65945593580130513</v>
      </c>
      <c r="C185" s="269">
        <v>0.53319119340522758</v>
      </c>
      <c r="D185" s="206">
        <v>4</v>
      </c>
      <c r="H185" s="283" t="s">
        <v>322</v>
      </c>
      <c r="I185" s="284">
        <v>-1.1585940839303204</v>
      </c>
      <c r="J185" s="284">
        <v>0.52081779384099725</v>
      </c>
      <c r="K185" s="288">
        <v>3</v>
      </c>
      <c r="L185" s="271"/>
      <c r="M185" s="271"/>
      <c r="N185" s="271"/>
      <c r="O185" s="271"/>
      <c r="Q185" s="293" t="s">
        <v>329</v>
      </c>
      <c r="R185" s="295">
        <v>7.375141447159872E-2</v>
      </c>
      <c r="S185" s="295">
        <v>1.4939118607635409</v>
      </c>
      <c r="T185" s="296">
        <v>2</v>
      </c>
      <c r="V185" s="293" t="s">
        <v>347</v>
      </c>
      <c r="W185" s="295">
        <v>0.12634343449439428</v>
      </c>
      <c r="X185" s="295">
        <v>0.51442995585066453</v>
      </c>
      <c r="Y185" s="296">
        <v>2</v>
      </c>
      <c r="AA185" s="304" t="s">
        <v>324</v>
      </c>
      <c r="AB185" s="302">
        <v>-0.67360864374600249</v>
      </c>
      <c r="AC185" s="302">
        <v>1.493801203940251E-2</v>
      </c>
      <c r="AD185" s="306">
        <v>4</v>
      </c>
      <c r="AE185" s="306"/>
      <c r="AG185" s="304" t="s">
        <v>311</v>
      </c>
      <c r="AH185" s="302">
        <v>2.6720359327504967E-2</v>
      </c>
      <c r="AI185" s="302">
        <v>5.1855904965029009E-2</v>
      </c>
      <c r="AJ185" s="307">
        <v>2</v>
      </c>
    </row>
    <row r="186" spans="1:36">
      <c r="A186" s="268" t="s">
        <v>305</v>
      </c>
      <c r="B186" s="269">
        <v>-0.32426004968955108</v>
      </c>
      <c r="C186" s="269">
        <v>0.81512009778660988</v>
      </c>
      <c r="D186" s="206">
        <v>4</v>
      </c>
      <c r="H186" s="283" t="s">
        <v>355</v>
      </c>
      <c r="I186" s="284">
        <v>-0.62558043335484814</v>
      </c>
      <c r="J186" s="284">
        <v>0.43587121206339352</v>
      </c>
      <c r="K186" s="288">
        <v>3</v>
      </c>
      <c r="L186" s="271"/>
      <c r="M186" s="271"/>
      <c r="N186" s="271"/>
      <c r="O186" s="271"/>
      <c r="Q186" s="293" t="s">
        <v>332</v>
      </c>
      <c r="R186" s="295">
        <v>-0.19496999628164027</v>
      </c>
      <c r="S186" s="295">
        <v>0.48796129978427788</v>
      </c>
      <c r="T186" s="296">
        <v>2</v>
      </c>
      <c r="V186" s="293" t="s">
        <v>350</v>
      </c>
      <c r="W186" s="295">
        <v>0.22345815276371622</v>
      </c>
      <c r="X186" s="295">
        <v>0.17463465513735948</v>
      </c>
      <c r="Y186" s="296">
        <v>2</v>
      </c>
      <c r="AA186" s="304" t="s">
        <v>335</v>
      </c>
      <c r="AB186" s="302">
        <v>-0.36298232173799749</v>
      </c>
      <c r="AC186" s="302">
        <v>0.14481752289660785</v>
      </c>
      <c r="AD186" s="306">
        <v>4</v>
      </c>
      <c r="AE186" s="306"/>
      <c r="AG186" s="304" t="s">
        <v>332</v>
      </c>
      <c r="AH186" s="302">
        <v>-0.11211465116360947</v>
      </c>
      <c r="AI186" s="302">
        <v>0.19708823508447099</v>
      </c>
      <c r="AJ186" s="307">
        <v>2</v>
      </c>
    </row>
    <row r="187" spans="1:36">
      <c r="A187" s="268" t="s">
        <v>306</v>
      </c>
      <c r="B187" s="269">
        <v>-0.36269751175821474</v>
      </c>
      <c r="C187" s="269">
        <v>-5.6497923201090594E-2</v>
      </c>
      <c r="D187" s="206">
        <v>5</v>
      </c>
      <c r="H187" s="283" t="s">
        <v>272</v>
      </c>
      <c r="I187" s="284">
        <v>-1.2270999878536024</v>
      </c>
      <c r="J187" s="284">
        <v>-5.7894323128173497E-2</v>
      </c>
      <c r="K187" s="288">
        <v>4</v>
      </c>
      <c r="L187" s="271"/>
      <c r="M187" s="271"/>
      <c r="N187" s="271"/>
      <c r="O187" s="271"/>
      <c r="Q187" s="293" t="s">
        <v>339</v>
      </c>
      <c r="R187" s="295">
        <v>-0.16317693096208374</v>
      </c>
      <c r="S187" s="295">
        <v>0.39977989433818162</v>
      </c>
      <c r="T187" s="296">
        <v>2</v>
      </c>
      <c r="V187" s="293" t="s">
        <v>270</v>
      </c>
      <c r="W187" s="295">
        <v>-0.68302336053045276</v>
      </c>
      <c r="X187" s="295">
        <v>0.71050364226684515</v>
      </c>
      <c r="Y187" s="296">
        <v>3</v>
      </c>
      <c r="AA187" s="304" t="s">
        <v>340</v>
      </c>
      <c r="AB187" s="302">
        <v>-0.4066182503095459</v>
      </c>
      <c r="AC187" s="302">
        <v>-6.0400047882279789E-2</v>
      </c>
      <c r="AD187" s="306">
        <v>4</v>
      </c>
      <c r="AE187" s="306"/>
      <c r="AG187" s="304" t="s">
        <v>337</v>
      </c>
      <c r="AH187" s="302">
        <v>0.15340828202585571</v>
      </c>
      <c r="AI187" s="302">
        <v>0.32951726359117373</v>
      </c>
      <c r="AJ187" s="307">
        <v>2</v>
      </c>
    </row>
    <row r="188" spans="1:36">
      <c r="A188" s="268" t="s">
        <v>307</v>
      </c>
      <c r="B188" s="269">
        <v>-0.41375132862549491</v>
      </c>
      <c r="C188" s="269">
        <v>1.1658020576053612</v>
      </c>
      <c r="D188" s="206">
        <v>4</v>
      </c>
      <c r="H188" s="283" t="s">
        <v>288</v>
      </c>
      <c r="I188" s="284">
        <v>-1.4449780679126303</v>
      </c>
      <c r="J188" s="284">
        <v>9.2604128562096821E-2</v>
      </c>
      <c r="K188" s="288">
        <v>4</v>
      </c>
      <c r="L188" s="271"/>
      <c r="M188" s="271"/>
      <c r="N188" s="271"/>
      <c r="O188" s="271"/>
      <c r="Q188" s="293" t="s">
        <v>342</v>
      </c>
      <c r="R188" s="295">
        <v>-0.28672534970712132</v>
      </c>
      <c r="S188" s="295">
        <v>0.56269526972261086</v>
      </c>
      <c r="T188" s="296">
        <v>2</v>
      </c>
      <c r="V188" s="293" t="s">
        <v>271</v>
      </c>
      <c r="W188" s="295">
        <v>-0.92614254749908309</v>
      </c>
      <c r="X188" s="295">
        <v>0.77680176065732853</v>
      </c>
      <c r="Y188" s="296">
        <v>3</v>
      </c>
      <c r="AA188" s="304" t="s">
        <v>344</v>
      </c>
      <c r="AB188" s="302">
        <v>-0.51610250166578775</v>
      </c>
      <c r="AC188" s="302">
        <v>1.2553331004984375E-2</v>
      </c>
      <c r="AD188" s="306">
        <v>4</v>
      </c>
      <c r="AE188" s="306"/>
      <c r="AG188" s="304" t="s">
        <v>339</v>
      </c>
      <c r="AH188" s="302">
        <v>-0.10555239348844631</v>
      </c>
      <c r="AI188" s="302">
        <v>0.34960788327969616</v>
      </c>
      <c r="AJ188" s="307">
        <v>2</v>
      </c>
    </row>
    <row r="189" spans="1:36">
      <c r="A189" s="268" t="s">
        <v>308</v>
      </c>
      <c r="B189" s="269">
        <v>0.25722699652217695</v>
      </c>
      <c r="C189" s="269">
        <v>-0.20484082621392849</v>
      </c>
      <c r="D189" s="206">
        <v>7</v>
      </c>
      <c r="H189" s="283" t="s">
        <v>299</v>
      </c>
      <c r="I189" s="284">
        <v>-0.88911062369306804</v>
      </c>
      <c r="J189" s="284">
        <v>-0.54877663704302182</v>
      </c>
      <c r="K189" s="288">
        <v>4</v>
      </c>
      <c r="L189" s="271"/>
      <c r="M189" s="271"/>
      <c r="N189" s="271"/>
      <c r="O189" s="271"/>
      <c r="Q189" s="293" t="s">
        <v>344</v>
      </c>
      <c r="R189" s="295">
        <v>0.32025018871457267</v>
      </c>
      <c r="S189" s="295">
        <v>0.4606849685317011</v>
      </c>
      <c r="T189" s="296">
        <v>2</v>
      </c>
      <c r="V189" s="293" t="s">
        <v>278</v>
      </c>
      <c r="W189" s="295">
        <v>-0.23684745505431254</v>
      </c>
      <c r="X189" s="295">
        <v>0.7046265835101243</v>
      </c>
      <c r="Y189" s="296">
        <v>3</v>
      </c>
      <c r="AA189" s="304" t="s">
        <v>345</v>
      </c>
      <c r="AB189" s="302">
        <v>-0.35499981984382156</v>
      </c>
      <c r="AC189" s="302">
        <v>0.11730944566896107</v>
      </c>
      <c r="AD189" s="306">
        <v>4</v>
      </c>
      <c r="AE189" s="306"/>
      <c r="AG189" s="304" t="s">
        <v>343</v>
      </c>
      <c r="AH189" s="302">
        <v>0.47803147429678572</v>
      </c>
      <c r="AI189" s="302">
        <v>0.45363932430539305</v>
      </c>
      <c r="AJ189" s="307">
        <v>2</v>
      </c>
    </row>
    <row r="190" spans="1:36">
      <c r="A190" s="268" t="s">
        <v>309</v>
      </c>
      <c r="B190" s="269">
        <v>-0.39168033809985148</v>
      </c>
      <c r="C190" s="269">
        <v>-3.4587405710614152E-2</v>
      </c>
      <c r="D190" s="206">
        <v>4</v>
      </c>
      <c r="H190" s="283" t="s">
        <v>301</v>
      </c>
      <c r="I190" s="284">
        <v>-0.9231846783284714</v>
      </c>
      <c r="J190" s="284">
        <v>-0.1568985565660376</v>
      </c>
      <c r="K190" s="288">
        <v>4</v>
      </c>
      <c r="L190" s="271"/>
      <c r="M190" s="271"/>
      <c r="N190" s="271"/>
      <c r="O190" s="271"/>
      <c r="Q190" s="293" t="s">
        <v>355</v>
      </c>
      <c r="R190" s="295">
        <v>-0.62558043335484814</v>
      </c>
      <c r="S190" s="295">
        <v>0.43587121206339352</v>
      </c>
      <c r="T190" s="296">
        <v>2</v>
      </c>
      <c r="V190" s="293" t="s">
        <v>281</v>
      </c>
      <c r="W190" s="295">
        <v>-0.48532664482316235</v>
      </c>
      <c r="X190" s="295">
        <v>1.8963777182999793</v>
      </c>
      <c r="Y190" s="296">
        <v>3</v>
      </c>
      <c r="AA190" s="304" t="s">
        <v>347</v>
      </c>
      <c r="AB190" s="302">
        <v>-0.49876748996794334</v>
      </c>
      <c r="AC190" s="302">
        <v>0.19382803288830666</v>
      </c>
      <c r="AD190" s="306">
        <v>4</v>
      </c>
      <c r="AE190" s="306"/>
      <c r="AG190" s="304" t="s">
        <v>346</v>
      </c>
      <c r="AH190" s="302">
        <v>0.1018538299199819</v>
      </c>
      <c r="AI190" s="302">
        <v>2.6135792256813027E-2</v>
      </c>
      <c r="AJ190" s="307">
        <v>2</v>
      </c>
    </row>
    <row r="191" spans="1:36">
      <c r="A191" s="268" t="s">
        <v>310</v>
      </c>
      <c r="B191" s="269">
        <v>0.16443121958165952</v>
      </c>
      <c r="C191" s="269">
        <v>0.64391023856106</v>
      </c>
      <c r="D191" s="206">
        <v>4</v>
      </c>
      <c r="H191" s="283" t="s">
        <v>321</v>
      </c>
      <c r="I191" s="284">
        <v>-1.7465284351683674</v>
      </c>
      <c r="J191" s="284">
        <v>0.19250875829998629</v>
      </c>
      <c r="K191" s="288">
        <v>4</v>
      </c>
      <c r="L191" s="271"/>
      <c r="M191" s="271"/>
      <c r="N191" s="271"/>
      <c r="O191" s="271"/>
      <c r="Q191" s="293" t="s">
        <v>270</v>
      </c>
      <c r="R191" s="295">
        <v>-0.68302336053045276</v>
      </c>
      <c r="S191" s="295">
        <v>0.71050364226684515</v>
      </c>
      <c r="T191" s="296">
        <v>3</v>
      </c>
      <c r="V191" s="293" t="s">
        <v>282</v>
      </c>
      <c r="W191" s="295">
        <v>-0.52924279581934619</v>
      </c>
      <c r="X191" s="295">
        <v>0.93210280997852146</v>
      </c>
      <c r="Y191" s="296">
        <v>3</v>
      </c>
      <c r="AA191" s="304" t="s">
        <v>350</v>
      </c>
      <c r="AB191" s="302">
        <v>-0.36682838037648707</v>
      </c>
      <c r="AC191" s="302">
        <v>-8.5213244737700547E-2</v>
      </c>
      <c r="AD191" s="306">
        <v>4</v>
      </c>
      <c r="AE191" s="306"/>
      <c r="AG191" s="304" t="s">
        <v>348</v>
      </c>
      <c r="AH191" s="302">
        <v>0.23327541193028459</v>
      </c>
      <c r="AI191" s="302">
        <v>0.28958655804007843</v>
      </c>
      <c r="AJ191" s="307">
        <v>2</v>
      </c>
    </row>
    <row r="192" spans="1:36">
      <c r="A192" s="268" t="s">
        <v>311</v>
      </c>
      <c r="B192" s="269">
        <v>-0.21063761047768614</v>
      </c>
      <c r="C192" s="269">
        <v>-3.7812234363291536E-2</v>
      </c>
      <c r="D192" s="206">
        <v>5</v>
      </c>
      <c r="H192" s="283" t="s">
        <v>326</v>
      </c>
      <c r="I192" s="284">
        <v>-0.74395023330978849</v>
      </c>
      <c r="J192" s="284">
        <v>-0.58694886640448163</v>
      </c>
      <c r="K192" s="288">
        <v>4</v>
      </c>
      <c r="L192" s="271"/>
      <c r="M192" s="271"/>
      <c r="N192" s="271"/>
      <c r="O192" s="271"/>
      <c r="Q192" s="293" t="s">
        <v>276</v>
      </c>
      <c r="R192" s="295">
        <v>-1.6078402545490693E-2</v>
      </c>
      <c r="S192" s="295">
        <v>0.61365064390561352</v>
      </c>
      <c r="T192" s="296">
        <v>3</v>
      </c>
      <c r="V192" s="293" t="s">
        <v>283</v>
      </c>
      <c r="W192" s="295">
        <v>-0.35104936105338225</v>
      </c>
      <c r="X192" s="295">
        <v>0.80032821154494027</v>
      </c>
      <c r="Y192" s="296">
        <v>3</v>
      </c>
      <c r="AA192" s="304" t="s">
        <v>274</v>
      </c>
      <c r="AB192" s="302">
        <v>-0.17194133930383831</v>
      </c>
      <c r="AC192" s="302">
        <v>-1.0012087352330716</v>
      </c>
      <c r="AD192" s="306">
        <v>5</v>
      </c>
      <c r="AE192" s="306"/>
      <c r="AG192" s="304" t="s">
        <v>349</v>
      </c>
      <c r="AH192" s="302">
        <v>0.81028984568778351</v>
      </c>
      <c r="AI192" s="302">
        <v>-0.15672945775482311</v>
      </c>
      <c r="AJ192" s="307">
        <v>2</v>
      </c>
    </row>
    <row r="193" spans="1:36">
      <c r="A193" s="268" t="s">
        <v>312</v>
      </c>
      <c r="B193" s="269">
        <v>-1.0605544616470557</v>
      </c>
      <c r="C193" s="269">
        <v>0.72872141224169495</v>
      </c>
      <c r="D193" s="206">
        <v>4</v>
      </c>
      <c r="H193" s="283" t="s">
        <v>336</v>
      </c>
      <c r="I193" s="284">
        <v>-1.5669879891515488</v>
      </c>
      <c r="J193" s="284">
        <v>-0.24929968874400013</v>
      </c>
      <c r="K193" s="288">
        <v>4</v>
      </c>
      <c r="L193" s="271"/>
      <c r="M193" s="271"/>
      <c r="N193" s="271"/>
      <c r="O193" s="271"/>
      <c r="Q193" s="293" t="s">
        <v>277</v>
      </c>
      <c r="R193" s="295">
        <v>0.33820098691855244</v>
      </c>
      <c r="S193" s="295">
        <v>0.49600666943754734</v>
      </c>
      <c r="T193" s="296">
        <v>3</v>
      </c>
      <c r="V193" s="293" t="s">
        <v>284</v>
      </c>
      <c r="W193" s="295">
        <v>-0.38826955751306025</v>
      </c>
      <c r="X193" s="295">
        <v>0.45112113830844014</v>
      </c>
      <c r="Y193" s="296">
        <v>3</v>
      </c>
      <c r="AA193" s="304" t="s">
        <v>275</v>
      </c>
      <c r="AB193" s="302">
        <v>-0.38849176077921294</v>
      </c>
      <c r="AC193" s="302">
        <v>-0.53253982233248742</v>
      </c>
      <c r="AD193" s="306">
        <v>5</v>
      </c>
      <c r="AE193" s="306"/>
      <c r="AG193" s="304" t="s">
        <v>355</v>
      </c>
      <c r="AH193" s="302">
        <v>0.15399538588792039</v>
      </c>
      <c r="AI193" s="302">
        <v>0.60521757756953565</v>
      </c>
      <c r="AJ193" s="307">
        <v>2</v>
      </c>
    </row>
    <row r="194" spans="1:36">
      <c r="A194" s="268" t="s">
        <v>313</v>
      </c>
      <c r="B194" s="269">
        <v>0.36891789994640045</v>
      </c>
      <c r="C194" s="269">
        <v>0.92496213008077244</v>
      </c>
      <c r="D194" s="206">
        <v>4</v>
      </c>
      <c r="H194" s="283" t="s">
        <v>343</v>
      </c>
      <c r="I194" s="284">
        <v>-0.65369065560722028</v>
      </c>
      <c r="J194" s="284">
        <v>-0.25339290950272947</v>
      </c>
      <c r="K194" s="288">
        <v>4</v>
      </c>
      <c r="L194" s="271"/>
      <c r="M194" s="271"/>
      <c r="N194" s="271"/>
      <c r="O194" s="271"/>
      <c r="Q194" s="293" t="s">
        <v>278</v>
      </c>
      <c r="R194" s="295">
        <v>-0.23684745505431254</v>
      </c>
      <c r="S194" s="295">
        <v>0.7046265835101243</v>
      </c>
      <c r="T194" s="296">
        <v>3</v>
      </c>
      <c r="V194" s="293" t="s">
        <v>291</v>
      </c>
      <c r="W194" s="295">
        <v>-0.68467341977940421</v>
      </c>
      <c r="X194" s="295">
        <v>0.96444080885915162</v>
      </c>
      <c r="Y194" s="296">
        <v>3</v>
      </c>
      <c r="AA194" s="304" t="s">
        <v>279</v>
      </c>
      <c r="AB194" s="302">
        <v>-0.15111573761358915</v>
      </c>
      <c r="AC194" s="302">
        <v>-0.42197622310556893</v>
      </c>
      <c r="AD194" s="306">
        <v>5</v>
      </c>
      <c r="AE194" s="306"/>
      <c r="AG194" s="304" t="s">
        <v>270</v>
      </c>
      <c r="AH194" s="302">
        <v>-0.13451451232488276</v>
      </c>
      <c r="AI194" s="302">
        <v>0.89377730053213045</v>
      </c>
      <c r="AJ194" s="307">
        <v>3</v>
      </c>
    </row>
    <row r="195" spans="1:36">
      <c r="A195" s="268" t="s">
        <v>314</v>
      </c>
      <c r="B195" s="269">
        <v>1.8832580965494981</v>
      </c>
      <c r="C195" s="269">
        <v>-0.61657227555087213</v>
      </c>
      <c r="D195" s="206">
        <v>7</v>
      </c>
      <c r="H195" s="283" t="s">
        <v>349</v>
      </c>
      <c r="I195" s="284">
        <v>-0.65843908115097327</v>
      </c>
      <c r="J195" s="284">
        <v>-0.75454987332689494</v>
      </c>
      <c r="K195" s="288">
        <v>4</v>
      </c>
      <c r="L195" s="271"/>
      <c r="M195" s="271"/>
      <c r="N195" s="271"/>
      <c r="O195" s="271"/>
      <c r="Q195" s="293" t="s">
        <v>284</v>
      </c>
      <c r="R195" s="295">
        <v>-0.38826955751306025</v>
      </c>
      <c r="S195" s="295">
        <v>0.45112113830844014</v>
      </c>
      <c r="T195" s="296">
        <v>3</v>
      </c>
      <c r="V195" s="293" t="s">
        <v>292</v>
      </c>
      <c r="W195" s="295">
        <v>-0.16729151751754429</v>
      </c>
      <c r="X195" s="295">
        <v>1.2610593447827485</v>
      </c>
      <c r="Y195" s="296">
        <v>3</v>
      </c>
      <c r="AA195" s="304" t="s">
        <v>286</v>
      </c>
      <c r="AB195" s="302">
        <v>-0.11443173247445947</v>
      </c>
      <c r="AC195" s="302">
        <v>-0.27850479167278203</v>
      </c>
      <c r="AD195" s="306">
        <v>5</v>
      </c>
      <c r="AE195" s="306"/>
      <c r="AG195" s="304" t="s">
        <v>276</v>
      </c>
      <c r="AH195" s="302">
        <v>-0.4724740896956573</v>
      </c>
      <c r="AI195" s="302">
        <v>0.38255119173808305</v>
      </c>
      <c r="AJ195" s="307">
        <v>3</v>
      </c>
    </row>
    <row r="196" spans="1:36">
      <c r="A196" s="268" t="s">
        <v>315</v>
      </c>
      <c r="B196" s="269">
        <v>0.31842677389158502</v>
      </c>
      <c r="C196" s="269">
        <v>1.3568222239238188</v>
      </c>
      <c r="D196" s="206">
        <v>4</v>
      </c>
      <c r="H196" s="283" t="s">
        <v>274</v>
      </c>
      <c r="I196" s="284">
        <v>0.95419538499667966</v>
      </c>
      <c r="J196" s="284">
        <v>-0.8035224435647651</v>
      </c>
      <c r="K196" s="288">
        <v>5</v>
      </c>
      <c r="L196" s="271"/>
      <c r="M196" s="271"/>
      <c r="N196" s="271"/>
      <c r="O196" s="271"/>
      <c r="Q196" s="293" t="s">
        <v>286</v>
      </c>
      <c r="R196" s="295">
        <v>0.29307343975629818</v>
      </c>
      <c r="S196" s="295">
        <v>-0.17038645980682604</v>
      </c>
      <c r="T196" s="296">
        <v>3</v>
      </c>
      <c r="V196" s="293" t="s">
        <v>295</v>
      </c>
      <c r="W196" s="295">
        <v>-0.34986602269780964</v>
      </c>
      <c r="X196" s="295">
        <v>1.1177608079990411</v>
      </c>
      <c r="Y196" s="296">
        <v>3</v>
      </c>
      <c r="AA196" s="304" t="s">
        <v>293</v>
      </c>
      <c r="AB196" s="302">
        <v>-0.18125232865637222</v>
      </c>
      <c r="AC196" s="302">
        <v>-0.57956194601559274</v>
      </c>
      <c r="AD196" s="306">
        <v>5</v>
      </c>
      <c r="AE196" s="306"/>
      <c r="AG196" s="304" t="s">
        <v>278</v>
      </c>
      <c r="AH196" s="302">
        <v>-0.42827118311882084</v>
      </c>
      <c r="AI196" s="302">
        <v>0.48425112828308814</v>
      </c>
      <c r="AJ196" s="307">
        <v>3</v>
      </c>
    </row>
    <row r="197" spans="1:36">
      <c r="A197" s="268" t="s">
        <v>316</v>
      </c>
      <c r="B197" s="269">
        <v>1.3010984636579551E-2</v>
      </c>
      <c r="C197" s="269">
        <v>-7.1492088820078431E-2</v>
      </c>
      <c r="D197" s="206">
        <v>5</v>
      </c>
      <c r="H197" s="283" t="s">
        <v>275</v>
      </c>
      <c r="I197" s="284">
        <v>0.64016186034313138</v>
      </c>
      <c r="J197" s="284">
        <v>-0.37488435258881508</v>
      </c>
      <c r="K197" s="288">
        <v>5</v>
      </c>
      <c r="L197" s="271"/>
      <c r="M197" s="271"/>
      <c r="N197" s="271"/>
      <c r="O197" s="271"/>
      <c r="Q197" s="293" t="s">
        <v>287</v>
      </c>
      <c r="R197" s="295">
        <v>-0.318374362849288</v>
      </c>
      <c r="S197" s="295">
        <v>-4.1097720157032044E-2</v>
      </c>
      <c r="T197" s="296">
        <v>3</v>
      </c>
      <c r="V197" s="293" t="s">
        <v>304</v>
      </c>
      <c r="W197" s="295">
        <v>-0.65945593580130513</v>
      </c>
      <c r="X197" s="295">
        <v>0.53319119340522758</v>
      </c>
      <c r="Y197" s="296">
        <v>3</v>
      </c>
      <c r="AA197" s="304" t="s">
        <v>296</v>
      </c>
      <c r="AB197" s="302">
        <v>-0.24709135883320335</v>
      </c>
      <c r="AC197" s="302">
        <v>-0.78129522214936309</v>
      </c>
      <c r="AD197" s="306">
        <v>5</v>
      </c>
      <c r="AE197" s="306"/>
      <c r="AG197" s="304" t="s">
        <v>281</v>
      </c>
      <c r="AH197" s="302">
        <v>-0.78152501018729892</v>
      </c>
      <c r="AI197" s="302">
        <v>1.4836983388613088</v>
      </c>
      <c r="AJ197" s="307">
        <v>3</v>
      </c>
    </row>
    <row r="198" spans="1:36">
      <c r="A198" s="268" t="s">
        <v>317</v>
      </c>
      <c r="B198" s="269">
        <v>0.26247666877664366</v>
      </c>
      <c r="C198" s="269">
        <v>1.0498866289616577</v>
      </c>
      <c r="D198" s="206">
        <v>4</v>
      </c>
      <c r="H198" s="283" t="s">
        <v>279</v>
      </c>
      <c r="I198" s="284">
        <v>0.51170261896111424</v>
      </c>
      <c r="J198" s="284">
        <v>-0.10498910077533605</v>
      </c>
      <c r="K198" s="288">
        <v>5</v>
      </c>
      <c r="L198" s="271"/>
      <c r="M198" s="271"/>
      <c r="N198" s="271"/>
      <c r="O198" s="271"/>
      <c r="Q198" s="293" t="s">
        <v>290</v>
      </c>
      <c r="R198" s="295">
        <v>5.4112778576927596E-2</v>
      </c>
      <c r="S198" s="295">
        <v>0.54066044290843662</v>
      </c>
      <c r="T198" s="296">
        <v>3</v>
      </c>
      <c r="V198" s="293" t="s">
        <v>305</v>
      </c>
      <c r="W198" s="295">
        <v>-0.32426004968955108</v>
      </c>
      <c r="X198" s="295">
        <v>0.81512009778660988</v>
      </c>
      <c r="Y198" s="296">
        <v>3</v>
      </c>
      <c r="AA198" s="304" t="s">
        <v>298</v>
      </c>
      <c r="AB198" s="302">
        <v>-0.56989889793253101</v>
      </c>
      <c r="AC198" s="302">
        <v>-0.44314094694650352</v>
      </c>
      <c r="AD198" s="306">
        <v>5</v>
      </c>
      <c r="AE198" s="306"/>
      <c r="AG198" s="304" t="s">
        <v>282</v>
      </c>
      <c r="AH198" s="302">
        <v>-0.12671423524950598</v>
      </c>
      <c r="AI198" s="302">
        <v>0.89831443314952231</v>
      </c>
      <c r="AJ198" s="307">
        <v>3</v>
      </c>
    </row>
    <row r="199" spans="1:36">
      <c r="A199" s="268" t="s">
        <v>318</v>
      </c>
      <c r="B199" s="269">
        <v>1.5900207776688355</v>
      </c>
      <c r="C199" s="269">
        <v>-0.16828258056050027</v>
      </c>
      <c r="D199" s="206">
        <v>1</v>
      </c>
      <c r="H199" s="283" t="s">
        <v>293</v>
      </c>
      <c r="I199" s="284">
        <v>0.57679327393605218</v>
      </c>
      <c r="J199" s="284">
        <v>-0.30231808885321471</v>
      </c>
      <c r="K199" s="288">
        <v>5</v>
      </c>
      <c r="L199" s="271"/>
      <c r="M199" s="271"/>
      <c r="N199" s="271"/>
      <c r="O199" s="271"/>
      <c r="Q199" s="293" t="s">
        <v>294</v>
      </c>
      <c r="R199" s="295">
        <v>-0.1854355341492282</v>
      </c>
      <c r="S199" s="295">
        <v>0.17904171901853597</v>
      </c>
      <c r="T199" s="296">
        <v>3</v>
      </c>
      <c r="V199" s="293" t="s">
        <v>307</v>
      </c>
      <c r="W199" s="295">
        <v>-0.41375132862549491</v>
      </c>
      <c r="X199" s="295">
        <v>1.1658020576053612</v>
      </c>
      <c r="Y199" s="296">
        <v>3</v>
      </c>
      <c r="AA199" s="304" t="s">
        <v>308</v>
      </c>
      <c r="AB199" s="302">
        <v>-0.22014196453994933</v>
      </c>
      <c r="AC199" s="302">
        <v>-0.23223457413964091</v>
      </c>
      <c r="AD199" s="306">
        <v>5</v>
      </c>
      <c r="AE199" s="306"/>
      <c r="AG199" s="304" t="s">
        <v>283</v>
      </c>
      <c r="AH199" s="302">
        <v>-0.28619267566762907</v>
      </c>
      <c r="AI199" s="302">
        <v>0.6358856912681573</v>
      </c>
      <c r="AJ199" s="307">
        <v>3</v>
      </c>
    </row>
    <row r="200" spans="1:36">
      <c r="A200" s="268" t="s">
        <v>320</v>
      </c>
      <c r="B200" s="269">
        <v>1.2449821091177646</v>
      </c>
      <c r="C200" s="269">
        <v>1.2500740127821388</v>
      </c>
      <c r="D200" s="206">
        <v>6</v>
      </c>
      <c r="H200" s="283" t="s">
        <v>296</v>
      </c>
      <c r="I200" s="284">
        <v>0.97493628898955165</v>
      </c>
      <c r="J200" s="284">
        <v>-0.52676090862852065</v>
      </c>
      <c r="K200" s="288">
        <v>5</v>
      </c>
      <c r="L200" s="271"/>
      <c r="M200" s="271"/>
      <c r="N200" s="271"/>
      <c r="O200" s="271"/>
      <c r="Q200" s="293" t="s">
        <v>295</v>
      </c>
      <c r="R200" s="295">
        <v>-0.34986602269780964</v>
      </c>
      <c r="S200" s="295">
        <v>1.1177608079990411</v>
      </c>
      <c r="T200" s="296">
        <v>3</v>
      </c>
      <c r="V200" s="293" t="s">
        <v>312</v>
      </c>
      <c r="W200" s="295">
        <v>-1.0605544616470557</v>
      </c>
      <c r="X200" s="295">
        <v>0.72872141224169495</v>
      </c>
      <c r="Y200" s="296">
        <v>3</v>
      </c>
      <c r="AA200" s="304" t="s">
        <v>316</v>
      </c>
      <c r="AB200" s="302">
        <v>-0.16465997908068913</v>
      </c>
      <c r="AC200" s="302">
        <v>-9.6974650045999103E-2</v>
      </c>
      <c r="AD200" s="306">
        <v>5</v>
      </c>
      <c r="AE200" s="306"/>
      <c r="AG200" s="304" t="s">
        <v>290</v>
      </c>
      <c r="AH200" s="302">
        <v>-0.41784106204887256</v>
      </c>
      <c r="AI200" s="302">
        <v>0.36104639685150308</v>
      </c>
      <c r="AJ200" s="307">
        <v>3</v>
      </c>
    </row>
    <row r="201" spans="1:36">
      <c r="A201" s="268" t="s">
        <v>321</v>
      </c>
      <c r="B201" s="269">
        <v>-1.7465284351683674</v>
      </c>
      <c r="C201" s="269">
        <v>0.19250875829998629</v>
      </c>
      <c r="D201" s="206">
        <v>5</v>
      </c>
      <c r="H201" s="283" t="s">
        <v>298</v>
      </c>
      <c r="I201" s="284">
        <v>0.89348547526359789</v>
      </c>
      <c r="J201" s="284">
        <v>2.704492275511363E-2</v>
      </c>
      <c r="K201" s="288">
        <v>5</v>
      </c>
      <c r="L201" s="271"/>
      <c r="M201" s="271"/>
      <c r="N201" s="271"/>
      <c r="O201" s="271"/>
      <c r="Q201" s="293" t="s">
        <v>306</v>
      </c>
      <c r="R201" s="295">
        <v>-0.36269751175821474</v>
      </c>
      <c r="S201" s="295">
        <v>-5.6497923201090594E-2</v>
      </c>
      <c r="T201" s="296">
        <v>3</v>
      </c>
      <c r="V201" s="293" t="s">
        <v>322</v>
      </c>
      <c r="W201" s="295">
        <v>-1.1585940839303204</v>
      </c>
      <c r="X201" s="295">
        <v>0.52081779384099725</v>
      </c>
      <c r="Y201" s="296">
        <v>3</v>
      </c>
      <c r="AA201" s="304" t="s">
        <v>323</v>
      </c>
      <c r="AB201" s="302">
        <v>-0.55259005149687179</v>
      </c>
      <c r="AC201" s="302">
        <v>-0.48076065394553058</v>
      </c>
      <c r="AD201" s="306">
        <v>5</v>
      </c>
      <c r="AE201" s="306"/>
      <c r="AG201" s="304" t="s">
        <v>291</v>
      </c>
      <c r="AH201" s="302">
        <v>-0.11736768132177426</v>
      </c>
      <c r="AI201" s="302">
        <v>0.96486952516322799</v>
      </c>
      <c r="AJ201" s="307">
        <v>3</v>
      </c>
    </row>
    <row r="202" spans="1:36">
      <c r="A202" s="268" t="s">
        <v>322</v>
      </c>
      <c r="B202" s="269">
        <v>-1.1585940839303204</v>
      </c>
      <c r="C202" s="269">
        <v>0.52081779384099725</v>
      </c>
      <c r="D202" s="206">
        <v>5</v>
      </c>
      <c r="H202" s="283" t="s">
        <v>300</v>
      </c>
      <c r="I202" s="284">
        <v>1.2934335741622118</v>
      </c>
      <c r="J202" s="284">
        <v>-1.7339610608620482</v>
      </c>
      <c r="K202" s="288">
        <v>5</v>
      </c>
      <c r="L202" s="271"/>
      <c r="M202" s="271"/>
      <c r="N202" s="271"/>
      <c r="O202" s="271"/>
      <c r="Q202" s="293" t="s">
        <v>308</v>
      </c>
      <c r="R202" s="295">
        <v>0.25722699652217695</v>
      </c>
      <c r="S202" s="295">
        <v>-0.20484082621392849</v>
      </c>
      <c r="T202" s="296">
        <v>3</v>
      </c>
      <c r="V202" s="293" t="s">
        <v>329</v>
      </c>
      <c r="W202" s="295">
        <v>7.375141447159872E-2</v>
      </c>
      <c r="X202" s="295">
        <v>1.4939118607635409</v>
      </c>
      <c r="Y202" s="296">
        <v>3</v>
      </c>
      <c r="AA202" s="304" t="s">
        <v>325</v>
      </c>
      <c r="AB202" s="302">
        <v>-0.29397361667948574</v>
      </c>
      <c r="AC202" s="302">
        <v>-0.78637416212332634</v>
      </c>
      <c r="AD202" s="306">
        <v>5</v>
      </c>
      <c r="AE202" s="306"/>
      <c r="AG202" s="304" t="s">
        <v>292</v>
      </c>
      <c r="AH202" s="302">
        <v>-0.64775395089259924</v>
      </c>
      <c r="AI202" s="302">
        <v>0.87515307946599441</v>
      </c>
      <c r="AJ202" s="307">
        <v>3</v>
      </c>
    </row>
    <row r="203" spans="1:36">
      <c r="A203" s="268" t="s">
        <v>323</v>
      </c>
      <c r="B203" s="269">
        <v>0.92312929691281453</v>
      </c>
      <c r="C203" s="269">
        <v>-9.8501531737235887E-2</v>
      </c>
      <c r="D203" s="206">
        <v>7</v>
      </c>
      <c r="H203" s="283" t="s">
        <v>323</v>
      </c>
      <c r="I203" s="284">
        <v>0.92312929691281453</v>
      </c>
      <c r="J203" s="284">
        <v>-9.8501531737235887E-2</v>
      </c>
      <c r="K203" s="288">
        <v>5</v>
      </c>
      <c r="L203" s="271"/>
      <c r="M203" s="271"/>
      <c r="N203" s="271"/>
      <c r="O203" s="271"/>
      <c r="Q203" s="293" t="s">
        <v>309</v>
      </c>
      <c r="R203" s="295">
        <v>-0.39168033809985148</v>
      </c>
      <c r="S203" s="295">
        <v>-3.4587405710614152E-2</v>
      </c>
      <c r="T203" s="296">
        <v>3</v>
      </c>
      <c r="V203" s="293" t="s">
        <v>342</v>
      </c>
      <c r="W203" s="295">
        <v>-0.28672534970712132</v>
      </c>
      <c r="X203" s="295">
        <v>0.56269526972261086</v>
      </c>
      <c r="Y203" s="296">
        <v>3</v>
      </c>
      <c r="AA203" s="304" t="s">
        <v>327</v>
      </c>
      <c r="AB203" s="302">
        <v>-0.15087741072062189</v>
      </c>
      <c r="AC203" s="302">
        <v>-0.33596317991568669</v>
      </c>
      <c r="AD203" s="306">
        <v>5</v>
      </c>
      <c r="AE203" s="306"/>
      <c r="AG203" s="304" t="s">
        <v>295</v>
      </c>
      <c r="AH203" s="302">
        <v>-0.6293968689451459</v>
      </c>
      <c r="AI203" s="302">
        <v>0.93513214266637501</v>
      </c>
      <c r="AJ203" s="307">
        <v>3</v>
      </c>
    </row>
    <row r="204" spans="1:36">
      <c r="A204" s="268" t="s">
        <v>324</v>
      </c>
      <c r="B204" s="269">
        <v>0.49726383204057012</v>
      </c>
      <c r="C204" s="269">
        <v>0.34363529892959965</v>
      </c>
      <c r="D204" s="206">
        <v>5</v>
      </c>
      <c r="H204" s="283" t="s">
        <v>325</v>
      </c>
      <c r="I204" s="284">
        <v>0.89689255044671046</v>
      </c>
      <c r="J204" s="284">
        <v>-0.5564981783703693</v>
      </c>
      <c r="K204" s="288">
        <v>5</v>
      </c>
      <c r="L204" s="271"/>
      <c r="M204" s="271"/>
      <c r="N204" s="271"/>
      <c r="O204" s="271"/>
      <c r="Q204" s="293" t="s">
        <v>311</v>
      </c>
      <c r="R204" s="295">
        <v>-0.21063761047768614</v>
      </c>
      <c r="S204" s="295">
        <v>-3.7812234363291536E-2</v>
      </c>
      <c r="T204" s="296">
        <v>3</v>
      </c>
      <c r="V204" s="293" t="s">
        <v>355</v>
      </c>
      <c r="W204" s="295">
        <v>-0.62558043335484814</v>
      </c>
      <c r="X204" s="295">
        <v>0.43587121206339352</v>
      </c>
      <c r="Y204" s="296">
        <v>3</v>
      </c>
      <c r="AA204" s="304" t="s">
        <v>328</v>
      </c>
      <c r="AB204" s="302">
        <v>-3.5550638338124878E-2</v>
      </c>
      <c r="AC204" s="302">
        <v>-1.0602908524109591</v>
      </c>
      <c r="AD204" s="306">
        <v>5</v>
      </c>
      <c r="AE204" s="306"/>
      <c r="AG204" s="304" t="s">
        <v>305</v>
      </c>
      <c r="AH204" s="302">
        <v>-0.35944540310941886</v>
      </c>
      <c r="AI204" s="302">
        <v>0.59762510918128431</v>
      </c>
      <c r="AJ204" s="307">
        <v>3</v>
      </c>
    </row>
    <row r="205" spans="1:36">
      <c r="A205" s="268" t="s">
        <v>325</v>
      </c>
      <c r="B205" s="269">
        <v>0.89689255044671046</v>
      </c>
      <c r="C205" s="269">
        <v>-0.5564981783703693</v>
      </c>
      <c r="D205" s="206">
        <v>7</v>
      </c>
      <c r="H205" s="283" t="s">
        <v>327</v>
      </c>
      <c r="I205" s="284">
        <v>0.79789907308724883</v>
      </c>
      <c r="J205" s="284">
        <v>0.16747489543875849</v>
      </c>
      <c r="K205" s="288">
        <v>5</v>
      </c>
      <c r="L205" s="271"/>
      <c r="M205" s="271"/>
      <c r="N205" s="271"/>
      <c r="O205" s="271"/>
      <c r="Q205" s="293" t="s">
        <v>316</v>
      </c>
      <c r="R205" s="295">
        <v>1.3010984636579551E-2</v>
      </c>
      <c r="S205" s="295">
        <v>-7.1492088820078431E-2</v>
      </c>
      <c r="T205" s="296">
        <v>3</v>
      </c>
      <c r="V205" s="293" t="s">
        <v>274</v>
      </c>
      <c r="W205" s="295">
        <v>0.95419538499667966</v>
      </c>
      <c r="X205" s="295">
        <v>-0.8035224435647651</v>
      </c>
      <c r="Y205" s="296">
        <v>4</v>
      </c>
      <c r="AA205" s="304" t="s">
        <v>330</v>
      </c>
      <c r="AB205" s="302">
        <v>-0.59840703031219089</v>
      </c>
      <c r="AC205" s="302">
        <v>-0.27314833281500489</v>
      </c>
      <c r="AD205" s="306">
        <v>5</v>
      </c>
      <c r="AE205" s="306"/>
      <c r="AG205" s="304" t="s">
        <v>307</v>
      </c>
      <c r="AH205" s="302">
        <v>-0.3557876883273583</v>
      </c>
      <c r="AI205" s="302">
        <v>0.73045917804048932</v>
      </c>
      <c r="AJ205" s="307">
        <v>3</v>
      </c>
    </row>
    <row r="206" spans="1:36">
      <c r="A206" s="268" t="s">
        <v>326</v>
      </c>
      <c r="B206" s="269">
        <v>-0.74395023330978849</v>
      </c>
      <c r="C206" s="269">
        <v>-0.58694886640448163</v>
      </c>
      <c r="D206" s="206">
        <v>5</v>
      </c>
      <c r="H206" s="283" t="s">
        <v>328</v>
      </c>
      <c r="I206" s="284">
        <v>0.72322600461361142</v>
      </c>
      <c r="J206" s="284">
        <v>-0.8604536477137229</v>
      </c>
      <c r="K206" s="288">
        <v>5</v>
      </c>
      <c r="L206" s="271"/>
      <c r="M206" s="271"/>
      <c r="N206" s="271"/>
      <c r="O206" s="271"/>
      <c r="Q206" s="293" t="s">
        <v>324</v>
      </c>
      <c r="R206" s="295">
        <v>0.49726383204057012</v>
      </c>
      <c r="S206" s="295">
        <v>0.34363529892959965</v>
      </c>
      <c r="T206" s="296">
        <v>3</v>
      </c>
      <c r="V206" s="293" t="s">
        <v>275</v>
      </c>
      <c r="W206" s="295">
        <v>0.64016186034313138</v>
      </c>
      <c r="X206" s="295">
        <v>-0.37488435258881508</v>
      </c>
      <c r="Y206" s="296">
        <v>4</v>
      </c>
      <c r="AA206" s="304" t="s">
        <v>331</v>
      </c>
      <c r="AB206" s="302">
        <v>-0.41930164612182774</v>
      </c>
      <c r="AC206" s="302">
        <v>-0.35065073975896993</v>
      </c>
      <c r="AD206" s="306">
        <v>5</v>
      </c>
      <c r="AE206" s="306"/>
      <c r="AG206" s="304" t="s">
        <v>313</v>
      </c>
      <c r="AH206" s="302">
        <v>-0.85026456640818671</v>
      </c>
      <c r="AI206" s="302">
        <v>0.39623852075782362</v>
      </c>
      <c r="AJ206" s="307">
        <v>3</v>
      </c>
    </row>
    <row r="207" spans="1:36">
      <c r="A207" s="268" t="s">
        <v>327</v>
      </c>
      <c r="B207" s="269">
        <v>0.79789907308724883</v>
      </c>
      <c r="C207" s="269">
        <v>0.16747489543875849</v>
      </c>
      <c r="D207" s="206">
        <v>6</v>
      </c>
      <c r="H207" s="283" t="s">
        <v>331</v>
      </c>
      <c r="I207" s="284">
        <v>0.64770436317676972</v>
      </c>
      <c r="J207" s="284">
        <v>-0.17144126170212115</v>
      </c>
      <c r="K207" s="288">
        <v>5</v>
      </c>
      <c r="L207" s="271"/>
      <c r="M207" s="271"/>
      <c r="N207" s="271"/>
      <c r="O207" s="271"/>
      <c r="Q207" s="293" t="s">
        <v>330</v>
      </c>
      <c r="R207" s="295">
        <v>0.41894522895485448</v>
      </c>
      <c r="S207" s="295">
        <v>0.26928079732523602</v>
      </c>
      <c r="T207" s="296">
        <v>3</v>
      </c>
      <c r="V207" s="293" t="s">
        <v>279</v>
      </c>
      <c r="W207" s="295">
        <v>0.51170261896111424</v>
      </c>
      <c r="X207" s="295">
        <v>-0.10498910077533605</v>
      </c>
      <c r="Y207" s="296">
        <v>4</v>
      </c>
      <c r="AA207" s="304" t="s">
        <v>333</v>
      </c>
      <c r="AB207" s="302">
        <v>1.7948078753961819E-2</v>
      </c>
      <c r="AC207" s="302">
        <v>-0.30041965122295811</v>
      </c>
      <c r="AD207" s="306">
        <v>5</v>
      </c>
      <c r="AE207" s="306"/>
      <c r="AG207" s="304" t="s">
        <v>315</v>
      </c>
      <c r="AH207" s="302">
        <v>-0.75655269664103209</v>
      </c>
      <c r="AI207" s="302">
        <v>0.49300251609350881</v>
      </c>
      <c r="AJ207" s="307">
        <v>3</v>
      </c>
    </row>
    <row r="208" spans="1:36">
      <c r="A208" s="268" t="s">
        <v>328</v>
      </c>
      <c r="B208" s="269">
        <v>0.72322600461361142</v>
      </c>
      <c r="C208" s="269">
        <v>-0.8604536477137229</v>
      </c>
      <c r="D208" s="206">
        <v>7</v>
      </c>
      <c r="H208" s="283" t="s">
        <v>341</v>
      </c>
      <c r="I208" s="284">
        <v>0.8086103429632151</v>
      </c>
      <c r="J208" s="284">
        <v>0.1112933883260542</v>
      </c>
      <c r="K208" s="288">
        <v>5</v>
      </c>
      <c r="L208" s="271"/>
      <c r="M208" s="271"/>
      <c r="N208" s="271"/>
      <c r="O208" s="271"/>
      <c r="Q208" s="293" t="s">
        <v>333</v>
      </c>
      <c r="R208" s="295">
        <v>6.2759846586646545E-2</v>
      </c>
      <c r="S208" s="295">
        <v>-0.30337973464224988</v>
      </c>
      <c r="T208" s="296">
        <v>3</v>
      </c>
      <c r="V208" s="293" t="s">
        <v>286</v>
      </c>
      <c r="W208" s="295">
        <v>0.29307343975629818</v>
      </c>
      <c r="X208" s="295">
        <v>-0.17038645980682604</v>
      </c>
      <c r="Y208" s="296">
        <v>4</v>
      </c>
      <c r="AA208" s="304" t="s">
        <v>341</v>
      </c>
      <c r="AB208" s="302">
        <v>-0.53921967522483771</v>
      </c>
      <c r="AC208" s="302">
        <v>-0.3767139753160289</v>
      </c>
      <c r="AD208" s="306">
        <v>5</v>
      </c>
      <c r="AE208" s="306"/>
      <c r="AG208" s="304" t="s">
        <v>317</v>
      </c>
      <c r="AH208" s="302">
        <v>-0.72892822121547196</v>
      </c>
      <c r="AI208" s="302">
        <v>0.39193431682269342</v>
      </c>
      <c r="AJ208" s="307">
        <v>3</v>
      </c>
    </row>
    <row r="209" spans="1:36">
      <c r="A209" s="268" t="s">
        <v>329</v>
      </c>
      <c r="B209" s="269">
        <v>7.375141447159872E-2</v>
      </c>
      <c r="C209" s="269">
        <v>1.4939118607635409</v>
      </c>
      <c r="D209" s="206">
        <v>4</v>
      </c>
      <c r="H209" s="283" t="s">
        <v>276</v>
      </c>
      <c r="I209" s="284">
        <v>-1.6078402545490693E-2</v>
      </c>
      <c r="J209" s="284">
        <v>0.61365064390561352</v>
      </c>
      <c r="K209" s="288">
        <v>6</v>
      </c>
      <c r="L209" s="271"/>
      <c r="M209" s="271"/>
      <c r="N209" s="271"/>
      <c r="O209" s="271"/>
      <c r="Q209" s="293" t="s">
        <v>335</v>
      </c>
      <c r="R209" s="295">
        <v>0.29698020447087331</v>
      </c>
      <c r="S209" s="295">
        <v>0.27968024922970758</v>
      </c>
      <c r="T209" s="296">
        <v>3</v>
      </c>
      <c r="V209" s="293" t="s">
        <v>293</v>
      </c>
      <c r="W209" s="295">
        <v>0.57679327393605218</v>
      </c>
      <c r="X209" s="295">
        <v>-0.30231808885321471</v>
      </c>
      <c r="Y209" s="296">
        <v>4</v>
      </c>
      <c r="AA209" s="304" t="s">
        <v>352</v>
      </c>
      <c r="AB209" s="302">
        <v>1.2809539512048759E-2</v>
      </c>
      <c r="AC209" s="302">
        <v>-0.28094001498696397</v>
      </c>
      <c r="AD209" s="306">
        <v>5</v>
      </c>
      <c r="AE209" s="306"/>
      <c r="AG209" s="304" t="s">
        <v>329</v>
      </c>
      <c r="AH209" s="302">
        <v>-0.70205527369496579</v>
      </c>
      <c r="AI209" s="302">
        <v>0.93226822013875532</v>
      </c>
      <c r="AJ209" s="307">
        <v>3</v>
      </c>
    </row>
    <row r="210" spans="1:36">
      <c r="A210" s="268" t="s">
        <v>330</v>
      </c>
      <c r="B210" s="269">
        <v>0.41894522895485448</v>
      </c>
      <c r="C210" s="269">
        <v>0.26928079732523602</v>
      </c>
      <c r="D210" s="206">
        <v>7</v>
      </c>
      <c r="H210" s="283" t="s">
        <v>277</v>
      </c>
      <c r="I210" s="284">
        <v>0.33820098691855244</v>
      </c>
      <c r="J210" s="284">
        <v>0.49600666943754734</v>
      </c>
      <c r="K210" s="288">
        <v>6</v>
      </c>
      <c r="L210" s="271"/>
      <c r="M210" s="271"/>
      <c r="N210" s="271"/>
      <c r="O210" s="271"/>
      <c r="Q210" s="293" t="s">
        <v>337</v>
      </c>
      <c r="R210" s="295">
        <v>-0.47194241629879347</v>
      </c>
      <c r="S210" s="295">
        <v>-5.7009175861415073E-2</v>
      </c>
      <c r="T210" s="296">
        <v>3</v>
      </c>
      <c r="V210" s="293" t="s">
        <v>296</v>
      </c>
      <c r="W210" s="295">
        <v>0.97493628898955165</v>
      </c>
      <c r="X210" s="295">
        <v>-0.52676090862852065</v>
      </c>
      <c r="Y210" s="296">
        <v>4</v>
      </c>
      <c r="AA210" s="304" t="s">
        <v>270</v>
      </c>
      <c r="AB210" s="302">
        <v>-0.13451451232488276</v>
      </c>
      <c r="AC210" s="302">
        <v>0.89377730053213045</v>
      </c>
      <c r="AD210" s="306">
        <v>6</v>
      </c>
      <c r="AE210" s="306"/>
      <c r="AG210" s="304" t="s">
        <v>342</v>
      </c>
      <c r="AH210" s="302">
        <v>-0.16915910797623473</v>
      </c>
      <c r="AI210" s="302">
        <v>0.54589800527810195</v>
      </c>
      <c r="AJ210" s="307">
        <v>3</v>
      </c>
    </row>
    <row r="211" spans="1:36">
      <c r="A211" s="268" t="s">
        <v>331</v>
      </c>
      <c r="B211" s="269">
        <v>0.64770436317676972</v>
      </c>
      <c r="C211" s="269">
        <v>-0.17144126170212115</v>
      </c>
      <c r="D211" s="206">
        <v>7</v>
      </c>
      <c r="H211" s="283" t="s">
        <v>278</v>
      </c>
      <c r="I211" s="284">
        <v>-0.23684745505431254</v>
      </c>
      <c r="J211" s="284">
        <v>0.7046265835101243</v>
      </c>
      <c r="K211" s="288">
        <v>6</v>
      </c>
      <c r="L211" s="271"/>
      <c r="M211" s="271"/>
      <c r="N211" s="271"/>
      <c r="O211" s="271"/>
      <c r="Q211" s="293" t="s">
        <v>340</v>
      </c>
      <c r="R211" s="295">
        <v>0.37367298193518822</v>
      </c>
      <c r="S211" s="295">
        <v>0.12927702304242647</v>
      </c>
      <c r="T211" s="296">
        <v>3</v>
      </c>
      <c r="V211" s="293" t="s">
        <v>298</v>
      </c>
      <c r="W211" s="295">
        <v>0.89348547526359789</v>
      </c>
      <c r="X211" s="295">
        <v>2.704492275511363E-2</v>
      </c>
      <c r="Y211" s="296">
        <v>4</v>
      </c>
      <c r="AA211" s="304" t="s">
        <v>271</v>
      </c>
      <c r="AB211" s="302">
        <v>0.19932708745991812</v>
      </c>
      <c r="AC211" s="302">
        <v>0.93265110532370332</v>
      </c>
      <c r="AD211" s="306">
        <v>6</v>
      </c>
      <c r="AE211" s="306"/>
      <c r="AG211" s="304" t="s">
        <v>302</v>
      </c>
      <c r="AH211" s="302">
        <v>1.902856985383709</v>
      </c>
      <c r="AI211" s="302">
        <v>-0.2082836011668015</v>
      </c>
      <c r="AJ211" s="307">
        <v>4</v>
      </c>
    </row>
    <row r="212" spans="1:36">
      <c r="A212" s="268" t="s">
        <v>332</v>
      </c>
      <c r="B212" s="269">
        <v>-0.19496999628164027</v>
      </c>
      <c r="C212" s="269">
        <v>0.48796129978427788</v>
      </c>
      <c r="D212" s="206">
        <v>4</v>
      </c>
      <c r="H212" s="283" t="s">
        <v>284</v>
      </c>
      <c r="I212" s="284">
        <v>-0.38826955751306025</v>
      </c>
      <c r="J212" s="284">
        <v>0.45112113830844014</v>
      </c>
      <c r="K212" s="288">
        <v>6</v>
      </c>
      <c r="L212" s="271"/>
      <c r="M212" s="271"/>
      <c r="N212" s="271"/>
      <c r="O212" s="271"/>
      <c r="Q212" s="293" t="s">
        <v>343</v>
      </c>
      <c r="R212" s="295">
        <v>-0.65369065560722028</v>
      </c>
      <c r="S212" s="295">
        <v>-0.25339290950272947</v>
      </c>
      <c r="T212" s="296">
        <v>3</v>
      </c>
      <c r="V212" s="293" t="s">
        <v>308</v>
      </c>
      <c r="W212" s="295">
        <v>0.25722699652217695</v>
      </c>
      <c r="X212" s="295">
        <v>-0.20484082621392849</v>
      </c>
      <c r="Y212" s="296">
        <v>4</v>
      </c>
      <c r="AA212" s="304" t="s">
        <v>276</v>
      </c>
      <c r="AB212" s="302">
        <v>-0.4724740896956573</v>
      </c>
      <c r="AC212" s="302">
        <v>0.38255119173808305</v>
      </c>
      <c r="AD212" s="306">
        <v>6</v>
      </c>
      <c r="AE212" s="306"/>
      <c r="AG212" s="304" t="s">
        <v>353</v>
      </c>
      <c r="AH212" s="302">
        <v>3.619696286195575</v>
      </c>
      <c r="AI212" s="302">
        <v>1.4279839764762299</v>
      </c>
      <c r="AJ212" s="307">
        <v>4</v>
      </c>
    </row>
    <row r="213" spans="1:36">
      <c r="A213" s="268" t="s">
        <v>333</v>
      </c>
      <c r="B213" s="269">
        <v>6.2759846586646545E-2</v>
      </c>
      <c r="C213" s="269">
        <v>-0.30337973464224988</v>
      </c>
      <c r="D213" s="206">
        <v>5</v>
      </c>
      <c r="H213" s="283" t="s">
        <v>290</v>
      </c>
      <c r="I213" s="284">
        <v>5.4112778576927596E-2</v>
      </c>
      <c r="J213" s="284">
        <v>0.54066044290843662</v>
      </c>
      <c r="K213" s="288">
        <v>6</v>
      </c>
      <c r="L213" s="271"/>
      <c r="M213" s="271"/>
      <c r="N213" s="271"/>
      <c r="O213" s="271"/>
      <c r="Q213" s="293" t="s">
        <v>346</v>
      </c>
      <c r="R213" s="295">
        <v>-0.16850937742986946</v>
      </c>
      <c r="S213" s="295">
        <v>-0.16601203416391094</v>
      </c>
      <c r="T213" s="296">
        <v>3</v>
      </c>
      <c r="V213" s="293" t="s">
        <v>316</v>
      </c>
      <c r="W213" s="295">
        <v>1.3010984636579551E-2</v>
      </c>
      <c r="X213" s="295">
        <v>-7.1492088820078431E-2</v>
      </c>
      <c r="Y213" s="296">
        <v>4</v>
      </c>
      <c r="AA213" s="304" t="s">
        <v>278</v>
      </c>
      <c r="AB213" s="302">
        <v>-0.42827118311882084</v>
      </c>
      <c r="AC213" s="302">
        <v>0.48425112828308814</v>
      </c>
      <c r="AD213" s="306">
        <v>6</v>
      </c>
      <c r="AE213" s="306"/>
      <c r="AG213" s="304" t="s">
        <v>354</v>
      </c>
      <c r="AH213" s="302">
        <v>2.9484895773711197</v>
      </c>
      <c r="AI213" s="302">
        <v>-2.6808108057498919E-2</v>
      </c>
      <c r="AJ213" s="307">
        <v>4</v>
      </c>
    </row>
    <row r="214" spans="1:36">
      <c r="A214" s="268" t="s">
        <v>334</v>
      </c>
      <c r="B214" s="269">
        <v>-0.88250914196138452</v>
      </c>
      <c r="C214" s="269">
        <v>-3.6558757888959916</v>
      </c>
      <c r="D214" s="206">
        <v>2</v>
      </c>
      <c r="H214" s="283" t="s">
        <v>310</v>
      </c>
      <c r="I214" s="284">
        <v>0.16443121958165952</v>
      </c>
      <c r="J214" s="284">
        <v>0.64391023856106</v>
      </c>
      <c r="K214" s="288">
        <v>6</v>
      </c>
      <c r="L214" s="271"/>
      <c r="M214" s="271"/>
      <c r="N214" s="271"/>
      <c r="O214" s="271"/>
      <c r="Q214" s="293" t="s">
        <v>347</v>
      </c>
      <c r="R214" s="295">
        <v>0.12634343449439428</v>
      </c>
      <c r="S214" s="295">
        <v>0.51442995585066453</v>
      </c>
      <c r="T214" s="296">
        <v>3</v>
      </c>
      <c r="V214" s="293" t="s">
        <v>323</v>
      </c>
      <c r="W214" s="295">
        <v>0.92312929691281453</v>
      </c>
      <c r="X214" s="295">
        <v>-9.8501531737235887E-2</v>
      </c>
      <c r="Y214" s="296">
        <v>4</v>
      </c>
      <c r="AA214" s="304" t="s">
        <v>281</v>
      </c>
      <c r="AB214" s="302">
        <v>-0.78152501018729892</v>
      </c>
      <c r="AC214" s="302">
        <v>1.4836983388613088</v>
      </c>
      <c r="AD214" s="306">
        <v>6</v>
      </c>
      <c r="AE214" s="306"/>
      <c r="AG214" s="304" t="s">
        <v>274</v>
      </c>
      <c r="AH214" s="302">
        <v>-0.17194133930383831</v>
      </c>
      <c r="AI214" s="302">
        <v>-1.0012087352330716</v>
      </c>
      <c r="AJ214" s="307">
        <v>5</v>
      </c>
    </row>
    <row r="215" spans="1:36">
      <c r="A215" s="268" t="s">
        <v>335</v>
      </c>
      <c r="B215" s="269">
        <v>0.29698020447087331</v>
      </c>
      <c r="C215" s="269">
        <v>0.27968024922970758</v>
      </c>
      <c r="D215" s="206">
        <v>7</v>
      </c>
      <c r="H215" s="283" t="s">
        <v>313</v>
      </c>
      <c r="I215" s="284">
        <v>0.36891789994640045</v>
      </c>
      <c r="J215" s="284">
        <v>0.92496213008077244</v>
      </c>
      <c r="K215" s="288">
        <v>6</v>
      </c>
      <c r="L215" s="271"/>
      <c r="M215" s="271"/>
      <c r="N215" s="271"/>
      <c r="O215" s="271"/>
      <c r="Q215" s="293" t="s">
        <v>348</v>
      </c>
      <c r="R215" s="295">
        <v>-0.41174067825606686</v>
      </c>
      <c r="S215" s="295">
        <v>7.8671901897058472E-2</v>
      </c>
      <c r="T215" s="296">
        <v>3</v>
      </c>
      <c r="V215" s="293" t="s">
        <v>325</v>
      </c>
      <c r="W215" s="295">
        <v>0.89689255044671046</v>
      </c>
      <c r="X215" s="295">
        <v>-0.5564981783703693</v>
      </c>
      <c r="Y215" s="296">
        <v>4</v>
      </c>
      <c r="AA215" s="304" t="s">
        <v>282</v>
      </c>
      <c r="AB215" s="302">
        <v>-0.12671423524950598</v>
      </c>
      <c r="AC215" s="302">
        <v>0.89831443314952231</v>
      </c>
      <c r="AD215" s="306">
        <v>6</v>
      </c>
      <c r="AE215" s="306"/>
      <c r="AG215" s="304" t="s">
        <v>285</v>
      </c>
      <c r="AH215" s="302">
        <v>-0.87079771322023269</v>
      </c>
      <c r="AI215" s="302">
        <v>-1.3575790268402448</v>
      </c>
      <c r="AJ215" s="307">
        <v>5</v>
      </c>
    </row>
    <row r="216" spans="1:36">
      <c r="A216" s="268" t="s">
        <v>336</v>
      </c>
      <c r="B216" s="269">
        <v>-1.5669879891515488</v>
      </c>
      <c r="C216" s="269">
        <v>-0.24929968874400013</v>
      </c>
      <c r="D216" s="206">
        <v>6</v>
      </c>
      <c r="H216" s="283" t="s">
        <v>315</v>
      </c>
      <c r="I216" s="284">
        <v>0.31842677389158502</v>
      </c>
      <c r="J216" s="284">
        <v>1.3568222239238188</v>
      </c>
      <c r="K216" s="288">
        <v>6</v>
      </c>
      <c r="L216" s="271"/>
      <c r="M216" s="271"/>
      <c r="N216" s="271"/>
      <c r="O216" s="271"/>
      <c r="Q216" s="293" t="s">
        <v>349</v>
      </c>
      <c r="R216" s="295">
        <v>-0.65843908115097327</v>
      </c>
      <c r="S216" s="295">
        <v>-0.75454987332689494</v>
      </c>
      <c r="T216" s="296">
        <v>3</v>
      </c>
      <c r="V216" s="293" t="s">
        <v>327</v>
      </c>
      <c r="W216" s="295">
        <v>0.79789907308724883</v>
      </c>
      <c r="X216" s="295">
        <v>0.16747489543875849</v>
      </c>
      <c r="Y216" s="296">
        <v>4</v>
      </c>
      <c r="AA216" s="304" t="s">
        <v>283</v>
      </c>
      <c r="AB216" s="302">
        <v>-0.28619267566762907</v>
      </c>
      <c r="AC216" s="302">
        <v>0.6358856912681573</v>
      </c>
      <c r="AD216" s="306">
        <v>6</v>
      </c>
      <c r="AE216" s="306"/>
      <c r="AG216" s="304" t="s">
        <v>289</v>
      </c>
      <c r="AH216" s="302">
        <v>-0.73306807779064387</v>
      </c>
      <c r="AI216" s="302">
        <v>-1.2326220708139033</v>
      </c>
      <c r="AJ216" s="307">
        <v>5</v>
      </c>
    </row>
    <row r="217" spans="1:36">
      <c r="A217" s="268" t="s">
        <v>337</v>
      </c>
      <c r="B217" s="269">
        <v>-0.47194241629879347</v>
      </c>
      <c r="C217" s="269">
        <v>-5.7009175861415073E-2</v>
      </c>
      <c r="D217" s="206">
        <v>5</v>
      </c>
      <c r="H217" s="283" t="s">
        <v>317</v>
      </c>
      <c r="I217" s="284">
        <v>0.26247666877664366</v>
      </c>
      <c r="J217" s="284">
        <v>1.0498866289616577</v>
      </c>
      <c r="K217" s="288">
        <v>6</v>
      </c>
      <c r="L217" s="271"/>
      <c r="M217" s="271"/>
      <c r="N217" s="271"/>
      <c r="O217" s="271"/>
      <c r="Q217" s="293" t="s">
        <v>350</v>
      </c>
      <c r="R217" s="295">
        <v>0.22345815276371622</v>
      </c>
      <c r="S217" s="295">
        <v>0.17463465513735948</v>
      </c>
      <c r="T217" s="296">
        <v>3</v>
      </c>
      <c r="V217" s="293" t="s">
        <v>328</v>
      </c>
      <c r="W217" s="295">
        <v>0.72322600461361142</v>
      </c>
      <c r="X217" s="295">
        <v>-0.8604536477137229</v>
      </c>
      <c r="Y217" s="296">
        <v>4</v>
      </c>
      <c r="AA217" s="304" t="s">
        <v>284</v>
      </c>
      <c r="AB217" s="302">
        <v>-0.10394890266884078</v>
      </c>
      <c r="AC217" s="302">
        <v>0.52785114680889056</v>
      </c>
      <c r="AD217" s="306">
        <v>6</v>
      </c>
      <c r="AE217" s="306"/>
      <c r="AG217" s="304" t="s">
        <v>297</v>
      </c>
      <c r="AH217" s="302">
        <v>-0.78657463201853839</v>
      </c>
      <c r="AI217" s="302">
        <v>-1.284946910306225</v>
      </c>
      <c r="AJ217" s="307">
        <v>5</v>
      </c>
    </row>
    <row r="218" spans="1:36">
      <c r="A218" s="268" t="s">
        <v>338</v>
      </c>
      <c r="B218" s="269">
        <v>1.6056705170788306</v>
      </c>
      <c r="C218" s="269">
        <v>-0.90518136094967316</v>
      </c>
      <c r="D218" s="206">
        <v>7</v>
      </c>
      <c r="H218" s="283" t="s">
        <v>320</v>
      </c>
      <c r="I218" s="284">
        <v>1.2449821091177646</v>
      </c>
      <c r="J218" s="284">
        <v>1.2500740127821388</v>
      </c>
      <c r="K218" s="288">
        <v>6</v>
      </c>
      <c r="L218" s="271"/>
      <c r="M218" s="271"/>
      <c r="N218" s="271"/>
      <c r="O218" s="271"/>
      <c r="Q218" s="293" t="s">
        <v>352</v>
      </c>
      <c r="R218" s="295">
        <v>0.12703220156745973</v>
      </c>
      <c r="S218" s="295">
        <v>-0.39426694099348869</v>
      </c>
      <c r="T218" s="296">
        <v>3</v>
      </c>
      <c r="V218" s="293" t="s">
        <v>331</v>
      </c>
      <c r="W218" s="295">
        <v>0.64770436317676972</v>
      </c>
      <c r="X218" s="295">
        <v>-0.17144126170212115</v>
      </c>
      <c r="Y218" s="296">
        <v>4</v>
      </c>
      <c r="AA218" s="304" t="s">
        <v>290</v>
      </c>
      <c r="AB218" s="302">
        <v>-0.41784106204887256</v>
      </c>
      <c r="AC218" s="302">
        <v>0.36104639685150308</v>
      </c>
      <c r="AD218" s="306">
        <v>6</v>
      </c>
      <c r="AE218" s="306"/>
      <c r="AG218" s="304" t="s">
        <v>300</v>
      </c>
      <c r="AH218" s="302">
        <v>0.15181174882733139</v>
      </c>
      <c r="AI218" s="302">
        <v>-1.7709981633448415</v>
      </c>
      <c r="AJ218" s="307">
        <v>5</v>
      </c>
    </row>
    <row r="219" spans="1:36">
      <c r="A219" s="268" t="s">
        <v>339</v>
      </c>
      <c r="B219" s="269">
        <v>-0.16317693096208374</v>
      </c>
      <c r="C219" s="269">
        <v>0.39977989433818162</v>
      </c>
      <c r="D219" s="206">
        <v>4</v>
      </c>
      <c r="H219" s="283" t="s">
        <v>324</v>
      </c>
      <c r="I219" s="284">
        <v>0.49726383204057012</v>
      </c>
      <c r="J219" s="284">
        <v>0.34363529892959965</v>
      </c>
      <c r="K219" s="288">
        <v>6</v>
      </c>
      <c r="L219" s="271"/>
      <c r="M219" s="271"/>
      <c r="N219" s="271"/>
      <c r="O219" s="271"/>
      <c r="Q219" s="293" t="s">
        <v>272</v>
      </c>
      <c r="R219" s="295">
        <v>-1.2270999878536024</v>
      </c>
      <c r="S219" s="295">
        <v>-5.7894323128173497E-2</v>
      </c>
      <c r="T219" s="296">
        <v>4</v>
      </c>
      <c r="V219" s="293" t="s">
        <v>333</v>
      </c>
      <c r="W219" s="295">
        <v>6.2759846586646545E-2</v>
      </c>
      <c r="X219" s="295">
        <v>-0.30337973464224988</v>
      </c>
      <c r="Y219" s="296">
        <v>4</v>
      </c>
      <c r="AA219" s="304" t="s">
        <v>291</v>
      </c>
      <c r="AB219" s="302">
        <v>-0.11736768132177426</v>
      </c>
      <c r="AC219" s="302">
        <v>0.96486952516322799</v>
      </c>
      <c r="AD219" s="306">
        <v>6</v>
      </c>
      <c r="AE219" s="306"/>
      <c r="AG219" s="304" t="s">
        <v>314</v>
      </c>
      <c r="AH219" s="302">
        <v>-0.79728429106607812</v>
      </c>
      <c r="AI219" s="302">
        <v>-1.464215058777294</v>
      </c>
      <c r="AJ219" s="307">
        <v>5</v>
      </c>
    </row>
    <row r="220" spans="1:36">
      <c r="A220" s="268" t="s">
        <v>340</v>
      </c>
      <c r="B220" s="269">
        <v>0.37367298193518822</v>
      </c>
      <c r="C220" s="269">
        <v>0.12927702304242647</v>
      </c>
      <c r="D220" s="206">
        <v>5</v>
      </c>
      <c r="H220" s="283" t="s">
        <v>329</v>
      </c>
      <c r="I220" s="284">
        <v>7.375141447159872E-2</v>
      </c>
      <c r="J220" s="284">
        <v>1.4939118607635409</v>
      </c>
      <c r="K220" s="288">
        <v>6</v>
      </c>
      <c r="L220" s="271"/>
      <c r="M220" s="271"/>
      <c r="N220" s="271"/>
      <c r="O220" s="271"/>
      <c r="Q220" s="293" t="s">
        <v>302</v>
      </c>
      <c r="R220" s="295">
        <v>-1.4555521054958924</v>
      </c>
      <c r="S220" s="295">
        <v>-1.6099056437636912</v>
      </c>
      <c r="T220" s="296">
        <v>4</v>
      </c>
      <c r="V220" s="293" t="s">
        <v>340</v>
      </c>
      <c r="W220" s="295">
        <v>0.37367298193518822</v>
      </c>
      <c r="X220" s="295">
        <v>0.12927702304242647</v>
      </c>
      <c r="Y220" s="296">
        <v>4</v>
      </c>
      <c r="AA220" s="304" t="s">
        <v>292</v>
      </c>
      <c r="AB220" s="302">
        <v>-0.64775395089259924</v>
      </c>
      <c r="AC220" s="302">
        <v>0.87515307946599441</v>
      </c>
      <c r="AD220" s="306">
        <v>6</v>
      </c>
      <c r="AE220" s="306"/>
      <c r="AG220" s="304" t="s">
        <v>318</v>
      </c>
      <c r="AH220" s="302">
        <v>-0.7259052450957203</v>
      </c>
      <c r="AI220" s="302">
        <v>-1.0358133860264127</v>
      </c>
      <c r="AJ220" s="307">
        <v>5</v>
      </c>
    </row>
    <row r="221" spans="1:36">
      <c r="A221" s="268" t="s">
        <v>341</v>
      </c>
      <c r="B221" s="269">
        <v>0.8086103429632151</v>
      </c>
      <c r="C221" s="269">
        <v>0.1112933883260542</v>
      </c>
      <c r="D221" s="206">
        <v>7</v>
      </c>
      <c r="H221" s="283" t="s">
        <v>330</v>
      </c>
      <c r="I221" s="284">
        <v>0.41894522895485448</v>
      </c>
      <c r="J221" s="284">
        <v>0.26928079732523602</v>
      </c>
      <c r="K221" s="288">
        <v>6</v>
      </c>
      <c r="L221" s="271"/>
      <c r="M221" s="271"/>
      <c r="N221" s="271"/>
      <c r="O221" s="271"/>
      <c r="Q221" s="293" t="s">
        <v>321</v>
      </c>
      <c r="R221" s="295">
        <v>-1.7465284351683674</v>
      </c>
      <c r="S221" s="295">
        <v>0.19250875829998629</v>
      </c>
      <c r="T221" s="296">
        <v>4</v>
      </c>
      <c r="V221" s="293" t="s">
        <v>341</v>
      </c>
      <c r="W221" s="295">
        <v>0.8086103429632151</v>
      </c>
      <c r="X221" s="295">
        <v>0.1112933883260542</v>
      </c>
      <c r="Y221" s="296">
        <v>4</v>
      </c>
      <c r="AA221" s="304" t="s">
        <v>295</v>
      </c>
      <c r="AB221" s="302">
        <v>-0.6293968689451459</v>
      </c>
      <c r="AC221" s="302">
        <v>0.93513214266637501</v>
      </c>
      <c r="AD221" s="306">
        <v>6</v>
      </c>
      <c r="AE221" s="306"/>
      <c r="AG221" s="304" t="s">
        <v>328</v>
      </c>
      <c r="AH221" s="302">
        <v>-3.5550638338124878E-2</v>
      </c>
      <c r="AI221" s="302">
        <v>-1.0602908524109591</v>
      </c>
      <c r="AJ221" s="307">
        <v>5</v>
      </c>
    </row>
    <row r="222" spans="1:36">
      <c r="A222" s="268" t="s">
        <v>342</v>
      </c>
      <c r="B222" s="269">
        <v>-0.28672534970712132</v>
      </c>
      <c r="C222" s="269">
        <v>0.56269526972261086</v>
      </c>
      <c r="D222" s="206">
        <v>4</v>
      </c>
      <c r="H222" s="283" t="s">
        <v>332</v>
      </c>
      <c r="I222" s="284">
        <v>-0.19496999628164027</v>
      </c>
      <c r="J222" s="284">
        <v>0.48796129978427788</v>
      </c>
      <c r="K222" s="288">
        <v>6</v>
      </c>
      <c r="L222" s="271"/>
      <c r="M222" s="271"/>
      <c r="N222" s="271"/>
      <c r="O222" s="271"/>
      <c r="Q222" s="293" t="s">
        <v>326</v>
      </c>
      <c r="R222" s="295">
        <v>-0.74395023330978849</v>
      </c>
      <c r="S222" s="295">
        <v>-0.58694886640448163</v>
      </c>
      <c r="T222" s="296">
        <v>4</v>
      </c>
      <c r="V222" s="293" t="s">
        <v>352</v>
      </c>
      <c r="W222" s="295">
        <v>0.12703220156745973</v>
      </c>
      <c r="X222" s="295">
        <v>-0.39426694099348869</v>
      </c>
      <c r="Y222" s="296">
        <v>4</v>
      </c>
      <c r="AA222" s="304" t="s">
        <v>304</v>
      </c>
      <c r="AB222" s="302">
        <v>8.6655908263776643E-2</v>
      </c>
      <c r="AC222" s="302">
        <v>0.68421042878290372</v>
      </c>
      <c r="AD222" s="306">
        <v>6</v>
      </c>
      <c r="AE222" s="306"/>
      <c r="AG222" s="304" t="s">
        <v>338</v>
      </c>
      <c r="AH222" s="302">
        <v>-0.43187961823046961</v>
      </c>
      <c r="AI222" s="302">
        <v>-1.6351653933383339</v>
      </c>
      <c r="AJ222" s="307">
        <v>5</v>
      </c>
    </row>
    <row r="223" spans="1:36">
      <c r="A223" s="268" t="s">
        <v>343</v>
      </c>
      <c r="B223" s="269">
        <v>-0.65369065560722028</v>
      </c>
      <c r="C223" s="269">
        <v>-0.25339290950272947</v>
      </c>
      <c r="D223" s="206">
        <v>5</v>
      </c>
      <c r="H223" s="283" t="s">
        <v>335</v>
      </c>
      <c r="I223" s="284">
        <v>0.29698020447087331</v>
      </c>
      <c r="J223" s="284">
        <v>0.27968024922970758</v>
      </c>
      <c r="K223" s="288">
        <v>6</v>
      </c>
      <c r="L223" s="271"/>
      <c r="M223" s="271"/>
      <c r="N223" s="271"/>
      <c r="O223" s="271"/>
      <c r="Q223" s="293" t="s">
        <v>353</v>
      </c>
      <c r="R223" s="295">
        <v>-3.9924950647161506</v>
      </c>
      <c r="S223" s="295">
        <v>-1.8635103694499162</v>
      </c>
      <c r="T223" s="296">
        <v>4</v>
      </c>
      <c r="V223" s="293" t="s">
        <v>302</v>
      </c>
      <c r="W223" s="295">
        <v>-1.4555521054958924</v>
      </c>
      <c r="X223" s="295">
        <v>-1.6099056437636912</v>
      </c>
      <c r="Y223" s="296">
        <v>5</v>
      </c>
      <c r="AA223" s="304" t="s">
        <v>305</v>
      </c>
      <c r="AB223" s="302">
        <v>-0.35944540310941886</v>
      </c>
      <c r="AC223" s="302">
        <v>0.59762510918128431</v>
      </c>
      <c r="AD223" s="306">
        <v>6</v>
      </c>
      <c r="AE223" s="306"/>
      <c r="AG223" s="304" t="s">
        <v>351</v>
      </c>
      <c r="AH223" s="302">
        <v>-1.17686586283827</v>
      </c>
      <c r="AI223" s="302">
        <v>-2.1431056667695443</v>
      </c>
      <c r="AJ223" s="307">
        <v>5</v>
      </c>
    </row>
    <row r="224" spans="1:36">
      <c r="A224" s="268" t="s">
        <v>344</v>
      </c>
      <c r="B224" s="269">
        <v>0.32025018871457267</v>
      </c>
      <c r="C224" s="269">
        <v>0.4606849685317011</v>
      </c>
      <c r="D224" s="206">
        <v>4</v>
      </c>
      <c r="H224" s="283" t="s">
        <v>339</v>
      </c>
      <c r="I224" s="284">
        <v>-0.16317693096208374</v>
      </c>
      <c r="J224" s="284">
        <v>0.39977989433818162</v>
      </c>
      <c r="K224" s="288">
        <v>6</v>
      </c>
      <c r="L224" s="271"/>
      <c r="M224" s="271"/>
      <c r="N224" s="271"/>
      <c r="O224" s="271"/>
      <c r="Q224" s="293" t="s">
        <v>354</v>
      </c>
      <c r="R224" s="295">
        <v>-2.3297418952120257</v>
      </c>
      <c r="S224" s="295">
        <v>-2.5343694858075905</v>
      </c>
      <c r="T224" s="296">
        <v>4</v>
      </c>
      <c r="V224" s="293" t="s">
        <v>353</v>
      </c>
      <c r="W224" s="295">
        <v>-3.9924950647161506</v>
      </c>
      <c r="X224" s="295">
        <v>-1.8635103694499162</v>
      </c>
      <c r="Y224" s="296">
        <v>5</v>
      </c>
      <c r="AA224" s="304" t="s">
        <v>307</v>
      </c>
      <c r="AB224" s="302">
        <v>-0.3557876883273583</v>
      </c>
      <c r="AC224" s="302">
        <v>0.73045917804048932</v>
      </c>
      <c r="AD224" s="306">
        <v>6</v>
      </c>
      <c r="AE224" s="306"/>
      <c r="AG224" s="304" t="s">
        <v>271</v>
      </c>
      <c r="AH224" s="302">
        <v>0.19932708745991812</v>
      </c>
      <c r="AI224" s="302">
        <v>0.93265110532370332</v>
      </c>
      <c r="AJ224" s="307">
        <v>6</v>
      </c>
    </row>
    <row r="225" spans="1:36">
      <c r="A225" s="268" t="s">
        <v>345</v>
      </c>
      <c r="B225" s="269">
        <v>0.12979954898566595</v>
      </c>
      <c r="C225" s="269">
        <v>0.80747881613885342</v>
      </c>
      <c r="D225" s="206">
        <v>6</v>
      </c>
      <c r="H225" s="283" t="s">
        <v>340</v>
      </c>
      <c r="I225" s="284">
        <v>0.37367298193518822</v>
      </c>
      <c r="J225" s="284">
        <v>0.12927702304242647</v>
      </c>
      <c r="K225" s="288">
        <v>6</v>
      </c>
      <c r="L225" s="271"/>
      <c r="M225" s="271"/>
      <c r="N225" s="271"/>
      <c r="O225" s="271"/>
      <c r="Q225" s="293" t="s">
        <v>288</v>
      </c>
      <c r="R225" s="295">
        <v>-1.4449780679126303</v>
      </c>
      <c r="S225" s="295">
        <v>9.2604128562096821E-2</v>
      </c>
      <c r="T225" s="296">
        <v>5</v>
      </c>
      <c r="V225" s="293" t="s">
        <v>354</v>
      </c>
      <c r="W225" s="295">
        <v>-2.3297418952120257</v>
      </c>
      <c r="X225" s="295">
        <v>-2.5343694858075905</v>
      </c>
      <c r="Y225" s="296">
        <v>5</v>
      </c>
      <c r="AA225" s="304" t="s">
        <v>312</v>
      </c>
      <c r="AB225" s="302">
        <v>0.23356751601829567</v>
      </c>
      <c r="AC225" s="302">
        <v>0.97487622103112614</v>
      </c>
      <c r="AD225" s="306">
        <v>6</v>
      </c>
      <c r="AE225" s="306"/>
      <c r="AG225" s="304" t="s">
        <v>272</v>
      </c>
      <c r="AH225" s="302">
        <v>0.79058352877034876</v>
      </c>
      <c r="AI225" s="302">
        <v>0.74798878588910789</v>
      </c>
      <c r="AJ225" s="307">
        <v>6</v>
      </c>
    </row>
    <row r="226" spans="1:36">
      <c r="A226" s="268" t="s">
        <v>346</v>
      </c>
      <c r="B226" s="269">
        <v>-0.16850937742986946</v>
      </c>
      <c r="C226" s="269">
        <v>-0.16601203416391094</v>
      </c>
      <c r="D226" s="206">
        <v>5</v>
      </c>
      <c r="H226" s="283" t="s">
        <v>342</v>
      </c>
      <c r="I226" s="284">
        <v>-0.28672534970712132</v>
      </c>
      <c r="J226" s="284">
        <v>0.56269526972261086</v>
      </c>
      <c r="K226" s="288">
        <v>6</v>
      </c>
      <c r="L226" s="271"/>
      <c r="M226" s="271"/>
      <c r="N226" s="271"/>
      <c r="O226" s="271"/>
      <c r="Q226" s="293" t="s">
        <v>299</v>
      </c>
      <c r="R226" s="295">
        <v>-0.88911062369306804</v>
      </c>
      <c r="S226" s="295">
        <v>-0.54877663704302182</v>
      </c>
      <c r="T226" s="296">
        <v>5</v>
      </c>
      <c r="V226" s="293" t="s">
        <v>280</v>
      </c>
      <c r="W226" s="295">
        <v>0.96281979262049577</v>
      </c>
      <c r="X226" s="295">
        <v>-4.7553611002280141</v>
      </c>
      <c r="Y226" s="296">
        <v>6</v>
      </c>
      <c r="AA226" s="304" t="s">
        <v>322</v>
      </c>
      <c r="AB226" s="302">
        <v>0.42417319543497206</v>
      </c>
      <c r="AC226" s="302">
        <v>1.0988921216954144</v>
      </c>
      <c r="AD226" s="306">
        <v>6</v>
      </c>
      <c r="AE226" s="306"/>
      <c r="AG226" s="304" t="s">
        <v>288</v>
      </c>
      <c r="AH226" s="302">
        <v>1.0015406709965224</v>
      </c>
      <c r="AI226" s="302">
        <v>0.98006832302496982</v>
      </c>
      <c r="AJ226" s="307">
        <v>6</v>
      </c>
    </row>
    <row r="227" spans="1:36">
      <c r="A227" s="268" t="s">
        <v>347</v>
      </c>
      <c r="B227" s="269">
        <v>0.12634343449439428</v>
      </c>
      <c r="C227" s="269">
        <v>0.51442995585066453</v>
      </c>
      <c r="D227" s="206">
        <v>4</v>
      </c>
      <c r="H227" s="283" t="s">
        <v>344</v>
      </c>
      <c r="I227" s="284">
        <v>0.32025018871457267</v>
      </c>
      <c r="J227" s="284">
        <v>0.4606849685317011</v>
      </c>
      <c r="K227" s="288">
        <v>6</v>
      </c>
      <c r="L227" s="271"/>
      <c r="M227" s="271"/>
      <c r="N227" s="271"/>
      <c r="O227" s="271"/>
      <c r="Q227" s="293" t="s">
        <v>301</v>
      </c>
      <c r="R227" s="295">
        <v>-0.9231846783284714</v>
      </c>
      <c r="S227" s="295">
        <v>-0.1568985565660376</v>
      </c>
      <c r="T227" s="296">
        <v>5</v>
      </c>
      <c r="V227" s="293" t="s">
        <v>334</v>
      </c>
      <c r="W227" s="295">
        <v>-0.88250914196138452</v>
      </c>
      <c r="X227" s="295">
        <v>-3.6558757888959916</v>
      </c>
      <c r="Y227" s="296">
        <v>6</v>
      </c>
      <c r="AA227" s="304" t="s">
        <v>329</v>
      </c>
      <c r="AB227" s="302">
        <v>-0.70205527369496579</v>
      </c>
      <c r="AC227" s="302">
        <v>0.93226822013875532</v>
      </c>
      <c r="AD227" s="306">
        <v>6</v>
      </c>
      <c r="AE227" s="306"/>
      <c r="AG227" s="304" t="s">
        <v>299</v>
      </c>
      <c r="AH227" s="302">
        <v>1.2400512669958057</v>
      </c>
      <c r="AI227" s="302">
        <v>0.28656942891912751</v>
      </c>
      <c r="AJ227" s="307">
        <v>6</v>
      </c>
    </row>
    <row r="228" spans="1:36">
      <c r="A228" s="268" t="s">
        <v>348</v>
      </c>
      <c r="B228" s="269">
        <v>-0.41174067825606686</v>
      </c>
      <c r="C228" s="269">
        <v>7.8671901897058472E-2</v>
      </c>
      <c r="D228" s="206">
        <v>5</v>
      </c>
      <c r="H228" s="283" t="s">
        <v>345</v>
      </c>
      <c r="I228" s="284">
        <v>0.12979954898566595</v>
      </c>
      <c r="J228" s="284">
        <v>0.80747881613885342</v>
      </c>
      <c r="K228" s="288">
        <v>6</v>
      </c>
      <c r="L228" s="271"/>
      <c r="M228" s="271"/>
      <c r="N228" s="271"/>
      <c r="O228" s="271"/>
      <c r="Q228" s="293" t="s">
        <v>327</v>
      </c>
      <c r="R228" s="295">
        <v>0.79789907308724883</v>
      </c>
      <c r="S228" s="295">
        <v>0.16747489543875849</v>
      </c>
      <c r="T228" s="296">
        <v>5</v>
      </c>
      <c r="V228" s="293" t="s">
        <v>285</v>
      </c>
      <c r="W228" s="295">
        <v>2.1016928005327316</v>
      </c>
      <c r="X228" s="295">
        <v>-0.32784773230137498</v>
      </c>
      <c r="Y228" s="296">
        <v>7</v>
      </c>
      <c r="AA228" s="304" t="s">
        <v>339</v>
      </c>
      <c r="AB228" s="302">
        <v>-0.10555239348844631</v>
      </c>
      <c r="AC228" s="302">
        <v>0.34960788327969616</v>
      </c>
      <c r="AD228" s="306">
        <v>6</v>
      </c>
      <c r="AE228" s="306"/>
      <c r="AG228" s="304" t="s">
        <v>301</v>
      </c>
      <c r="AH228" s="302">
        <v>0.72918590139698258</v>
      </c>
      <c r="AI228" s="302">
        <v>0.60203755166720763</v>
      </c>
      <c r="AJ228" s="307">
        <v>6</v>
      </c>
    </row>
    <row r="229" spans="1:36">
      <c r="A229" s="268" t="s">
        <v>349</v>
      </c>
      <c r="B229" s="269">
        <v>-0.65843908115097327</v>
      </c>
      <c r="C229" s="269">
        <v>-0.75454987332689494</v>
      </c>
      <c r="D229" s="206">
        <v>5</v>
      </c>
      <c r="H229" s="283" t="s">
        <v>347</v>
      </c>
      <c r="I229" s="284">
        <v>0.12634343449439428</v>
      </c>
      <c r="J229" s="284">
        <v>0.51442995585066453</v>
      </c>
      <c r="K229" s="288">
        <v>6</v>
      </c>
      <c r="L229" s="271"/>
      <c r="M229" s="271"/>
      <c r="N229" s="271"/>
      <c r="O229" s="271"/>
      <c r="Q229" s="293" t="s">
        <v>336</v>
      </c>
      <c r="R229" s="295">
        <v>-1.5669879891515488</v>
      </c>
      <c r="S229" s="295">
        <v>-0.24929968874400013</v>
      </c>
      <c r="T229" s="296">
        <v>5</v>
      </c>
      <c r="V229" s="293" t="s">
        <v>289</v>
      </c>
      <c r="W229" s="295">
        <v>1.729940374128673</v>
      </c>
      <c r="X229" s="295">
        <v>-0.49850143467973385</v>
      </c>
      <c r="Y229" s="296">
        <v>7</v>
      </c>
      <c r="AA229" s="304" t="s">
        <v>342</v>
      </c>
      <c r="AB229" s="302">
        <v>-0.16915910797623473</v>
      </c>
      <c r="AC229" s="302">
        <v>0.54589800527810195</v>
      </c>
      <c r="AD229" s="306">
        <v>6</v>
      </c>
      <c r="AE229" s="306"/>
      <c r="AG229" s="304" t="s">
        <v>312</v>
      </c>
      <c r="AH229" s="302">
        <v>0.23356751601829567</v>
      </c>
      <c r="AI229" s="302">
        <v>0.97487622103112614</v>
      </c>
      <c r="AJ229" s="307">
        <v>6</v>
      </c>
    </row>
    <row r="230" spans="1:36">
      <c r="A230" s="268" t="s">
        <v>350</v>
      </c>
      <c r="B230" s="269">
        <v>0.22345815276371622</v>
      </c>
      <c r="C230" s="269">
        <v>0.17463465513735948</v>
      </c>
      <c r="D230" s="206">
        <v>5</v>
      </c>
      <c r="H230" s="283" t="s">
        <v>350</v>
      </c>
      <c r="I230" s="284">
        <v>0.22345815276371622</v>
      </c>
      <c r="J230" s="284">
        <v>0.17463465513735948</v>
      </c>
      <c r="K230" s="288">
        <v>6</v>
      </c>
      <c r="L230" s="271"/>
      <c r="M230" s="271"/>
      <c r="N230" s="271"/>
      <c r="O230" s="271"/>
      <c r="Q230" s="293" t="s">
        <v>345</v>
      </c>
      <c r="R230" s="295">
        <v>0.12979954898566595</v>
      </c>
      <c r="S230" s="295">
        <v>0.80747881613885342</v>
      </c>
      <c r="T230" s="296">
        <v>5</v>
      </c>
      <c r="V230" s="293" t="s">
        <v>297</v>
      </c>
      <c r="W230" s="295">
        <v>1.4395658363140249</v>
      </c>
      <c r="X230" s="295">
        <v>-0.30848258554336028</v>
      </c>
      <c r="Y230" s="296">
        <v>7</v>
      </c>
      <c r="AA230" s="304" t="s">
        <v>355</v>
      </c>
      <c r="AB230" s="302">
        <v>0.15399538588792039</v>
      </c>
      <c r="AC230" s="302">
        <v>0.60521757756953565</v>
      </c>
      <c r="AD230" s="306">
        <v>6</v>
      </c>
      <c r="AE230" s="306"/>
      <c r="AG230" s="304" t="s">
        <v>321</v>
      </c>
      <c r="AH230" s="302">
        <v>0.87762677608307582</v>
      </c>
      <c r="AI230" s="302">
        <v>1.0832102283588858</v>
      </c>
      <c r="AJ230" s="307">
        <v>6</v>
      </c>
    </row>
    <row r="231" spans="1:36">
      <c r="A231" s="268" t="s">
        <v>351</v>
      </c>
      <c r="B231" s="269">
        <v>2.8077601812150634</v>
      </c>
      <c r="C231" s="269">
        <v>-0.78229151501002225</v>
      </c>
      <c r="D231" s="206">
        <v>1</v>
      </c>
      <c r="H231" s="283" t="s">
        <v>280</v>
      </c>
      <c r="I231" s="284">
        <v>0.96281979262049577</v>
      </c>
      <c r="J231" s="284">
        <v>-4.7553611002280141</v>
      </c>
      <c r="K231" s="288">
        <v>7</v>
      </c>
      <c r="L231" s="271"/>
      <c r="M231" s="271"/>
      <c r="N231" s="271"/>
      <c r="O231" s="271"/>
      <c r="Q231" s="293" t="s">
        <v>280</v>
      </c>
      <c r="R231" s="295">
        <v>0.96281979262049577</v>
      </c>
      <c r="S231" s="295">
        <v>-4.7553611002280141</v>
      </c>
      <c r="T231" s="296">
        <v>6</v>
      </c>
      <c r="V231" s="293" t="s">
        <v>300</v>
      </c>
      <c r="W231" s="295">
        <v>1.2934335741622118</v>
      </c>
      <c r="X231" s="295">
        <v>-1.7339610608620482</v>
      </c>
      <c r="Y231" s="296">
        <v>7</v>
      </c>
      <c r="AA231" s="304" t="s">
        <v>280</v>
      </c>
      <c r="AB231" s="302">
        <v>2.4824375559147982</v>
      </c>
      <c r="AC231" s="302">
        <v>-3.5038434894163402</v>
      </c>
      <c r="AD231" s="306">
        <v>7</v>
      </c>
      <c r="AE231" s="306"/>
      <c r="AG231" s="304" t="s">
        <v>322</v>
      </c>
      <c r="AH231" s="302">
        <v>0.42417319543497206</v>
      </c>
      <c r="AI231" s="302">
        <v>1.0988921216954144</v>
      </c>
      <c r="AJ231" s="307">
        <v>6</v>
      </c>
    </row>
    <row r="232" spans="1:36">
      <c r="A232" s="268" t="s">
        <v>352</v>
      </c>
      <c r="B232" s="269">
        <v>0.12703220156745973</v>
      </c>
      <c r="C232" s="269">
        <v>-0.39426694099348869</v>
      </c>
      <c r="D232" s="206">
        <v>7</v>
      </c>
      <c r="H232" s="283" t="s">
        <v>302</v>
      </c>
      <c r="I232" s="284">
        <v>-1.4555521054958924</v>
      </c>
      <c r="J232" s="284">
        <v>-1.6099056437636912</v>
      </c>
      <c r="K232" s="288">
        <v>7</v>
      </c>
      <c r="L232" s="271"/>
      <c r="M232" s="271"/>
      <c r="N232" s="271"/>
      <c r="O232" s="271"/>
      <c r="Q232" s="293" t="s">
        <v>334</v>
      </c>
      <c r="R232" s="295">
        <v>-0.88250914196138452</v>
      </c>
      <c r="S232" s="295">
        <v>-3.6558757888959916</v>
      </c>
      <c r="T232" s="296">
        <v>6</v>
      </c>
      <c r="V232" s="293" t="s">
        <v>314</v>
      </c>
      <c r="W232" s="295">
        <v>1.8832580965494981</v>
      </c>
      <c r="X232" s="295">
        <v>-0.61657227555087213</v>
      </c>
      <c r="Y232" s="296">
        <v>7</v>
      </c>
      <c r="AA232" s="304" t="s">
        <v>302</v>
      </c>
      <c r="AB232" s="302">
        <v>1.902856985383709</v>
      </c>
      <c r="AC232" s="302">
        <v>-0.2082836011668015</v>
      </c>
      <c r="AD232" s="306">
        <v>7</v>
      </c>
      <c r="AE232" s="306"/>
      <c r="AG232" s="304" t="s">
        <v>326</v>
      </c>
      <c r="AH232" s="302">
        <v>0.88065318213145261</v>
      </c>
      <c r="AI232" s="302">
        <v>0.2338025479337949</v>
      </c>
      <c r="AJ232" s="307">
        <v>6</v>
      </c>
    </row>
    <row r="233" spans="1:36">
      <c r="A233" s="268" t="s">
        <v>353</v>
      </c>
      <c r="B233" s="269">
        <v>-3.9924950647161506</v>
      </c>
      <c r="C233" s="269">
        <v>-1.8635103694499162</v>
      </c>
      <c r="D233" s="206">
        <v>3</v>
      </c>
      <c r="H233" s="283" t="s">
        <v>334</v>
      </c>
      <c r="I233" s="284">
        <v>-0.88250914196138452</v>
      </c>
      <c r="J233" s="284">
        <v>-3.6558757888959916</v>
      </c>
      <c r="K233" s="288">
        <v>7</v>
      </c>
      <c r="L233" s="271"/>
      <c r="M233" s="271"/>
      <c r="N233" s="271"/>
      <c r="O233" s="271"/>
      <c r="Q233" s="293" t="s">
        <v>285</v>
      </c>
      <c r="R233" s="295">
        <v>2.1016928005327316</v>
      </c>
      <c r="S233" s="295">
        <v>-0.32784773230137498</v>
      </c>
      <c r="T233" s="296">
        <v>7</v>
      </c>
      <c r="V233" s="293" t="s">
        <v>318</v>
      </c>
      <c r="W233" s="295">
        <v>1.5900207776688355</v>
      </c>
      <c r="X233" s="295">
        <v>-0.16828258056050027</v>
      </c>
      <c r="Y233" s="296">
        <v>7</v>
      </c>
      <c r="AA233" s="304" t="s">
        <v>334</v>
      </c>
      <c r="AB233" s="302">
        <v>2.7540978363047044</v>
      </c>
      <c r="AC233" s="302">
        <v>-1.6333727458119061</v>
      </c>
      <c r="AD233" s="306">
        <v>7</v>
      </c>
      <c r="AE233" s="306"/>
      <c r="AG233" s="304" t="s">
        <v>336</v>
      </c>
      <c r="AH233" s="302">
        <v>1.3144228074563784</v>
      </c>
      <c r="AI233" s="302">
        <v>0.83446588494493323</v>
      </c>
      <c r="AJ233" s="307">
        <v>6</v>
      </c>
    </row>
    <row r="234" spans="1:36">
      <c r="A234" s="268" t="s">
        <v>354</v>
      </c>
      <c r="B234" s="269">
        <v>-2.3297418952120257</v>
      </c>
      <c r="C234" s="269">
        <v>-2.5343694858075905</v>
      </c>
      <c r="D234" s="206">
        <v>3</v>
      </c>
      <c r="H234" s="283" t="s">
        <v>353</v>
      </c>
      <c r="I234" s="284">
        <v>-3.9924950647161506</v>
      </c>
      <c r="J234" s="284">
        <v>-1.8635103694499162</v>
      </c>
      <c r="K234" s="288">
        <v>7</v>
      </c>
      <c r="L234" s="271"/>
      <c r="M234" s="271"/>
      <c r="N234" s="271"/>
      <c r="O234" s="271"/>
      <c r="Q234" s="293" t="s">
        <v>318</v>
      </c>
      <c r="R234" s="295">
        <v>1.5900207776688355</v>
      </c>
      <c r="S234" s="295">
        <v>-0.16828258056050027</v>
      </c>
      <c r="T234" s="296">
        <v>7</v>
      </c>
      <c r="V234" s="293" t="s">
        <v>338</v>
      </c>
      <c r="W234" s="295">
        <v>1.6056705170788306</v>
      </c>
      <c r="X234" s="295">
        <v>-0.90518136094967316</v>
      </c>
      <c r="Y234" s="296">
        <v>7</v>
      </c>
      <c r="AA234" s="304" t="s">
        <v>353</v>
      </c>
      <c r="AB234" s="302">
        <v>3.619696286195575</v>
      </c>
      <c r="AC234" s="302">
        <v>1.4279839764762299</v>
      </c>
      <c r="AD234" s="306">
        <v>7</v>
      </c>
      <c r="AE234" s="306"/>
      <c r="AG234" s="304" t="s">
        <v>280</v>
      </c>
      <c r="AH234" s="302">
        <v>2.4824375559147982</v>
      </c>
      <c r="AI234" s="302">
        <v>-3.5038434894163402</v>
      </c>
      <c r="AJ234" s="307">
        <v>7</v>
      </c>
    </row>
    <row r="235" spans="1:36">
      <c r="A235" s="268" t="s">
        <v>355</v>
      </c>
      <c r="B235" s="269">
        <v>-0.62558043335484814</v>
      </c>
      <c r="C235" s="269">
        <v>0.43587121206339352</v>
      </c>
      <c r="D235" s="206">
        <v>4</v>
      </c>
      <c r="H235" s="285" t="s">
        <v>354</v>
      </c>
      <c r="I235" s="286">
        <v>-2.3297418952120257</v>
      </c>
      <c r="J235" s="286">
        <v>-2.5343694858075905</v>
      </c>
      <c r="K235" s="289">
        <v>7</v>
      </c>
      <c r="L235" s="271"/>
      <c r="M235" s="271"/>
      <c r="N235" s="271"/>
      <c r="O235" s="271"/>
      <c r="Q235" s="294" t="s">
        <v>351</v>
      </c>
      <c r="R235" s="297">
        <v>2.8077601812150634</v>
      </c>
      <c r="S235" s="297">
        <v>-0.78229151501002225</v>
      </c>
      <c r="T235" s="298">
        <v>7</v>
      </c>
      <c r="V235" s="294" t="s">
        <v>351</v>
      </c>
      <c r="W235" s="297">
        <v>2.8077601812150634</v>
      </c>
      <c r="X235" s="297">
        <v>-0.78229151501002225</v>
      </c>
      <c r="Y235" s="298">
        <v>7</v>
      </c>
      <c r="AA235" s="304" t="s">
        <v>354</v>
      </c>
      <c r="AB235" s="302">
        <v>2.9484895773711197</v>
      </c>
      <c r="AC235" s="302">
        <v>-2.6808108057498919E-2</v>
      </c>
      <c r="AD235" s="306">
        <v>7</v>
      </c>
      <c r="AE235" s="306"/>
      <c r="AG235" s="304" t="s">
        <v>334</v>
      </c>
      <c r="AH235" s="302">
        <v>2.7540978363047044</v>
      </c>
      <c r="AI235" s="302">
        <v>-1.6333727458119061</v>
      </c>
      <c r="AJ235" s="307">
        <v>7</v>
      </c>
    </row>
  </sheetData>
  <pageMargins left="0.7" right="0.7" top="0.75" bottom="0.75" header="0.3" footer="0.3"/>
  <pageSetup paperSize="9" orientation="portrait" verticalDpi="0" r:id="rId3"/>
  <drawing r:id="rId4"/>
  <tableParts count="3"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FN1001"/>
  <sheetViews>
    <sheetView topLeftCell="C1" workbookViewId="0">
      <selection activeCell="Q1" sqref="Q1"/>
    </sheetView>
  </sheetViews>
  <sheetFormatPr defaultColWidth="12.77734375" defaultRowHeight="15" customHeight="1"/>
  <cols>
    <col min="1" max="1" width="13.77734375" customWidth="1"/>
    <col min="2" max="2" width="31" customWidth="1"/>
    <col min="3" max="3" width="16.21875" customWidth="1"/>
    <col min="29" max="29" width="14.77734375" customWidth="1"/>
    <col min="35" max="35" width="17.21875" customWidth="1"/>
    <col min="60" max="60" width="17" customWidth="1"/>
    <col min="61" max="61" width="14.21875" customWidth="1"/>
    <col min="62" max="62" width="15.77734375" customWidth="1"/>
    <col min="165" max="165" width="12.44140625" customWidth="1"/>
    <col min="167" max="170" width="8.44140625" customWidth="1"/>
  </cols>
  <sheetData>
    <row r="1" spans="1:170" ht="130.5" customHeight="1">
      <c r="A1" s="50" t="s">
        <v>0</v>
      </c>
      <c r="B1" s="50" t="s">
        <v>239</v>
      </c>
      <c r="C1" s="61" t="s">
        <v>17</v>
      </c>
      <c r="D1" s="50" t="s">
        <v>240</v>
      </c>
      <c r="E1" s="50" t="s">
        <v>241</v>
      </c>
      <c r="F1" s="50" t="s">
        <v>21</v>
      </c>
      <c r="G1" s="50" t="s">
        <v>24</v>
      </c>
      <c r="H1" s="50" t="s">
        <v>407</v>
      </c>
      <c r="I1" s="50" t="s">
        <v>36</v>
      </c>
      <c r="J1" s="50" t="s">
        <v>40</v>
      </c>
      <c r="K1" s="50" t="s">
        <v>2209</v>
      </c>
      <c r="L1" s="50" t="s">
        <v>46</v>
      </c>
      <c r="M1" s="72" t="s">
        <v>48</v>
      </c>
      <c r="N1" s="72" t="s">
        <v>49</v>
      </c>
      <c r="O1" s="72" t="s">
        <v>242</v>
      </c>
      <c r="P1" s="61" t="s">
        <v>55</v>
      </c>
      <c r="Q1" s="50" t="s">
        <v>56</v>
      </c>
      <c r="R1" s="50" t="s">
        <v>57</v>
      </c>
      <c r="S1" s="50" t="s">
        <v>58</v>
      </c>
      <c r="T1" s="50" t="s">
        <v>243</v>
      </c>
      <c r="U1" s="61" t="s">
        <v>60</v>
      </c>
      <c r="V1" s="50" t="s">
        <v>244</v>
      </c>
      <c r="W1" s="61" t="s">
        <v>62</v>
      </c>
      <c r="X1" s="50" t="s">
        <v>456</v>
      </c>
      <c r="Y1" s="50" t="s">
        <v>63</v>
      </c>
      <c r="Z1" s="50" t="s">
        <v>408</v>
      </c>
      <c r="AA1" s="50" t="s">
        <v>360</v>
      </c>
      <c r="AB1" s="50" t="s">
        <v>356</v>
      </c>
      <c r="AC1" s="50" t="s">
        <v>68</v>
      </c>
      <c r="AD1" s="50" t="s">
        <v>390</v>
      </c>
      <c r="AE1" s="50" t="s">
        <v>245</v>
      </c>
      <c r="AF1" s="50" t="s">
        <v>391</v>
      </c>
      <c r="AG1" s="50" t="s">
        <v>486</v>
      </c>
      <c r="AH1" s="50" t="s">
        <v>392</v>
      </c>
      <c r="AI1" s="50" t="s">
        <v>72</v>
      </c>
      <c r="AJ1" s="50" t="s">
        <v>74</v>
      </c>
      <c r="AK1" s="50" t="s">
        <v>246</v>
      </c>
      <c r="AL1" s="50" t="s">
        <v>76</v>
      </c>
      <c r="AM1" s="50" t="s">
        <v>77</v>
      </c>
      <c r="AN1" s="61" t="s">
        <v>78</v>
      </c>
      <c r="AO1" s="50" t="s">
        <v>80</v>
      </c>
      <c r="AP1" s="50" t="s">
        <v>81</v>
      </c>
      <c r="AQ1" s="111" t="s">
        <v>82</v>
      </c>
      <c r="AR1" s="50" t="s">
        <v>83</v>
      </c>
      <c r="AS1" s="50" t="s">
        <v>85</v>
      </c>
      <c r="AT1" s="50" t="s">
        <v>87</v>
      </c>
      <c r="AU1" s="50" t="s">
        <v>89</v>
      </c>
      <c r="AV1" s="50" t="s">
        <v>90</v>
      </c>
      <c r="AW1" s="61" t="s">
        <v>91</v>
      </c>
      <c r="AX1" s="50" t="s">
        <v>92</v>
      </c>
      <c r="AY1" s="50" t="s">
        <v>94</v>
      </c>
      <c r="AZ1" s="50" t="s">
        <v>247</v>
      </c>
      <c r="BA1" s="50" t="s">
        <v>248</v>
      </c>
      <c r="BB1" s="50" t="s">
        <v>249</v>
      </c>
      <c r="BC1" s="61" t="s">
        <v>101</v>
      </c>
      <c r="BD1" s="50" t="s">
        <v>102</v>
      </c>
      <c r="BE1" s="73" t="s">
        <v>103</v>
      </c>
      <c r="BF1" s="50" t="s">
        <v>104</v>
      </c>
      <c r="BG1" s="50" t="s">
        <v>105</v>
      </c>
      <c r="BH1" s="50" t="s">
        <v>107</v>
      </c>
      <c r="BI1" s="50" t="s">
        <v>108</v>
      </c>
      <c r="BJ1" s="50" t="s">
        <v>250</v>
      </c>
      <c r="BK1" s="50" t="s">
        <v>113</v>
      </c>
      <c r="BL1" s="103" t="s">
        <v>114</v>
      </c>
      <c r="BM1" s="50" t="s">
        <v>115</v>
      </c>
      <c r="BN1" s="50" t="s">
        <v>116</v>
      </c>
      <c r="BO1" s="61" t="s">
        <v>117</v>
      </c>
      <c r="BP1" s="50" t="s">
        <v>118</v>
      </c>
      <c r="BQ1" s="50" t="s">
        <v>120</v>
      </c>
      <c r="BR1" s="50" t="s">
        <v>121</v>
      </c>
      <c r="BS1" s="50" t="s">
        <v>122</v>
      </c>
      <c r="BT1" s="50" t="s">
        <v>254</v>
      </c>
      <c r="BU1" s="50" t="s">
        <v>251</v>
      </c>
      <c r="BV1" s="50" t="s">
        <v>252</v>
      </c>
      <c r="BW1" s="50" t="s">
        <v>253</v>
      </c>
      <c r="BX1" s="50" t="s">
        <v>254</v>
      </c>
      <c r="BY1" s="50" t="s">
        <v>128</v>
      </c>
      <c r="BZ1" s="50" t="s">
        <v>129</v>
      </c>
      <c r="CA1" s="50" t="s">
        <v>130</v>
      </c>
      <c r="CB1" s="104" t="s">
        <v>409</v>
      </c>
      <c r="CC1" s="50" t="s">
        <v>133</v>
      </c>
      <c r="CD1" s="61" t="s">
        <v>135</v>
      </c>
      <c r="CE1" s="50" t="s">
        <v>410</v>
      </c>
      <c r="CF1" s="50" t="s">
        <v>137</v>
      </c>
      <c r="CG1" s="50" t="s">
        <v>138</v>
      </c>
      <c r="CH1" s="50" t="s">
        <v>411</v>
      </c>
      <c r="CI1" s="50" t="s">
        <v>255</v>
      </c>
      <c r="CJ1" s="61" t="s">
        <v>143</v>
      </c>
      <c r="CK1" s="50" t="s">
        <v>144</v>
      </c>
      <c r="CL1" s="50" t="s">
        <v>412</v>
      </c>
      <c r="CM1" s="50" t="s">
        <v>147</v>
      </c>
      <c r="CN1" s="50" t="s">
        <v>148</v>
      </c>
      <c r="CO1" s="50" t="s">
        <v>149</v>
      </c>
      <c r="CP1" s="61" t="s">
        <v>150</v>
      </c>
      <c r="CQ1" s="50" t="s">
        <v>151</v>
      </c>
      <c r="CR1" s="50" t="s">
        <v>413</v>
      </c>
      <c r="CS1" s="50" t="s">
        <v>414</v>
      </c>
      <c r="CT1" s="50" t="s">
        <v>415</v>
      </c>
      <c r="CU1" s="50" t="s">
        <v>357</v>
      </c>
      <c r="CV1" s="50" t="s">
        <v>416</v>
      </c>
      <c r="CW1" s="50" t="s">
        <v>358</v>
      </c>
      <c r="CX1" s="50" t="s">
        <v>161</v>
      </c>
      <c r="CY1" s="50" t="s">
        <v>256</v>
      </c>
      <c r="CZ1" s="50" t="s">
        <v>257</v>
      </c>
      <c r="DA1" s="50" t="s">
        <v>165</v>
      </c>
      <c r="DB1" s="50" t="s">
        <v>166</v>
      </c>
      <c r="DC1" s="50" t="s">
        <v>258</v>
      </c>
      <c r="DD1" s="51" t="s">
        <v>259</v>
      </c>
      <c r="DE1" s="51" t="s">
        <v>260</v>
      </c>
      <c r="DF1" s="50" t="s">
        <v>261</v>
      </c>
      <c r="DG1" s="50" t="s">
        <v>262</v>
      </c>
      <c r="DH1" s="61" t="s">
        <v>173</v>
      </c>
      <c r="DI1" s="50" t="s">
        <v>417</v>
      </c>
      <c r="DJ1" s="50" t="s">
        <v>175</v>
      </c>
      <c r="DK1" s="50" t="s">
        <v>176</v>
      </c>
      <c r="DL1" s="61" t="s">
        <v>178</v>
      </c>
      <c r="DM1" s="50" t="s">
        <v>418</v>
      </c>
      <c r="DN1" s="50" t="s">
        <v>419</v>
      </c>
      <c r="DO1" s="74" t="s">
        <v>180</v>
      </c>
      <c r="DP1" s="50" t="s">
        <v>263</v>
      </c>
      <c r="DQ1" s="50" t="s">
        <v>184</v>
      </c>
      <c r="DR1" s="50" t="s">
        <v>186</v>
      </c>
      <c r="DS1" s="61" t="s">
        <v>187</v>
      </c>
      <c r="DT1" s="50" t="s">
        <v>264</v>
      </c>
      <c r="DU1" s="50" t="s">
        <v>265</v>
      </c>
      <c r="DV1" s="50" t="s">
        <v>191</v>
      </c>
      <c r="DW1" s="50" t="s">
        <v>192</v>
      </c>
      <c r="DX1" s="61" t="s">
        <v>194</v>
      </c>
      <c r="DY1" s="50" t="s">
        <v>195</v>
      </c>
      <c r="DZ1" s="50" t="s">
        <v>196</v>
      </c>
      <c r="EA1" s="50" t="s">
        <v>197</v>
      </c>
      <c r="EB1" s="50" t="s">
        <v>198</v>
      </c>
      <c r="EC1" s="98" t="s">
        <v>200</v>
      </c>
      <c r="ED1" s="50" t="s">
        <v>201</v>
      </c>
      <c r="EE1" s="50" t="s">
        <v>202</v>
      </c>
      <c r="EF1" s="75" t="s">
        <v>266</v>
      </c>
      <c r="EG1" s="50" t="s">
        <v>267</v>
      </c>
      <c r="EH1" s="61" t="s">
        <v>204</v>
      </c>
      <c r="EI1" s="50" t="s">
        <v>205</v>
      </c>
      <c r="EJ1" s="50" t="s">
        <v>207</v>
      </c>
      <c r="EK1" s="50" t="s">
        <v>268</v>
      </c>
      <c r="EL1" s="50" t="s">
        <v>210</v>
      </c>
      <c r="EM1" s="50" t="s">
        <v>211</v>
      </c>
      <c r="EN1" s="50" t="s">
        <v>269</v>
      </c>
      <c r="EO1" s="61" t="s">
        <v>215</v>
      </c>
      <c r="EP1" s="50" t="s">
        <v>216</v>
      </c>
      <c r="EQ1" s="103" t="s">
        <v>218</v>
      </c>
      <c r="ER1" s="50" t="s">
        <v>219</v>
      </c>
      <c r="ES1" s="50" t="s">
        <v>220</v>
      </c>
      <c r="ET1" s="50" t="s">
        <v>221</v>
      </c>
      <c r="EU1" s="50" t="s">
        <v>222</v>
      </c>
      <c r="EV1" s="61" t="s">
        <v>223</v>
      </c>
      <c r="EW1" s="50" t="s">
        <v>224</v>
      </c>
      <c r="EX1" s="50" t="s">
        <v>225</v>
      </c>
      <c r="EY1" s="50" t="s">
        <v>226</v>
      </c>
      <c r="EZ1" s="50" t="s">
        <v>227</v>
      </c>
      <c r="FA1" s="50" t="s">
        <v>228</v>
      </c>
      <c r="FB1" s="61" t="s">
        <v>229</v>
      </c>
      <c r="FC1" s="50" t="s">
        <v>230</v>
      </c>
      <c r="FD1" s="50" t="s">
        <v>232</v>
      </c>
      <c r="FE1" s="50" t="s">
        <v>233</v>
      </c>
      <c r="FF1" s="50" t="s">
        <v>234</v>
      </c>
      <c r="FG1" s="50" t="s">
        <v>235</v>
      </c>
      <c r="FH1" s="50" t="s">
        <v>236</v>
      </c>
      <c r="FI1" s="62" t="s">
        <v>237</v>
      </c>
      <c r="FJ1" s="62" t="s">
        <v>238</v>
      </c>
      <c r="FK1" s="99" t="s">
        <v>457</v>
      </c>
      <c r="FL1" s="62" t="s">
        <v>458</v>
      </c>
      <c r="FM1" s="62" t="s">
        <v>459</v>
      </c>
      <c r="FN1" s="62" t="s">
        <v>460</v>
      </c>
    </row>
    <row r="2" spans="1:170" ht="15.6">
      <c r="A2" s="2">
        <v>22</v>
      </c>
      <c r="B2" s="15" t="s">
        <v>270</v>
      </c>
      <c r="D2" s="63">
        <v>71.91</v>
      </c>
      <c r="E2" s="63">
        <v>26.86</v>
      </c>
      <c r="F2" s="60">
        <v>0</v>
      </c>
      <c r="G2" s="60">
        <v>0</v>
      </c>
      <c r="H2" s="112"/>
      <c r="I2" s="112"/>
      <c r="J2" s="60">
        <v>28</v>
      </c>
      <c r="K2" s="112"/>
      <c r="L2" s="112"/>
      <c r="M2" s="93" t="s">
        <v>487</v>
      </c>
      <c r="N2" s="76" t="s">
        <v>488</v>
      </c>
      <c r="O2" s="76" t="s">
        <v>489</v>
      </c>
      <c r="Q2" s="101">
        <v>9.9499999999999993</v>
      </c>
      <c r="R2" s="102">
        <v>85.16</v>
      </c>
      <c r="S2" s="101">
        <v>62.99</v>
      </c>
      <c r="T2" s="113">
        <v>49.3</v>
      </c>
      <c r="V2" s="66">
        <v>168000</v>
      </c>
      <c r="X2" s="114">
        <v>6.5</v>
      </c>
      <c r="Y2" s="114">
        <v>2115.3000000000002</v>
      </c>
      <c r="Z2" s="71">
        <v>1192</v>
      </c>
      <c r="AA2" s="80">
        <v>19.600000000000001</v>
      </c>
      <c r="AB2" s="80">
        <v>52.7</v>
      </c>
      <c r="AC2" s="58">
        <v>24.9</v>
      </c>
      <c r="AD2" s="84">
        <v>70.77</v>
      </c>
      <c r="AE2" s="84">
        <v>64.5</v>
      </c>
      <c r="AF2" s="60">
        <v>77.08</v>
      </c>
      <c r="AG2" s="60">
        <v>30382</v>
      </c>
      <c r="AH2" s="60">
        <f t="shared" ref="AH2:AH86" si="0">AG2/(1000)</f>
        <v>30.382000000000001</v>
      </c>
      <c r="AI2" s="71">
        <v>579.59500000000003</v>
      </c>
      <c r="AJ2" s="115">
        <v>1.3584499999999999</v>
      </c>
      <c r="AK2" s="70">
        <v>780</v>
      </c>
      <c r="AL2" s="90">
        <v>7</v>
      </c>
      <c r="AM2" s="77">
        <v>618</v>
      </c>
      <c r="AO2" s="116">
        <v>62.7</v>
      </c>
      <c r="AP2" s="71">
        <v>36431</v>
      </c>
      <c r="AQ2" s="117" t="s">
        <v>2210</v>
      </c>
      <c r="AR2" s="100">
        <v>67.3</v>
      </c>
      <c r="AS2" s="81">
        <v>0.5</v>
      </c>
      <c r="AT2" s="118">
        <v>3.4</v>
      </c>
      <c r="AU2" s="106">
        <v>12.2</v>
      </c>
      <c r="AV2" s="71">
        <v>44.1</v>
      </c>
      <c r="AX2" s="119"/>
      <c r="AY2" s="112"/>
      <c r="AZ2" s="82" t="s">
        <v>490</v>
      </c>
      <c r="BA2" s="79" t="s">
        <v>491</v>
      </c>
      <c r="BB2" s="79" t="s">
        <v>492</v>
      </c>
      <c r="BD2" s="78">
        <v>103.3</v>
      </c>
      <c r="BE2" s="120">
        <v>102.5</v>
      </c>
      <c r="BF2" s="64" t="s">
        <v>493</v>
      </c>
      <c r="BG2" s="60">
        <v>110.6</v>
      </c>
      <c r="BH2" s="68">
        <v>46137</v>
      </c>
      <c r="BI2" s="121" t="s">
        <v>23</v>
      </c>
      <c r="BJ2" s="112"/>
      <c r="BK2" s="122">
        <v>13.3</v>
      </c>
      <c r="BL2" s="123">
        <v>28083</v>
      </c>
      <c r="BM2" s="115" t="s">
        <v>494</v>
      </c>
      <c r="BN2" s="115" t="s">
        <v>495</v>
      </c>
      <c r="BP2" s="115">
        <v>0.94599999999999995</v>
      </c>
      <c r="BQ2" s="84">
        <v>0.36</v>
      </c>
      <c r="BR2" s="85" t="s">
        <v>496</v>
      </c>
      <c r="BS2" s="85" t="s">
        <v>497</v>
      </c>
      <c r="BT2" s="115">
        <v>28.4</v>
      </c>
      <c r="BU2" s="124">
        <v>38.9</v>
      </c>
      <c r="BV2" s="125">
        <v>1843</v>
      </c>
      <c r="BW2" s="80">
        <v>435</v>
      </c>
      <c r="BX2" s="80">
        <v>49</v>
      </c>
      <c r="BY2" s="78">
        <v>85.4</v>
      </c>
      <c r="BZ2" s="115">
        <v>92.08</v>
      </c>
      <c r="CA2" s="115">
        <v>57.44</v>
      </c>
      <c r="CB2" s="112"/>
      <c r="CC2" s="112"/>
      <c r="CE2" s="70">
        <v>286.89999999999998</v>
      </c>
      <c r="CF2" s="70">
        <v>18.5</v>
      </c>
      <c r="CG2" s="69">
        <v>245</v>
      </c>
      <c r="CH2" s="69">
        <v>242</v>
      </c>
      <c r="CI2" s="69">
        <v>8.6999999999999993</v>
      </c>
      <c r="CJ2" s="126">
        <v>104.42</v>
      </c>
      <c r="CK2" s="60">
        <v>104.4</v>
      </c>
      <c r="CL2" s="127">
        <v>45.75</v>
      </c>
      <c r="CM2" s="127">
        <v>614.70000000000005</v>
      </c>
      <c r="CN2" s="107">
        <v>3.9</v>
      </c>
      <c r="CO2" s="58">
        <v>1041.5</v>
      </c>
      <c r="CQ2" s="108" t="s">
        <v>2211</v>
      </c>
      <c r="CR2" s="78">
        <v>12</v>
      </c>
      <c r="CS2" s="78">
        <v>597.70000000000005</v>
      </c>
      <c r="CT2" s="78">
        <v>93.1</v>
      </c>
      <c r="CU2" s="128" t="s">
        <v>498</v>
      </c>
      <c r="CV2" s="128">
        <v>109.6</v>
      </c>
      <c r="CW2" s="128" t="s">
        <v>499</v>
      </c>
      <c r="CX2" s="60" t="s">
        <v>500</v>
      </c>
      <c r="CY2" s="60">
        <v>29.4</v>
      </c>
      <c r="CZ2" s="60" t="s">
        <v>501</v>
      </c>
      <c r="DA2" s="129">
        <v>238277</v>
      </c>
      <c r="DB2" s="129">
        <v>143893</v>
      </c>
      <c r="DC2" s="70">
        <v>1217.7</v>
      </c>
      <c r="DD2" s="86" t="s">
        <v>502</v>
      </c>
      <c r="DE2" s="60" t="s">
        <v>503</v>
      </c>
      <c r="DF2" s="60" t="s">
        <v>504</v>
      </c>
      <c r="DG2" s="60" t="s">
        <v>505</v>
      </c>
      <c r="DI2" s="70">
        <v>200</v>
      </c>
      <c r="DJ2" s="70">
        <v>79</v>
      </c>
      <c r="DK2" s="130">
        <v>105.9</v>
      </c>
      <c r="DM2" s="80">
        <v>234</v>
      </c>
      <c r="DN2" s="80">
        <v>228</v>
      </c>
      <c r="DO2" s="70">
        <v>5034</v>
      </c>
      <c r="DP2" s="131">
        <v>97.7</v>
      </c>
      <c r="DQ2" s="132">
        <v>56.9</v>
      </c>
      <c r="DR2" s="60">
        <v>30.6</v>
      </c>
      <c r="DS2" s="78"/>
      <c r="DT2" s="90">
        <v>179</v>
      </c>
      <c r="DU2" s="60">
        <v>425</v>
      </c>
      <c r="DV2" s="70">
        <v>13</v>
      </c>
      <c r="DW2" s="70">
        <v>124.7</v>
      </c>
      <c r="DX2" s="78"/>
      <c r="DY2" s="70">
        <v>110.2</v>
      </c>
      <c r="DZ2" s="70">
        <v>107.3</v>
      </c>
      <c r="EA2" s="70">
        <v>108.9</v>
      </c>
      <c r="EB2" s="70">
        <v>106.7</v>
      </c>
      <c r="EC2" s="86">
        <v>106555</v>
      </c>
      <c r="ED2" s="60" t="s">
        <v>497</v>
      </c>
      <c r="EE2" s="60">
        <v>107.4</v>
      </c>
      <c r="EF2" s="60">
        <v>93.1</v>
      </c>
      <c r="EG2" s="60">
        <v>103.7</v>
      </c>
      <c r="EH2" s="78"/>
      <c r="EI2" s="60">
        <v>35.5</v>
      </c>
      <c r="EJ2" s="89">
        <v>2633.5</v>
      </c>
      <c r="EK2" s="89">
        <v>699</v>
      </c>
      <c r="EL2" s="87">
        <v>2855</v>
      </c>
      <c r="EM2" s="133">
        <v>19.899999999999999</v>
      </c>
      <c r="EN2" s="133" t="s">
        <v>506</v>
      </c>
      <c r="EO2" s="78"/>
      <c r="EP2" s="133" t="s">
        <v>507</v>
      </c>
      <c r="EQ2" s="134">
        <v>14142</v>
      </c>
      <c r="ER2" s="60">
        <v>89368</v>
      </c>
      <c r="ES2" s="60">
        <v>325291</v>
      </c>
      <c r="ET2" s="110" t="s">
        <v>2212</v>
      </c>
      <c r="EU2" s="110" t="s">
        <v>2213</v>
      </c>
      <c r="EV2" s="78"/>
      <c r="EW2" s="135">
        <v>81.400000000000006</v>
      </c>
      <c r="EX2" s="136">
        <v>39.1</v>
      </c>
      <c r="EY2" s="137"/>
      <c r="EZ2" s="136">
        <v>1853.3</v>
      </c>
      <c r="FA2" s="109">
        <v>24.3</v>
      </c>
      <c r="FB2" s="78"/>
      <c r="FC2" s="137"/>
      <c r="FD2" s="137"/>
      <c r="FE2" s="70">
        <v>942</v>
      </c>
      <c r="FF2" s="137"/>
      <c r="FG2" s="137"/>
      <c r="FH2" s="70">
        <v>2163</v>
      </c>
      <c r="FI2" s="70">
        <v>6540</v>
      </c>
      <c r="FJ2" s="137"/>
      <c r="FK2" s="70"/>
      <c r="FL2" s="90" t="s">
        <v>508</v>
      </c>
      <c r="FM2" s="90" t="s">
        <v>509</v>
      </c>
      <c r="FN2" s="90" t="s">
        <v>510</v>
      </c>
    </row>
    <row r="3" spans="1:170" ht="15.6">
      <c r="A3" s="2">
        <v>28</v>
      </c>
      <c r="B3" s="52" t="s">
        <v>271</v>
      </c>
      <c r="D3" s="63">
        <v>70.42</v>
      </c>
      <c r="E3" s="63">
        <v>28.25</v>
      </c>
      <c r="F3" s="60">
        <v>0</v>
      </c>
      <c r="G3" s="60">
        <v>0</v>
      </c>
      <c r="H3" s="112"/>
      <c r="I3" s="112"/>
      <c r="J3" s="60">
        <v>70</v>
      </c>
      <c r="K3" s="112"/>
      <c r="L3" s="112"/>
      <c r="M3" s="93" t="s">
        <v>426</v>
      </c>
      <c r="N3" s="76" t="s">
        <v>511</v>
      </c>
      <c r="O3" s="76" t="s">
        <v>489</v>
      </c>
      <c r="Q3" s="101">
        <v>9.9499999999999993</v>
      </c>
      <c r="R3" s="102">
        <v>85.16</v>
      </c>
      <c r="S3" s="101">
        <v>62.99</v>
      </c>
      <c r="T3" s="113">
        <v>54.71</v>
      </c>
      <c r="V3" s="66">
        <v>361900</v>
      </c>
      <c r="X3" s="114">
        <v>7.8</v>
      </c>
      <c r="Y3" s="114">
        <v>2115.3000000000002</v>
      </c>
      <c r="Z3" s="71">
        <v>1119</v>
      </c>
      <c r="AA3" s="80">
        <v>20</v>
      </c>
      <c r="AB3" s="80">
        <v>57</v>
      </c>
      <c r="AC3" s="58">
        <v>20.7</v>
      </c>
      <c r="AD3" s="84">
        <v>68.25</v>
      </c>
      <c r="AE3" s="84">
        <v>62.3</v>
      </c>
      <c r="AF3" s="60">
        <v>74.739999999999995</v>
      </c>
      <c r="AG3" s="60">
        <v>10569</v>
      </c>
      <c r="AH3" s="60">
        <f t="shared" si="0"/>
        <v>10.569000000000001</v>
      </c>
      <c r="AI3" s="71">
        <v>730.74</v>
      </c>
      <c r="AJ3" s="115">
        <v>1.47662</v>
      </c>
      <c r="AK3" s="70">
        <v>837</v>
      </c>
      <c r="AL3" s="90">
        <v>6</v>
      </c>
      <c r="AM3" s="77">
        <v>77</v>
      </c>
      <c r="AO3" s="116">
        <v>64.7</v>
      </c>
      <c r="AP3" s="71">
        <v>54055</v>
      </c>
      <c r="AQ3" s="117" t="s">
        <v>2214</v>
      </c>
      <c r="AR3" s="100">
        <v>66.900000000000006</v>
      </c>
      <c r="AS3" s="81">
        <v>0.1</v>
      </c>
      <c r="AT3" s="118">
        <v>2.2999999999999998</v>
      </c>
      <c r="AU3" s="106">
        <v>14.8</v>
      </c>
      <c r="AV3" s="71">
        <v>36.1</v>
      </c>
      <c r="AX3" s="119"/>
      <c r="AY3" s="112"/>
      <c r="AZ3" s="82" t="s">
        <v>512</v>
      </c>
      <c r="BA3" s="79" t="s">
        <v>513</v>
      </c>
      <c r="BB3" s="79" t="s">
        <v>514</v>
      </c>
      <c r="BD3" s="78">
        <v>99.9</v>
      </c>
      <c r="BE3" s="120">
        <v>101.7</v>
      </c>
      <c r="BF3" s="64" t="s">
        <v>515</v>
      </c>
      <c r="BG3" s="60">
        <v>102.9</v>
      </c>
      <c r="BH3" s="96">
        <v>72999</v>
      </c>
      <c r="BI3" s="121"/>
      <c r="BJ3" s="112"/>
      <c r="BK3" s="122">
        <v>11.8</v>
      </c>
      <c r="BL3" s="123">
        <v>40104</v>
      </c>
      <c r="BM3" s="115" t="s">
        <v>516</v>
      </c>
      <c r="BN3" s="115" t="s">
        <v>517</v>
      </c>
      <c r="BP3" s="115">
        <v>0.496</v>
      </c>
      <c r="BQ3" s="84">
        <v>0.28799999999999998</v>
      </c>
      <c r="BR3" s="85" t="s">
        <v>518</v>
      </c>
      <c r="BS3" s="85" t="s">
        <v>519</v>
      </c>
      <c r="BT3" s="115">
        <v>28.1</v>
      </c>
      <c r="BU3" s="124">
        <v>39.1</v>
      </c>
      <c r="BV3" s="125">
        <v>2493</v>
      </c>
      <c r="BW3" s="80">
        <v>144</v>
      </c>
      <c r="BX3" s="80">
        <v>53</v>
      </c>
      <c r="BY3" s="78">
        <v>70.599999999999994</v>
      </c>
      <c r="BZ3" s="115">
        <v>75.83</v>
      </c>
      <c r="CA3" s="115">
        <v>62.58</v>
      </c>
      <c r="CB3" s="112"/>
      <c r="CC3" s="112"/>
      <c r="CE3" s="70">
        <v>99.4</v>
      </c>
      <c r="CF3" s="70">
        <v>6.5</v>
      </c>
      <c r="CG3" s="69">
        <v>204</v>
      </c>
      <c r="CH3" s="69">
        <v>204</v>
      </c>
      <c r="CI3" s="69">
        <v>2.5</v>
      </c>
      <c r="CJ3" s="126">
        <v>107.54</v>
      </c>
      <c r="CK3" s="60">
        <v>107.5</v>
      </c>
      <c r="CL3" s="127">
        <v>56.91</v>
      </c>
      <c r="CM3" s="127">
        <v>752.4</v>
      </c>
      <c r="CN3" s="107">
        <v>3.8</v>
      </c>
      <c r="CO3" s="58">
        <v>885.8</v>
      </c>
      <c r="CQ3" s="108" t="s">
        <v>2215</v>
      </c>
      <c r="CR3" s="78">
        <v>139.80000000000001</v>
      </c>
      <c r="CS3" s="78">
        <v>150.6</v>
      </c>
      <c r="CT3" s="78">
        <v>94.2</v>
      </c>
      <c r="CU3" s="128" t="s">
        <v>520</v>
      </c>
      <c r="CV3" s="128">
        <v>143.4</v>
      </c>
      <c r="CW3" s="128" t="s">
        <v>521</v>
      </c>
      <c r="CX3" s="60" t="s">
        <v>522</v>
      </c>
      <c r="CY3" s="60">
        <v>33.299999999999997</v>
      </c>
      <c r="CZ3" s="112" t="s">
        <v>361</v>
      </c>
      <c r="DA3" s="129">
        <v>355277</v>
      </c>
      <c r="DB3" s="129">
        <v>60872</v>
      </c>
      <c r="DC3" s="70">
        <v>772.7</v>
      </c>
      <c r="DD3" s="86" t="s">
        <v>523</v>
      </c>
      <c r="DE3" s="60" t="s">
        <v>524</v>
      </c>
      <c r="DF3" s="60" t="s">
        <v>525</v>
      </c>
      <c r="DG3" s="60" t="s">
        <v>526</v>
      </c>
      <c r="DI3" s="70">
        <v>37</v>
      </c>
      <c r="DJ3" s="70">
        <v>96</v>
      </c>
      <c r="DK3" s="130">
        <v>152.80000000000001</v>
      </c>
      <c r="DM3" s="80">
        <v>172</v>
      </c>
      <c r="DN3" s="80">
        <v>546</v>
      </c>
      <c r="DO3" s="70">
        <v>1909</v>
      </c>
      <c r="DP3" s="131">
        <v>98.3</v>
      </c>
      <c r="DQ3" s="132">
        <v>4.8</v>
      </c>
      <c r="DR3" s="60">
        <v>23.5</v>
      </c>
      <c r="DS3" s="78"/>
      <c r="DT3" s="90">
        <v>157</v>
      </c>
      <c r="DU3" s="60">
        <v>115</v>
      </c>
      <c r="DV3" s="70">
        <v>60</v>
      </c>
      <c r="DW3" s="70">
        <v>97.1</v>
      </c>
      <c r="DX3" s="78"/>
      <c r="DY3" s="70">
        <v>108.6</v>
      </c>
      <c r="DZ3" s="70">
        <v>108.6</v>
      </c>
      <c r="EA3" s="70">
        <v>107.7</v>
      </c>
      <c r="EB3" s="70">
        <v>106.1</v>
      </c>
      <c r="EC3" s="86">
        <v>143763</v>
      </c>
      <c r="ED3" s="60" t="s">
        <v>519</v>
      </c>
      <c r="EE3" s="60">
        <v>105.3</v>
      </c>
      <c r="EF3" s="60">
        <v>94.2</v>
      </c>
      <c r="EG3" s="60">
        <v>93.4</v>
      </c>
      <c r="EH3" s="78"/>
      <c r="EI3" s="60">
        <v>44.4</v>
      </c>
      <c r="EJ3" s="89">
        <v>973.5</v>
      </c>
      <c r="EK3" s="89">
        <v>237</v>
      </c>
      <c r="EL3" s="87">
        <v>717</v>
      </c>
      <c r="EM3" s="133">
        <v>10.6</v>
      </c>
      <c r="EN3" s="133">
        <v>845.7</v>
      </c>
      <c r="EO3" s="78"/>
      <c r="EP3" s="133" t="s">
        <v>527</v>
      </c>
      <c r="EQ3" s="134">
        <v>8082</v>
      </c>
      <c r="ER3" s="60">
        <v>54693</v>
      </c>
      <c r="ES3" s="60">
        <v>166354</v>
      </c>
      <c r="ET3" s="110" t="s">
        <v>2216</v>
      </c>
      <c r="EU3" s="110" t="s">
        <v>2217</v>
      </c>
      <c r="EV3" s="78"/>
      <c r="EW3" s="135">
        <v>93.8</v>
      </c>
      <c r="EX3" s="136">
        <v>37.200000000000003</v>
      </c>
      <c r="EY3" s="137"/>
      <c r="EZ3" s="136">
        <v>1741.2</v>
      </c>
      <c r="FA3" s="109">
        <v>22.5</v>
      </c>
      <c r="FB3" s="78"/>
      <c r="FC3" s="137"/>
      <c r="FD3" s="137"/>
      <c r="FE3" s="70">
        <v>287</v>
      </c>
      <c r="FF3" s="137"/>
      <c r="FG3" s="137"/>
      <c r="FH3" s="70">
        <v>922</v>
      </c>
      <c r="FI3" s="70">
        <v>2431</v>
      </c>
      <c r="FJ3" s="137"/>
      <c r="FK3" s="70"/>
      <c r="FL3" s="90" t="s">
        <v>528</v>
      </c>
      <c r="FM3" s="90" t="s">
        <v>529</v>
      </c>
      <c r="FN3" s="90" t="s">
        <v>530</v>
      </c>
    </row>
    <row r="4" spans="1:170" ht="15.6">
      <c r="A4" s="2">
        <v>29</v>
      </c>
      <c r="B4" s="52" t="s">
        <v>272</v>
      </c>
      <c r="D4" s="63">
        <v>65.78</v>
      </c>
      <c r="E4" s="63">
        <v>33.380000000000003</v>
      </c>
      <c r="F4" s="60">
        <v>0</v>
      </c>
      <c r="G4" s="60">
        <v>0</v>
      </c>
      <c r="H4" s="112"/>
      <c r="I4" s="112"/>
      <c r="J4" s="60">
        <v>43</v>
      </c>
      <c r="K4" s="112"/>
      <c r="L4" s="112"/>
      <c r="M4" s="93" t="s">
        <v>423</v>
      </c>
      <c r="N4" s="76" t="s">
        <v>531</v>
      </c>
      <c r="O4" s="76" t="s">
        <v>489</v>
      </c>
      <c r="Q4" s="101">
        <v>9.9499999999999993</v>
      </c>
      <c r="R4" s="102">
        <v>85.16</v>
      </c>
      <c r="S4" s="101">
        <v>62.99</v>
      </c>
      <c r="T4" s="113">
        <v>51.68</v>
      </c>
      <c r="V4" s="66">
        <v>413100</v>
      </c>
      <c r="X4" s="114">
        <v>6.9</v>
      </c>
      <c r="Y4" s="114">
        <v>2115.3000000000002</v>
      </c>
      <c r="Z4" s="71">
        <v>1167</v>
      </c>
      <c r="AA4" s="80">
        <v>18.100000000000001</v>
      </c>
      <c r="AB4" s="80">
        <v>53.6</v>
      </c>
      <c r="AC4" s="58">
        <v>26.1</v>
      </c>
      <c r="AD4" s="84">
        <v>71.540000000000006</v>
      </c>
      <c r="AE4" s="84">
        <v>65.52</v>
      </c>
      <c r="AF4" s="60">
        <v>77.790000000000006</v>
      </c>
      <c r="AG4" s="60">
        <v>13607</v>
      </c>
      <c r="AH4" s="60">
        <f t="shared" si="0"/>
        <v>13.606999999999999</v>
      </c>
      <c r="AI4" s="71">
        <v>597.74</v>
      </c>
      <c r="AJ4" s="70">
        <v>1.4370000000000001</v>
      </c>
      <c r="AK4" s="70">
        <v>727</v>
      </c>
      <c r="AL4" s="90">
        <v>6</v>
      </c>
      <c r="AM4" s="77">
        <v>35</v>
      </c>
      <c r="AO4" s="116">
        <v>54.4</v>
      </c>
      <c r="AP4" s="71">
        <v>55952</v>
      </c>
      <c r="AQ4" s="117" t="s">
        <v>2218</v>
      </c>
      <c r="AR4" s="100">
        <v>72</v>
      </c>
      <c r="AS4" s="81">
        <v>0.6</v>
      </c>
      <c r="AT4" s="118">
        <v>6.2</v>
      </c>
      <c r="AU4" s="106">
        <v>12.5</v>
      </c>
      <c r="AV4" s="71">
        <v>56.2</v>
      </c>
      <c r="AX4" s="119"/>
      <c r="AY4" s="112"/>
      <c r="AZ4" s="82" t="s">
        <v>532</v>
      </c>
      <c r="BA4" s="79" t="s">
        <v>533</v>
      </c>
      <c r="BB4" s="79" t="s">
        <v>534</v>
      </c>
      <c r="BD4" s="78">
        <v>105.9</v>
      </c>
      <c r="BE4" s="120">
        <v>102</v>
      </c>
      <c r="BF4" s="64">
        <v>24115</v>
      </c>
      <c r="BG4" s="70">
        <v>106.2</v>
      </c>
      <c r="BH4" s="68">
        <v>72540</v>
      </c>
      <c r="BI4" s="121"/>
      <c r="BJ4" s="112"/>
      <c r="BK4" s="138">
        <v>9</v>
      </c>
      <c r="BL4" s="123">
        <v>43161</v>
      </c>
      <c r="BM4" s="115" t="s">
        <v>435</v>
      </c>
      <c r="BN4" s="115" t="s">
        <v>535</v>
      </c>
      <c r="BP4" s="115">
        <v>0.441</v>
      </c>
      <c r="BQ4" s="84">
        <v>0.29199999999999998</v>
      </c>
      <c r="BR4" s="85" t="s">
        <v>536</v>
      </c>
      <c r="BS4" s="85" t="s">
        <v>537</v>
      </c>
      <c r="BT4" s="115">
        <v>34.200000000000003</v>
      </c>
      <c r="BU4" s="124">
        <v>35.799999999999997</v>
      </c>
      <c r="BV4" s="125">
        <v>1355</v>
      </c>
      <c r="BW4" s="80">
        <v>332</v>
      </c>
      <c r="BX4" s="80">
        <v>59</v>
      </c>
      <c r="BY4" s="78">
        <v>64.900000000000006</v>
      </c>
      <c r="BZ4" s="115">
        <v>64.53</v>
      </c>
      <c r="CA4" s="115">
        <v>56.67</v>
      </c>
      <c r="CB4" s="112"/>
      <c r="CC4" s="112"/>
      <c r="CE4" s="70">
        <v>127.3</v>
      </c>
      <c r="CF4" s="70">
        <v>8.5</v>
      </c>
      <c r="CG4" s="69">
        <v>186</v>
      </c>
      <c r="CH4" s="69">
        <v>182</v>
      </c>
      <c r="CI4" s="69">
        <v>2.7</v>
      </c>
      <c r="CJ4" s="126">
        <v>108.79</v>
      </c>
      <c r="CK4" s="60">
        <v>108.8</v>
      </c>
      <c r="CL4" s="127">
        <v>62.34</v>
      </c>
      <c r="CM4" s="139">
        <v>644.9</v>
      </c>
      <c r="CN4" s="107">
        <v>3.3</v>
      </c>
      <c r="CO4" s="58">
        <v>1127.0999999999999</v>
      </c>
      <c r="CQ4" s="108" t="s">
        <v>2219</v>
      </c>
      <c r="CR4" s="78">
        <v>603.9</v>
      </c>
      <c r="CS4" s="78">
        <v>405.8</v>
      </c>
      <c r="CT4" s="78">
        <v>101.6</v>
      </c>
      <c r="CU4" s="128" t="s">
        <v>538</v>
      </c>
      <c r="CV4" s="128">
        <v>100.8</v>
      </c>
      <c r="CW4" s="128" t="s">
        <v>539</v>
      </c>
      <c r="CX4" s="60" t="s">
        <v>540</v>
      </c>
      <c r="CY4" s="60">
        <v>28.8</v>
      </c>
      <c r="CZ4" s="60" t="s">
        <v>541</v>
      </c>
      <c r="DA4" s="129">
        <v>363414</v>
      </c>
      <c r="DB4" s="129">
        <v>90685</v>
      </c>
      <c r="DC4" s="70">
        <v>1263.0999999999999</v>
      </c>
      <c r="DD4" s="86" t="s">
        <v>542</v>
      </c>
      <c r="DE4" s="60" t="s">
        <v>543</v>
      </c>
      <c r="DF4" s="60" t="s">
        <v>544</v>
      </c>
      <c r="DG4" s="60" t="s">
        <v>545</v>
      </c>
      <c r="DI4" s="70">
        <v>30</v>
      </c>
      <c r="DJ4" s="70">
        <v>87</v>
      </c>
      <c r="DK4" s="130">
        <v>79.900000000000006</v>
      </c>
      <c r="DM4" s="80">
        <v>267</v>
      </c>
      <c r="DN4" s="80" t="s">
        <v>365</v>
      </c>
      <c r="DO4" s="70">
        <v>1893</v>
      </c>
      <c r="DP4" s="131">
        <v>98.7</v>
      </c>
      <c r="DQ4" s="132">
        <v>37.799999999999997</v>
      </c>
      <c r="DR4" s="60">
        <v>29.1</v>
      </c>
      <c r="DS4" s="78"/>
      <c r="DT4" s="90">
        <v>119</v>
      </c>
      <c r="DU4" s="60">
        <v>500</v>
      </c>
      <c r="DV4" s="70">
        <v>247</v>
      </c>
      <c r="DW4" s="70">
        <v>90.3</v>
      </c>
      <c r="DX4" s="78"/>
      <c r="DY4" s="70">
        <v>108.5</v>
      </c>
      <c r="DZ4" s="70">
        <v>109.2</v>
      </c>
      <c r="EA4" s="70">
        <v>109.2</v>
      </c>
      <c r="EB4" s="70">
        <v>106.7</v>
      </c>
      <c r="EC4" s="86" t="s">
        <v>536</v>
      </c>
      <c r="ED4" s="60" t="s">
        <v>537</v>
      </c>
      <c r="EE4" s="60">
        <v>106.4</v>
      </c>
      <c r="EF4" s="60">
        <v>101.5</v>
      </c>
      <c r="EG4" s="60">
        <v>97.3</v>
      </c>
      <c r="EH4" s="78"/>
      <c r="EI4" s="60">
        <v>47.8</v>
      </c>
      <c r="EJ4" s="89">
        <v>2290.4</v>
      </c>
      <c r="EK4" s="140"/>
      <c r="EL4" s="141">
        <v>1208</v>
      </c>
      <c r="EM4" s="133">
        <v>20.2</v>
      </c>
      <c r="EN4" s="142">
        <v>161455.20000000001</v>
      </c>
      <c r="EO4" s="78"/>
      <c r="EP4" s="133" t="s">
        <v>546</v>
      </c>
      <c r="EQ4" s="134">
        <v>7921</v>
      </c>
      <c r="ER4" s="60">
        <v>50986</v>
      </c>
      <c r="ES4" s="60">
        <v>210627</v>
      </c>
      <c r="ET4" s="110" t="s">
        <v>2220</v>
      </c>
      <c r="EU4" s="110" t="s">
        <v>2221</v>
      </c>
      <c r="EV4" s="78"/>
      <c r="EW4" s="135">
        <v>82.5</v>
      </c>
      <c r="EX4" s="136">
        <v>37.799999999999997</v>
      </c>
      <c r="EY4" s="137"/>
      <c r="EZ4" s="136">
        <v>2249.6</v>
      </c>
      <c r="FA4" s="109">
        <v>27.4</v>
      </c>
      <c r="FB4" s="78"/>
      <c r="FC4" s="137"/>
      <c r="FD4" s="137"/>
      <c r="FE4" s="143">
        <v>733</v>
      </c>
      <c r="FF4" s="137"/>
      <c r="FG4" s="137"/>
      <c r="FH4" s="143">
        <v>549</v>
      </c>
      <c r="FI4" s="143" t="s">
        <v>547</v>
      </c>
      <c r="FJ4" s="137"/>
      <c r="FK4" s="70"/>
      <c r="FL4" s="90" t="s">
        <v>548</v>
      </c>
      <c r="FM4" s="90" t="s">
        <v>549</v>
      </c>
      <c r="FN4" s="90" t="s">
        <v>550</v>
      </c>
    </row>
    <row r="5" spans="1:170" ht="15.6">
      <c r="A5" s="2">
        <v>30</v>
      </c>
      <c r="B5" s="52" t="s">
        <v>273</v>
      </c>
      <c r="D5" s="65">
        <v>86.7</v>
      </c>
      <c r="E5" s="63">
        <v>12.7</v>
      </c>
      <c r="F5" s="60">
        <v>0</v>
      </c>
      <c r="G5" s="60">
        <v>0</v>
      </c>
      <c r="H5" s="112"/>
      <c r="I5" s="112"/>
      <c r="J5" s="60">
        <v>41</v>
      </c>
      <c r="K5" s="112"/>
      <c r="L5" s="112"/>
      <c r="M5" s="93" t="s">
        <v>426</v>
      </c>
      <c r="N5" s="76" t="s">
        <v>511</v>
      </c>
      <c r="O5" s="76" t="s">
        <v>489</v>
      </c>
      <c r="Q5" s="101">
        <v>9.9499999999999993</v>
      </c>
      <c r="R5" s="102">
        <v>85.16</v>
      </c>
      <c r="S5" s="101">
        <v>62.99</v>
      </c>
      <c r="T5" s="113">
        <v>52.63</v>
      </c>
      <c r="V5" s="66">
        <v>49000</v>
      </c>
      <c r="X5" s="114">
        <v>5.9</v>
      </c>
      <c r="Y5" s="114">
        <v>2115.3000000000002</v>
      </c>
      <c r="Z5" s="71">
        <v>1130</v>
      </c>
      <c r="AA5" s="80">
        <v>21.2</v>
      </c>
      <c r="AB5" s="80">
        <v>54.6</v>
      </c>
      <c r="AC5" s="58">
        <v>21.6</v>
      </c>
      <c r="AD5" s="84">
        <v>72.2</v>
      </c>
      <c r="AE5" s="84">
        <v>66.8</v>
      </c>
      <c r="AF5" s="60">
        <v>77.72</v>
      </c>
      <c r="AG5" s="60">
        <v>11172</v>
      </c>
      <c r="AH5" s="60">
        <f t="shared" si="0"/>
        <v>11.172000000000001</v>
      </c>
      <c r="AI5" s="71">
        <v>465.31</v>
      </c>
      <c r="AJ5" s="70">
        <v>1.635</v>
      </c>
      <c r="AK5" s="70">
        <v>1006</v>
      </c>
      <c r="AL5" s="90">
        <v>11</v>
      </c>
      <c r="AM5" s="77">
        <v>116</v>
      </c>
      <c r="AO5" s="116">
        <v>61.9</v>
      </c>
      <c r="AP5" s="71">
        <v>36593</v>
      </c>
      <c r="AQ5" s="117" t="s">
        <v>2222</v>
      </c>
      <c r="AR5" s="100">
        <v>66.2</v>
      </c>
      <c r="AS5" s="81">
        <v>0.5</v>
      </c>
      <c r="AT5" s="118">
        <v>4</v>
      </c>
      <c r="AU5" s="106">
        <v>18.899999999999999</v>
      </c>
      <c r="AV5" s="71">
        <v>28.8</v>
      </c>
      <c r="AX5" s="119"/>
      <c r="AY5" s="112"/>
      <c r="AZ5" s="82" t="s">
        <v>551</v>
      </c>
      <c r="BA5" s="79" t="s">
        <v>552</v>
      </c>
      <c r="BB5" s="79" t="s">
        <v>553</v>
      </c>
      <c r="BD5" s="78">
        <v>103.7</v>
      </c>
      <c r="BE5" s="120">
        <v>101.5</v>
      </c>
      <c r="BF5" s="64" t="s">
        <v>554</v>
      </c>
      <c r="BG5" s="60">
        <v>106.6</v>
      </c>
      <c r="BH5" s="68">
        <v>53964</v>
      </c>
      <c r="BI5" s="121"/>
      <c r="BJ5" s="112"/>
      <c r="BK5" s="144">
        <v>12</v>
      </c>
      <c r="BL5" s="123">
        <v>29728</v>
      </c>
      <c r="BM5" s="115" t="s">
        <v>555</v>
      </c>
      <c r="BN5" s="115" t="s">
        <v>556</v>
      </c>
      <c r="BP5" s="115">
        <v>0.63200000000000001</v>
      </c>
      <c r="BQ5" s="84">
        <v>8.5999999999999993E-2</v>
      </c>
      <c r="BR5" s="85" t="s">
        <v>557</v>
      </c>
      <c r="BS5" s="85" t="s">
        <v>558</v>
      </c>
      <c r="BT5" s="115">
        <v>27.9</v>
      </c>
      <c r="BU5" s="124">
        <v>32.1</v>
      </c>
      <c r="BV5" s="125">
        <v>1621</v>
      </c>
      <c r="BW5" s="80">
        <v>196</v>
      </c>
      <c r="BX5" s="80">
        <v>10</v>
      </c>
      <c r="BY5" s="78">
        <v>87.7</v>
      </c>
      <c r="BZ5" s="115">
        <v>90.24</v>
      </c>
      <c r="CA5" s="115">
        <v>66.86</v>
      </c>
      <c r="CB5" s="112"/>
      <c r="CC5" s="112"/>
      <c r="CE5" s="70">
        <v>125.3</v>
      </c>
      <c r="CF5" s="70">
        <v>6.7</v>
      </c>
      <c r="CG5" s="69">
        <v>298</v>
      </c>
      <c r="CH5" s="69">
        <v>291</v>
      </c>
      <c r="CI5" s="69">
        <v>5.6</v>
      </c>
      <c r="CJ5" s="126">
        <v>119.02</v>
      </c>
      <c r="CK5" s="60">
        <v>119</v>
      </c>
      <c r="CL5" s="127">
        <v>61.34</v>
      </c>
      <c r="CM5" s="127">
        <v>511.4</v>
      </c>
      <c r="CN5" s="107">
        <v>4.4000000000000004</v>
      </c>
      <c r="CO5" s="58">
        <v>702.1</v>
      </c>
      <c r="CQ5" s="108" t="s">
        <v>2223</v>
      </c>
      <c r="CR5" s="78">
        <v>47.7</v>
      </c>
      <c r="CS5" s="78">
        <v>403.1</v>
      </c>
      <c r="CT5" s="78">
        <v>101.5</v>
      </c>
      <c r="CU5" s="128" t="s">
        <v>559</v>
      </c>
      <c r="CV5" s="128">
        <v>90.1</v>
      </c>
      <c r="CW5" s="128" t="s">
        <v>560</v>
      </c>
      <c r="CX5" s="60" t="s">
        <v>561</v>
      </c>
      <c r="CY5" s="60">
        <v>41.9</v>
      </c>
      <c r="CZ5" s="60" t="s">
        <v>562</v>
      </c>
      <c r="DA5" s="129">
        <v>233136</v>
      </c>
      <c r="DB5" s="129">
        <v>52480</v>
      </c>
      <c r="DC5" s="70">
        <v>538.20000000000005</v>
      </c>
      <c r="DD5" s="86" t="s">
        <v>563</v>
      </c>
      <c r="DE5" s="60" t="s">
        <v>564</v>
      </c>
      <c r="DF5" s="60" t="s">
        <v>565</v>
      </c>
      <c r="DG5" s="60" t="s">
        <v>566</v>
      </c>
      <c r="DI5" s="70">
        <v>85</v>
      </c>
      <c r="DJ5" s="70">
        <v>122</v>
      </c>
      <c r="DK5" s="130">
        <v>95.2</v>
      </c>
      <c r="DM5" s="80">
        <v>283</v>
      </c>
      <c r="DN5" s="80">
        <v>417</v>
      </c>
      <c r="DO5" s="70">
        <v>1356</v>
      </c>
      <c r="DP5" s="131">
        <v>100</v>
      </c>
      <c r="DQ5" s="132">
        <v>58.9</v>
      </c>
      <c r="DR5" s="60">
        <v>11.6</v>
      </c>
      <c r="DS5" s="78"/>
      <c r="DT5" s="90">
        <v>100</v>
      </c>
      <c r="DU5" s="60">
        <v>561</v>
      </c>
      <c r="DV5" s="70">
        <v>85</v>
      </c>
      <c r="DW5" s="70">
        <v>98.8</v>
      </c>
      <c r="DX5" s="78"/>
      <c r="DY5" s="70">
        <v>108.7</v>
      </c>
      <c r="DZ5" s="70">
        <v>104.6</v>
      </c>
      <c r="EA5" s="70">
        <v>107.5</v>
      </c>
      <c r="EB5" s="70">
        <v>103.7</v>
      </c>
      <c r="EC5" s="86" t="s">
        <v>557</v>
      </c>
      <c r="ED5" s="60" t="s">
        <v>558</v>
      </c>
      <c r="EE5" s="60">
        <v>110</v>
      </c>
      <c r="EF5" s="60">
        <v>103</v>
      </c>
      <c r="EG5" s="60">
        <v>93.4</v>
      </c>
      <c r="EH5" s="78"/>
      <c r="EI5" s="60">
        <v>47.9</v>
      </c>
      <c r="EJ5" s="89">
        <v>1541.3</v>
      </c>
      <c r="EK5" s="89">
        <v>143</v>
      </c>
      <c r="EL5" s="87">
        <v>900</v>
      </c>
      <c r="EM5" s="133">
        <v>14.8</v>
      </c>
      <c r="EN5" s="133">
        <v>572.9</v>
      </c>
      <c r="EO5" s="78"/>
      <c r="EP5" s="133" t="s">
        <v>567</v>
      </c>
      <c r="EQ5" s="134">
        <v>4628</v>
      </c>
      <c r="ER5" s="60">
        <v>48791</v>
      </c>
      <c r="ES5" s="60">
        <v>149721</v>
      </c>
      <c r="ET5" s="110" t="s">
        <v>2224</v>
      </c>
      <c r="EU5" s="110" t="s">
        <v>2225</v>
      </c>
      <c r="EV5" s="78"/>
      <c r="EW5" s="135">
        <v>89.5</v>
      </c>
      <c r="EX5" s="136">
        <v>38.1</v>
      </c>
      <c r="EY5" s="137"/>
      <c r="EZ5" s="136">
        <v>1688.2</v>
      </c>
      <c r="FA5" s="109">
        <v>23.1</v>
      </c>
      <c r="FB5" s="78"/>
      <c r="FC5" s="137"/>
      <c r="FD5" s="137"/>
      <c r="FE5" s="70">
        <v>741</v>
      </c>
      <c r="FF5" s="137"/>
      <c r="FG5" s="137"/>
      <c r="FH5" s="70">
        <v>553</v>
      </c>
      <c r="FI5" s="70">
        <v>1566</v>
      </c>
      <c r="FJ5" s="137"/>
      <c r="FK5" s="70"/>
      <c r="FL5" s="90" t="s">
        <v>480</v>
      </c>
      <c r="FM5" s="90" t="s">
        <v>568</v>
      </c>
      <c r="FN5" s="90" t="s">
        <v>569</v>
      </c>
    </row>
    <row r="6" spans="1:170" ht="15.6">
      <c r="A6" s="2">
        <v>31</v>
      </c>
      <c r="B6" s="52" t="s">
        <v>274</v>
      </c>
      <c r="D6" s="63">
        <v>81.760000000000005</v>
      </c>
      <c r="E6" s="63">
        <v>17.420000000000002</v>
      </c>
      <c r="F6" s="60">
        <v>0</v>
      </c>
      <c r="G6" s="60">
        <v>0</v>
      </c>
      <c r="H6" s="112"/>
      <c r="I6" s="112"/>
      <c r="J6" s="60">
        <v>58</v>
      </c>
      <c r="K6" s="112"/>
      <c r="L6" s="112"/>
      <c r="M6" s="93" t="s">
        <v>429</v>
      </c>
      <c r="N6" s="76" t="s">
        <v>570</v>
      </c>
      <c r="O6" s="76" t="s">
        <v>489</v>
      </c>
      <c r="Q6" s="101">
        <v>9.9499999999999993</v>
      </c>
      <c r="R6" s="102">
        <v>85.16</v>
      </c>
      <c r="S6" s="101">
        <v>62.99</v>
      </c>
      <c r="T6" s="113">
        <v>54.02</v>
      </c>
      <c r="V6" s="66">
        <v>27100</v>
      </c>
      <c r="X6" s="114">
        <v>6.7</v>
      </c>
      <c r="Y6" s="114">
        <v>2115.3000000000002</v>
      </c>
      <c r="Z6" s="71">
        <v>1160</v>
      </c>
      <c r="AA6" s="80">
        <v>16.399999999999999</v>
      </c>
      <c r="AB6" s="80">
        <v>55</v>
      </c>
      <c r="AC6" s="58">
        <v>26.1</v>
      </c>
      <c r="AD6" s="84">
        <v>73.7</v>
      </c>
      <c r="AE6" s="84">
        <v>68.16</v>
      </c>
      <c r="AF6" s="60">
        <v>79.27</v>
      </c>
      <c r="AG6" s="60">
        <v>20163</v>
      </c>
      <c r="AH6" s="60">
        <f t="shared" si="0"/>
        <v>20.163</v>
      </c>
      <c r="AI6" s="71">
        <v>462.935</v>
      </c>
      <c r="AJ6" s="70">
        <v>1.123</v>
      </c>
      <c r="AK6" s="70">
        <v>629</v>
      </c>
      <c r="AL6" s="90">
        <v>16</v>
      </c>
      <c r="AM6" s="77">
        <v>174</v>
      </c>
      <c r="AO6" s="116">
        <v>61.3</v>
      </c>
      <c r="AP6" s="71">
        <v>47257</v>
      </c>
      <c r="AQ6" s="117" t="s">
        <v>2226</v>
      </c>
      <c r="AR6" s="100" t="s">
        <v>571</v>
      </c>
      <c r="AS6" s="81">
        <v>0.2</v>
      </c>
      <c r="AT6" s="118">
        <v>3</v>
      </c>
      <c r="AU6" s="106">
        <v>26.4</v>
      </c>
      <c r="AV6" s="71">
        <v>33.799999999999997</v>
      </c>
      <c r="AX6" s="119"/>
      <c r="AY6" s="112"/>
      <c r="AZ6" s="82" t="s">
        <v>572</v>
      </c>
      <c r="BA6" s="79" t="s">
        <v>573</v>
      </c>
      <c r="BB6" s="79" t="s">
        <v>574</v>
      </c>
      <c r="BD6" s="78">
        <v>105.2</v>
      </c>
      <c r="BE6" s="120">
        <v>101.6</v>
      </c>
      <c r="BF6" s="64" t="s">
        <v>575</v>
      </c>
      <c r="BG6" s="60">
        <v>107.8</v>
      </c>
      <c r="BH6" s="68">
        <v>54495</v>
      </c>
      <c r="BI6" s="121"/>
      <c r="BJ6" s="112"/>
      <c r="BK6" s="122">
        <v>5.6</v>
      </c>
      <c r="BL6" s="123">
        <v>35281</v>
      </c>
      <c r="BM6" s="115" t="s">
        <v>576</v>
      </c>
      <c r="BN6" s="115" t="s">
        <v>577</v>
      </c>
      <c r="BP6" s="115">
        <v>0.95899999999999996</v>
      </c>
      <c r="BQ6" s="84">
        <v>0.29799999999999999</v>
      </c>
      <c r="BR6" s="85" t="s">
        <v>479</v>
      </c>
      <c r="BS6" s="85" t="s">
        <v>578</v>
      </c>
      <c r="BT6" s="115">
        <v>36</v>
      </c>
      <c r="BU6" s="124">
        <v>37.200000000000003</v>
      </c>
      <c r="BV6" s="125">
        <v>767</v>
      </c>
      <c r="BW6" s="80">
        <v>368</v>
      </c>
      <c r="BX6" s="80">
        <v>56</v>
      </c>
      <c r="BY6" s="78">
        <v>90.2</v>
      </c>
      <c r="BZ6" s="115">
        <v>99.79</v>
      </c>
      <c r="CA6" s="115">
        <v>81.760000000000005</v>
      </c>
      <c r="CB6" s="112"/>
      <c r="CC6" s="112"/>
      <c r="CE6" s="70">
        <v>166.1</v>
      </c>
      <c r="CF6" s="70">
        <v>12.3</v>
      </c>
      <c r="CG6" s="69">
        <v>321</v>
      </c>
      <c r="CH6" s="69">
        <v>298</v>
      </c>
      <c r="CI6" s="69">
        <v>8.6999999999999993</v>
      </c>
      <c r="CJ6" s="126">
        <v>140</v>
      </c>
      <c r="CK6" s="60">
        <v>140</v>
      </c>
      <c r="CL6" s="127">
        <v>44.68</v>
      </c>
      <c r="CM6" s="127">
        <v>474.6</v>
      </c>
      <c r="CN6" s="107">
        <v>3.3</v>
      </c>
      <c r="CO6" s="58">
        <v>766.2</v>
      </c>
      <c r="CQ6" s="108" t="s">
        <v>2227</v>
      </c>
      <c r="CR6" s="78">
        <v>423.2</v>
      </c>
      <c r="CS6" s="78">
        <v>117</v>
      </c>
      <c r="CT6" s="78">
        <v>103</v>
      </c>
      <c r="CU6" s="128" t="s">
        <v>579</v>
      </c>
      <c r="CV6" s="128">
        <v>99</v>
      </c>
      <c r="CW6" s="128" t="s">
        <v>580</v>
      </c>
      <c r="CX6" s="60" t="s">
        <v>581</v>
      </c>
      <c r="CY6" s="60">
        <v>18.100000000000001</v>
      </c>
      <c r="CZ6" s="112" t="s">
        <v>361</v>
      </c>
      <c r="DA6" s="129">
        <v>302311</v>
      </c>
      <c r="DB6" s="129">
        <v>115391</v>
      </c>
      <c r="DC6" s="70">
        <v>783.8</v>
      </c>
      <c r="DD6" s="86" t="s">
        <v>582</v>
      </c>
      <c r="DE6" s="60" t="s">
        <v>583</v>
      </c>
      <c r="DF6" s="60" t="s">
        <v>584</v>
      </c>
      <c r="DG6" s="60" t="s">
        <v>585</v>
      </c>
      <c r="DI6" s="70">
        <v>732</v>
      </c>
      <c r="DJ6" s="70">
        <v>94</v>
      </c>
      <c r="DK6" s="130">
        <v>73.400000000000006</v>
      </c>
      <c r="DM6" s="80">
        <v>152</v>
      </c>
      <c r="DN6" s="80">
        <v>732</v>
      </c>
      <c r="DO6" s="70">
        <v>7185</v>
      </c>
      <c r="DP6" s="131">
        <v>98.5</v>
      </c>
      <c r="DQ6" s="132">
        <v>20.6</v>
      </c>
      <c r="DR6" s="60">
        <v>11.4</v>
      </c>
      <c r="DS6" s="78"/>
      <c r="DT6" s="90">
        <v>165</v>
      </c>
      <c r="DU6" s="60">
        <v>224</v>
      </c>
      <c r="DV6" s="70">
        <v>58</v>
      </c>
      <c r="DW6" s="70">
        <v>124.29</v>
      </c>
      <c r="DX6" s="78"/>
      <c r="DY6" s="70">
        <v>108.8</v>
      </c>
      <c r="DZ6" s="70">
        <v>106.2</v>
      </c>
      <c r="EA6" s="70">
        <v>105.4</v>
      </c>
      <c r="EB6" s="70">
        <v>104.7</v>
      </c>
      <c r="EC6" s="86" t="s">
        <v>479</v>
      </c>
      <c r="ED6" s="60" t="s">
        <v>578</v>
      </c>
      <c r="EE6" s="60">
        <v>101.6</v>
      </c>
      <c r="EF6" s="60">
        <v>105</v>
      </c>
      <c r="EG6" s="60">
        <v>91.4</v>
      </c>
      <c r="EH6" s="78"/>
      <c r="EI6" s="60">
        <v>39.4</v>
      </c>
      <c r="EJ6" s="89">
        <v>4256</v>
      </c>
      <c r="EK6" s="89">
        <v>365</v>
      </c>
      <c r="EL6" s="141">
        <v>3382</v>
      </c>
      <c r="EM6" s="133">
        <v>23.8</v>
      </c>
      <c r="EN6" s="133" t="s">
        <v>586</v>
      </c>
      <c r="EO6" s="78"/>
      <c r="EP6" s="133" t="s">
        <v>587</v>
      </c>
      <c r="EQ6" s="134">
        <v>18570</v>
      </c>
      <c r="ER6" s="60">
        <v>62352</v>
      </c>
      <c r="ES6" s="60">
        <v>219785</v>
      </c>
      <c r="ET6" s="110" t="s">
        <v>2228</v>
      </c>
      <c r="EU6" s="110" t="s">
        <v>2229</v>
      </c>
      <c r="EV6" s="78"/>
      <c r="EW6" s="135">
        <v>78.900000000000006</v>
      </c>
      <c r="EX6" s="136">
        <v>38.200000000000003</v>
      </c>
      <c r="EY6" s="137"/>
      <c r="EZ6" s="136">
        <v>1910.6</v>
      </c>
      <c r="FA6" s="109">
        <v>23</v>
      </c>
      <c r="FB6" s="78"/>
      <c r="FC6" s="137"/>
      <c r="FD6" s="137"/>
      <c r="FE6" s="70">
        <v>574</v>
      </c>
      <c r="FF6" s="137"/>
      <c r="FG6" s="137"/>
      <c r="FH6" s="70">
        <v>1553</v>
      </c>
      <c r="FI6" s="70">
        <v>1765</v>
      </c>
      <c r="FJ6" s="137"/>
      <c r="FK6" s="70"/>
      <c r="FL6" s="90" t="s">
        <v>588</v>
      </c>
      <c r="FM6" s="90" t="s">
        <v>589</v>
      </c>
      <c r="FN6" s="90" t="s">
        <v>590</v>
      </c>
    </row>
    <row r="7" spans="1:170" ht="15.6">
      <c r="A7" s="2">
        <v>32</v>
      </c>
      <c r="B7" s="52" t="s">
        <v>275</v>
      </c>
      <c r="D7" s="63">
        <v>87.55</v>
      </c>
      <c r="E7" s="63" t="s">
        <v>455</v>
      </c>
      <c r="F7" s="60">
        <v>0</v>
      </c>
      <c r="G7" s="60">
        <v>0</v>
      </c>
      <c r="H7" s="112"/>
      <c r="I7" s="112"/>
      <c r="J7" s="60">
        <v>38</v>
      </c>
      <c r="K7" s="112"/>
      <c r="L7" s="112"/>
      <c r="M7" s="93" t="s">
        <v>591</v>
      </c>
      <c r="N7" s="76" t="s">
        <v>592</v>
      </c>
      <c r="O7" s="76" t="s">
        <v>592</v>
      </c>
      <c r="Q7" s="101">
        <v>9.9499999999999993</v>
      </c>
      <c r="R7" s="102">
        <v>85.16</v>
      </c>
      <c r="S7" s="101">
        <v>62.99</v>
      </c>
      <c r="T7" s="113">
        <v>52.41</v>
      </c>
      <c r="V7" s="66">
        <v>34900</v>
      </c>
      <c r="X7" s="114">
        <v>6</v>
      </c>
      <c r="Y7" s="114">
        <v>2115.3000000000002</v>
      </c>
      <c r="Z7" s="71">
        <v>1185</v>
      </c>
      <c r="AA7" s="80">
        <v>17.100000000000001</v>
      </c>
      <c r="AB7" s="80">
        <v>54.3</v>
      </c>
      <c r="AC7" s="58">
        <v>26</v>
      </c>
      <c r="AD7" s="84">
        <v>71.98</v>
      </c>
      <c r="AE7" s="84">
        <v>65.56</v>
      </c>
      <c r="AF7" s="60">
        <v>78.510000000000005</v>
      </c>
      <c r="AG7" s="60">
        <v>16419</v>
      </c>
      <c r="AH7" s="60">
        <f t="shared" si="0"/>
        <v>16.419</v>
      </c>
      <c r="AI7" s="71">
        <v>617.78499999999997</v>
      </c>
      <c r="AJ7" s="70">
        <v>1.19</v>
      </c>
      <c r="AK7" s="70">
        <v>773</v>
      </c>
      <c r="AL7" s="90">
        <v>29</v>
      </c>
      <c r="AM7" s="77">
        <v>176</v>
      </c>
      <c r="AO7" s="116">
        <v>57.2</v>
      </c>
      <c r="AP7" s="71">
        <v>40927</v>
      </c>
      <c r="AQ7" s="117" t="s">
        <v>2230</v>
      </c>
      <c r="AR7" s="100" t="s">
        <v>593</v>
      </c>
      <c r="AS7" s="81">
        <v>0.2</v>
      </c>
      <c r="AT7" s="118">
        <v>2.6</v>
      </c>
      <c r="AU7" s="106">
        <v>24.9</v>
      </c>
      <c r="AV7" s="71">
        <v>45.8</v>
      </c>
      <c r="AX7" s="119"/>
      <c r="AY7" s="112"/>
      <c r="AZ7" s="82" t="s">
        <v>594</v>
      </c>
      <c r="BA7" s="79" t="s">
        <v>595</v>
      </c>
      <c r="BB7" s="79" t="s">
        <v>596</v>
      </c>
      <c r="BD7" s="78">
        <v>101.2</v>
      </c>
      <c r="BE7" s="120">
        <v>101.8</v>
      </c>
      <c r="BF7" s="64" t="s">
        <v>597</v>
      </c>
      <c r="BG7" s="60">
        <v>110.1</v>
      </c>
      <c r="BH7" s="68">
        <v>48080</v>
      </c>
      <c r="BI7" s="121"/>
      <c r="BJ7" s="112"/>
      <c r="BK7" s="122">
        <v>11.4</v>
      </c>
      <c r="BL7" s="123">
        <v>32470</v>
      </c>
      <c r="BM7" s="115" t="s">
        <v>450</v>
      </c>
      <c r="BN7" s="115" t="s">
        <v>598</v>
      </c>
      <c r="BP7" s="115">
        <v>0.56899999999999995</v>
      </c>
      <c r="BQ7" s="84">
        <v>0.31</v>
      </c>
      <c r="BR7" s="85" t="s">
        <v>599</v>
      </c>
      <c r="BS7" s="85" t="s">
        <v>600</v>
      </c>
      <c r="BT7" s="115">
        <v>33.1</v>
      </c>
      <c r="BU7" s="124">
        <v>33.700000000000003</v>
      </c>
      <c r="BV7" s="125">
        <v>1076</v>
      </c>
      <c r="BW7" s="80">
        <v>267</v>
      </c>
      <c r="BX7" s="80">
        <v>6</v>
      </c>
      <c r="BY7" s="78">
        <v>84</v>
      </c>
      <c r="BZ7" s="115">
        <v>93.05</v>
      </c>
      <c r="CA7" s="115">
        <v>71.319999999999993</v>
      </c>
      <c r="CB7" s="112"/>
      <c r="CC7" s="112"/>
      <c r="CE7" s="70">
        <v>130.69999999999999</v>
      </c>
      <c r="CF7" s="70">
        <v>9.1999999999999993</v>
      </c>
      <c r="CG7" s="69">
        <v>199</v>
      </c>
      <c r="CH7" s="69">
        <v>195</v>
      </c>
      <c r="CI7" s="69">
        <v>4.3</v>
      </c>
      <c r="CJ7" s="126">
        <v>133.35</v>
      </c>
      <c r="CK7" s="60">
        <v>133.30000000000001</v>
      </c>
      <c r="CL7" s="127">
        <v>40.4</v>
      </c>
      <c r="CM7" s="127">
        <v>584.4</v>
      </c>
      <c r="CN7" s="107">
        <v>5.5</v>
      </c>
      <c r="CO7" s="58">
        <v>839.3</v>
      </c>
      <c r="CQ7" s="108" t="s">
        <v>2231</v>
      </c>
      <c r="CR7" s="78">
        <v>229.9</v>
      </c>
      <c r="CS7" s="78" t="s">
        <v>601</v>
      </c>
      <c r="CT7" s="78">
        <v>105</v>
      </c>
      <c r="CU7" s="128" t="s">
        <v>602</v>
      </c>
      <c r="CV7" s="128">
        <v>93.4</v>
      </c>
      <c r="CW7" s="128" t="s">
        <v>603</v>
      </c>
      <c r="CX7" s="60" t="s">
        <v>604</v>
      </c>
      <c r="CY7" s="60">
        <v>29.4</v>
      </c>
      <c r="CZ7" s="60" t="s">
        <v>605</v>
      </c>
      <c r="DA7" s="129">
        <v>297743</v>
      </c>
      <c r="DB7" s="129">
        <v>73056</v>
      </c>
      <c r="DC7" s="70">
        <v>819.8</v>
      </c>
      <c r="DD7" s="86" t="s">
        <v>606</v>
      </c>
      <c r="DE7" s="60" t="s">
        <v>607</v>
      </c>
      <c r="DF7" s="60" t="s">
        <v>608</v>
      </c>
      <c r="DG7" s="60" t="s">
        <v>609</v>
      </c>
      <c r="DI7" s="70">
        <v>331</v>
      </c>
      <c r="DJ7" s="70">
        <v>119</v>
      </c>
      <c r="DK7" s="130">
        <v>54.7</v>
      </c>
      <c r="DM7" s="80">
        <v>173</v>
      </c>
      <c r="DN7" s="80">
        <v>677</v>
      </c>
      <c r="DO7" s="70">
        <v>2219</v>
      </c>
      <c r="DP7" s="131">
        <v>99.4</v>
      </c>
      <c r="DQ7" s="132">
        <v>14.4</v>
      </c>
      <c r="DR7" s="60">
        <v>11.4</v>
      </c>
      <c r="DS7" s="78"/>
      <c r="DT7" s="90">
        <v>55</v>
      </c>
      <c r="DU7" s="60">
        <v>93</v>
      </c>
      <c r="DV7" s="70">
        <v>53</v>
      </c>
      <c r="DW7" s="70">
        <v>101.6</v>
      </c>
      <c r="DX7" s="78"/>
      <c r="DY7" s="70">
        <v>109.8</v>
      </c>
      <c r="DZ7" s="70">
        <v>104.7</v>
      </c>
      <c r="EA7" s="70">
        <v>106.4</v>
      </c>
      <c r="EB7" s="70">
        <v>105.7</v>
      </c>
      <c r="EC7" s="86" t="s">
        <v>599</v>
      </c>
      <c r="ED7" s="60" t="s">
        <v>600</v>
      </c>
      <c r="EE7" s="60">
        <v>106.1</v>
      </c>
      <c r="EF7" s="60">
        <v>115.9</v>
      </c>
      <c r="EG7" s="60">
        <v>101.8</v>
      </c>
      <c r="EH7" s="78"/>
      <c r="EI7" s="60">
        <v>39</v>
      </c>
      <c r="EJ7" s="89">
        <v>840.9</v>
      </c>
      <c r="EK7" s="89">
        <v>52</v>
      </c>
      <c r="EL7" s="141">
        <v>1861</v>
      </c>
      <c r="EM7" s="133">
        <v>13.9</v>
      </c>
      <c r="EN7" s="133" t="s">
        <v>610</v>
      </c>
      <c r="EO7" s="78"/>
      <c r="EP7" s="133" t="s">
        <v>611</v>
      </c>
      <c r="EQ7" s="134">
        <v>6810</v>
      </c>
      <c r="ER7" s="60">
        <v>39908</v>
      </c>
      <c r="ES7" s="60">
        <v>147338</v>
      </c>
      <c r="ET7" s="110" t="s">
        <v>2232</v>
      </c>
      <c r="EU7" s="110" t="s">
        <v>2233</v>
      </c>
      <c r="EV7" s="78"/>
      <c r="EW7" s="135">
        <v>83.1</v>
      </c>
      <c r="EX7" s="136">
        <v>36.299999999999997</v>
      </c>
      <c r="EY7" s="137"/>
      <c r="EZ7" s="136">
        <v>1800.4</v>
      </c>
      <c r="FA7" s="109">
        <v>26.4</v>
      </c>
      <c r="FB7" s="78"/>
      <c r="FC7" s="137"/>
      <c r="FD7" s="137"/>
      <c r="FE7" s="70">
        <v>866</v>
      </c>
      <c r="FF7" s="137"/>
      <c r="FG7" s="137"/>
      <c r="FH7" s="70">
        <v>965</v>
      </c>
      <c r="FI7" s="70">
        <v>2285</v>
      </c>
      <c r="FJ7" s="137"/>
      <c r="FK7" s="70"/>
      <c r="FL7" s="90" t="s">
        <v>368</v>
      </c>
      <c r="FM7" s="90" t="s">
        <v>612</v>
      </c>
      <c r="FN7" s="90" t="s">
        <v>613</v>
      </c>
    </row>
    <row r="8" spans="1:170" ht="15.6">
      <c r="A8" s="2">
        <v>33</v>
      </c>
      <c r="B8" s="52" t="s">
        <v>276</v>
      </c>
      <c r="D8" s="63">
        <v>71.180000000000007</v>
      </c>
      <c r="E8" s="63">
        <v>27.82</v>
      </c>
      <c r="F8" s="60">
        <v>0</v>
      </c>
      <c r="G8" s="60">
        <v>0</v>
      </c>
      <c r="H8" s="112"/>
      <c r="I8" s="112"/>
      <c r="J8" s="60">
        <v>37</v>
      </c>
      <c r="K8" s="112"/>
      <c r="L8" s="112"/>
      <c r="M8" s="93" t="s">
        <v>420</v>
      </c>
      <c r="N8" s="76" t="s">
        <v>614</v>
      </c>
      <c r="O8" s="76" t="s">
        <v>489</v>
      </c>
      <c r="Q8" s="101">
        <v>9.9499999999999993</v>
      </c>
      <c r="R8" s="102">
        <v>85.16</v>
      </c>
      <c r="S8" s="101">
        <v>62.99</v>
      </c>
      <c r="T8" s="113">
        <v>52.01</v>
      </c>
      <c r="V8" s="66">
        <v>29100</v>
      </c>
      <c r="X8" s="114">
        <v>6.1</v>
      </c>
      <c r="Y8" s="114">
        <v>2115.3000000000002</v>
      </c>
      <c r="Z8" s="71">
        <v>1204</v>
      </c>
      <c r="AA8" s="80">
        <v>16.2</v>
      </c>
      <c r="AB8" s="80">
        <v>52</v>
      </c>
      <c r="AC8" s="58">
        <v>27.3</v>
      </c>
      <c r="AD8" s="84">
        <v>71.62</v>
      </c>
      <c r="AE8" s="84">
        <v>65.430000000000007</v>
      </c>
      <c r="AF8" s="60">
        <v>77.81</v>
      </c>
      <c r="AG8" s="60">
        <v>20363</v>
      </c>
      <c r="AH8" s="60">
        <f t="shared" si="0"/>
        <v>20.363</v>
      </c>
      <c r="AI8" s="71">
        <v>634.03</v>
      </c>
      <c r="AJ8" s="70">
        <v>1.147</v>
      </c>
      <c r="AK8" s="70">
        <v>688</v>
      </c>
      <c r="AL8" s="90">
        <v>27</v>
      </c>
      <c r="AM8" s="77">
        <v>79</v>
      </c>
      <c r="AO8" s="116">
        <v>61.5</v>
      </c>
      <c r="AP8" s="71">
        <v>38649</v>
      </c>
      <c r="AQ8" s="117" t="s">
        <v>2234</v>
      </c>
      <c r="AR8" s="100">
        <v>75.7</v>
      </c>
      <c r="AS8" s="81">
        <v>0.2</v>
      </c>
      <c r="AT8" s="118">
        <v>2.1</v>
      </c>
      <c r="AU8" s="106">
        <v>20.8</v>
      </c>
      <c r="AV8" s="71">
        <v>40.5</v>
      </c>
      <c r="AX8" s="119"/>
      <c r="AY8" s="112"/>
      <c r="AZ8" s="82" t="s">
        <v>615</v>
      </c>
      <c r="BA8" s="79" t="s">
        <v>616</v>
      </c>
      <c r="BB8" s="79" t="s">
        <v>617</v>
      </c>
      <c r="BD8" s="78">
        <v>103.7</v>
      </c>
      <c r="BE8" s="120">
        <v>101.9</v>
      </c>
      <c r="BF8" s="64" t="s">
        <v>618</v>
      </c>
      <c r="BG8" s="60">
        <v>109.9</v>
      </c>
      <c r="BH8" s="68">
        <v>53286</v>
      </c>
      <c r="BI8" s="121"/>
      <c r="BJ8" s="112"/>
      <c r="BK8" s="122">
        <v>9.3000000000000007</v>
      </c>
      <c r="BL8" s="123">
        <v>29346</v>
      </c>
      <c r="BM8" s="115" t="s">
        <v>437</v>
      </c>
      <c r="BN8" s="115" t="s">
        <v>619</v>
      </c>
      <c r="BO8" s="60" t="s">
        <v>0</v>
      </c>
      <c r="BP8" s="115">
        <v>1.145</v>
      </c>
      <c r="BQ8" s="84">
        <v>0.36799999999999999</v>
      </c>
      <c r="BR8" s="85" t="s">
        <v>620</v>
      </c>
      <c r="BS8" s="85" t="s">
        <v>621</v>
      </c>
      <c r="BT8" s="115">
        <v>32.799999999999997</v>
      </c>
      <c r="BU8" s="124">
        <v>36.6</v>
      </c>
      <c r="BV8" s="125">
        <v>1808</v>
      </c>
      <c r="BW8" s="80">
        <v>275</v>
      </c>
      <c r="BX8" s="80">
        <v>21</v>
      </c>
      <c r="BY8" s="78">
        <v>86.2</v>
      </c>
      <c r="BZ8" s="115">
        <v>88</v>
      </c>
      <c r="CA8" s="115">
        <v>64.94</v>
      </c>
      <c r="CB8" s="112"/>
      <c r="CC8" s="112"/>
      <c r="CE8" s="70">
        <v>151.5</v>
      </c>
      <c r="CF8" s="70">
        <v>8.1</v>
      </c>
      <c r="CG8" s="69">
        <v>189</v>
      </c>
      <c r="CH8" s="69">
        <v>183</v>
      </c>
      <c r="CI8" s="69">
        <v>5.0999999999999996</v>
      </c>
      <c r="CJ8" s="126">
        <v>119.57</v>
      </c>
      <c r="CK8" s="60">
        <v>119.6</v>
      </c>
      <c r="CL8" s="127">
        <v>37.99</v>
      </c>
      <c r="CM8" s="127">
        <v>600</v>
      </c>
      <c r="CN8" s="107">
        <v>5.4</v>
      </c>
      <c r="CO8" s="58">
        <v>1015.3</v>
      </c>
      <c r="CQ8" s="108" t="s">
        <v>2235</v>
      </c>
      <c r="CR8" s="78">
        <v>0.2</v>
      </c>
      <c r="CS8" s="78">
        <v>454.1</v>
      </c>
      <c r="CT8" s="78">
        <v>115.9</v>
      </c>
      <c r="CU8" s="128" t="s">
        <v>622</v>
      </c>
      <c r="CV8" s="128">
        <v>91.2</v>
      </c>
      <c r="CW8" s="128" t="s">
        <v>623</v>
      </c>
      <c r="CX8" s="60" t="s">
        <v>624</v>
      </c>
      <c r="CY8" s="60">
        <v>22.3</v>
      </c>
      <c r="CZ8" s="60" t="s">
        <v>625</v>
      </c>
      <c r="DA8" s="129">
        <v>251282</v>
      </c>
      <c r="DB8" s="129">
        <v>90089</v>
      </c>
      <c r="DC8" s="70">
        <v>1310.4000000000001</v>
      </c>
      <c r="DD8" s="86" t="s">
        <v>626</v>
      </c>
      <c r="DE8" s="60" t="s">
        <v>627</v>
      </c>
      <c r="DF8" s="60" t="s">
        <v>628</v>
      </c>
      <c r="DG8" s="60" t="s">
        <v>629</v>
      </c>
      <c r="DI8" s="70">
        <v>394</v>
      </c>
      <c r="DJ8" s="70">
        <v>80</v>
      </c>
      <c r="DK8" s="130">
        <v>139.19999999999999</v>
      </c>
      <c r="DM8" s="80">
        <v>78</v>
      </c>
      <c r="DN8" s="80" t="s">
        <v>630</v>
      </c>
      <c r="DO8" s="70">
        <v>2358</v>
      </c>
      <c r="DP8" s="131">
        <v>99.9</v>
      </c>
      <c r="DQ8" s="132">
        <v>35.200000000000003</v>
      </c>
      <c r="DR8" s="60">
        <v>21.6</v>
      </c>
      <c r="DS8" s="78"/>
      <c r="DT8" s="90">
        <v>75</v>
      </c>
      <c r="DU8" s="60">
        <v>133</v>
      </c>
      <c r="DV8" s="70">
        <v>90</v>
      </c>
      <c r="DW8" s="70">
        <v>114.1</v>
      </c>
      <c r="DX8" s="78"/>
      <c r="DY8" s="70">
        <v>108.6</v>
      </c>
      <c r="DZ8" s="70">
        <v>107.4</v>
      </c>
      <c r="EA8" s="70">
        <v>107.2</v>
      </c>
      <c r="EB8" s="70">
        <v>104.5</v>
      </c>
      <c r="EC8" s="86" t="s">
        <v>620</v>
      </c>
      <c r="ED8" s="60" t="s">
        <v>621</v>
      </c>
      <c r="EE8" s="60">
        <v>105.2</v>
      </c>
      <c r="EF8" s="60">
        <v>105.7</v>
      </c>
      <c r="EG8" s="60">
        <v>109.7</v>
      </c>
      <c r="EH8" s="78"/>
      <c r="EI8" s="60">
        <v>46.3</v>
      </c>
      <c r="EJ8" s="89">
        <v>6176.4</v>
      </c>
      <c r="EK8" s="89">
        <v>331</v>
      </c>
      <c r="EL8" s="87">
        <v>4503</v>
      </c>
      <c r="EM8" s="133">
        <v>21.9</v>
      </c>
      <c r="EN8" s="142" t="s">
        <v>631</v>
      </c>
      <c r="EO8" s="78"/>
      <c r="EP8" s="133" t="s">
        <v>632</v>
      </c>
      <c r="EQ8" s="134">
        <v>10389</v>
      </c>
      <c r="ER8" s="60">
        <v>48794</v>
      </c>
      <c r="ES8" s="60">
        <v>183694</v>
      </c>
      <c r="ET8" s="110" t="s">
        <v>2236</v>
      </c>
      <c r="EU8" s="110" t="s">
        <v>2237</v>
      </c>
      <c r="EV8" s="78"/>
      <c r="EW8" s="135">
        <v>81.5</v>
      </c>
      <c r="EX8" s="136">
        <v>43.2</v>
      </c>
      <c r="EY8" s="137"/>
      <c r="EZ8" s="136">
        <v>1910.4</v>
      </c>
      <c r="FA8" s="109">
        <v>30</v>
      </c>
      <c r="FB8" s="78"/>
      <c r="FC8" s="137"/>
      <c r="FD8" s="137"/>
      <c r="FE8" s="70">
        <v>679</v>
      </c>
      <c r="FF8" s="137"/>
      <c r="FG8" s="137"/>
      <c r="FH8" s="70">
        <v>646</v>
      </c>
      <c r="FI8" s="70">
        <v>2185</v>
      </c>
      <c r="FJ8" s="137"/>
      <c r="FK8" s="70"/>
      <c r="FL8" s="90" t="s">
        <v>633</v>
      </c>
      <c r="FM8" s="90" t="s">
        <v>634</v>
      </c>
      <c r="FN8" s="90" t="s">
        <v>635</v>
      </c>
    </row>
    <row r="9" spans="1:170" ht="15.6">
      <c r="A9" s="2">
        <v>34</v>
      </c>
      <c r="B9" s="52" t="s">
        <v>277</v>
      </c>
      <c r="D9" s="63">
        <v>83.39</v>
      </c>
      <c r="E9" s="63">
        <v>15.86</v>
      </c>
      <c r="F9" s="60">
        <v>0</v>
      </c>
      <c r="G9" s="60">
        <v>0</v>
      </c>
      <c r="H9" s="112"/>
      <c r="I9" s="112"/>
      <c r="J9" s="60">
        <v>9</v>
      </c>
      <c r="K9" s="112"/>
      <c r="L9" s="112"/>
      <c r="M9" s="93" t="s">
        <v>636</v>
      </c>
      <c r="N9" s="76" t="s">
        <v>570</v>
      </c>
      <c r="O9" s="76" t="s">
        <v>489</v>
      </c>
      <c r="Q9" s="101">
        <v>9.9499999999999993</v>
      </c>
      <c r="R9" s="102">
        <v>85.16</v>
      </c>
      <c r="S9" s="101">
        <v>62.99</v>
      </c>
      <c r="T9" s="113">
        <v>53.14</v>
      </c>
      <c r="V9" s="66">
        <v>112900</v>
      </c>
      <c r="X9" s="114">
        <v>5.7</v>
      </c>
      <c r="Y9" s="114">
        <v>2115.3000000000002</v>
      </c>
      <c r="Z9" s="71">
        <v>1134</v>
      </c>
      <c r="AA9" s="80">
        <v>16.2</v>
      </c>
      <c r="AB9" s="145">
        <v>53.4</v>
      </c>
      <c r="AC9" s="58">
        <v>25</v>
      </c>
      <c r="AD9" s="84">
        <v>73.69</v>
      </c>
      <c r="AE9" s="84">
        <v>68.47</v>
      </c>
      <c r="AF9" s="60">
        <v>79.08</v>
      </c>
      <c r="AG9" s="60">
        <v>31551</v>
      </c>
      <c r="AH9" s="60">
        <f t="shared" si="0"/>
        <v>31.550999999999998</v>
      </c>
      <c r="AI9" s="71">
        <v>483.83499999999998</v>
      </c>
      <c r="AJ9" s="70">
        <v>1.119</v>
      </c>
      <c r="AK9" s="70">
        <v>757</v>
      </c>
      <c r="AL9" s="90">
        <v>29</v>
      </c>
      <c r="AM9" s="77">
        <v>399</v>
      </c>
      <c r="AO9" s="116">
        <v>59.6</v>
      </c>
      <c r="AP9" s="71">
        <v>35575</v>
      </c>
      <c r="AQ9" s="117" t="s">
        <v>2238</v>
      </c>
      <c r="AR9" s="100">
        <v>66.400000000000006</v>
      </c>
      <c r="AS9" s="81">
        <v>0.1</v>
      </c>
      <c r="AT9" s="118">
        <v>2.5</v>
      </c>
      <c r="AU9" s="106">
        <v>19.600000000000001</v>
      </c>
      <c r="AV9" s="71">
        <v>45.1</v>
      </c>
      <c r="AX9" s="119"/>
      <c r="AY9" s="112"/>
      <c r="AZ9" s="82" t="s">
        <v>637</v>
      </c>
      <c r="BA9" s="79" t="s">
        <v>638</v>
      </c>
      <c r="BB9" s="79" t="s">
        <v>639</v>
      </c>
      <c r="BD9" s="78">
        <v>102.4</v>
      </c>
      <c r="BE9" s="120">
        <v>103.5</v>
      </c>
      <c r="BF9" s="64" t="s">
        <v>640</v>
      </c>
      <c r="BG9" s="60">
        <v>111.2</v>
      </c>
      <c r="BH9" s="68">
        <v>51833</v>
      </c>
      <c r="BI9" s="121"/>
      <c r="BJ9" s="112"/>
      <c r="BK9" s="122">
        <v>9.1</v>
      </c>
      <c r="BL9" s="123">
        <v>31067</v>
      </c>
      <c r="BM9" s="115" t="s">
        <v>641</v>
      </c>
      <c r="BN9" s="115" t="s">
        <v>642</v>
      </c>
      <c r="BP9" s="115">
        <v>0.95099999999999996</v>
      </c>
      <c r="BQ9" s="84">
        <v>0.442</v>
      </c>
      <c r="BR9" s="85" t="s">
        <v>643</v>
      </c>
      <c r="BS9" s="85" t="s">
        <v>644</v>
      </c>
      <c r="BT9" s="115">
        <v>26.4</v>
      </c>
      <c r="BU9" s="124">
        <v>39.299999999999997</v>
      </c>
      <c r="BV9" s="125">
        <v>1197</v>
      </c>
      <c r="BW9" s="80">
        <v>407</v>
      </c>
      <c r="BX9" s="80">
        <v>22</v>
      </c>
      <c r="BY9" s="78">
        <v>85.4</v>
      </c>
      <c r="BZ9" s="115">
        <v>92.45</v>
      </c>
      <c r="CA9" s="115">
        <v>76.3</v>
      </c>
      <c r="CB9" s="112"/>
      <c r="CC9" s="112"/>
      <c r="CE9" s="70">
        <v>264.39999999999998</v>
      </c>
      <c r="CF9" s="70">
        <v>16.3</v>
      </c>
      <c r="CG9" s="69">
        <v>242</v>
      </c>
      <c r="CH9" s="69">
        <v>228</v>
      </c>
      <c r="CI9" s="69">
        <v>10.3</v>
      </c>
      <c r="CJ9" s="126">
        <v>115.56</v>
      </c>
      <c r="CK9" s="60">
        <v>115.6</v>
      </c>
      <c r="CL9" s="127">
        <v>45.84</v>
      </c>
      <c r="CM9" s="127">
        <v>481.3</v>
      </c>
      <c r="CN9" s="107">
        <v>4.3</v>
      </c>
      <c r="CO9" s="58">
        <v>650.5</v>
      </c>
      <c r="CQ9" s="108" t="s">
        <v>2239</v>
      </c>
      <c r="CR9" s="78">
        <v>11.1</v>
      </c>
      <c r="CS9" s="78">
        <v>859.1</v>
      </c>
      <c r="CT9" s="78">
        <v>105.7</v>
      </c>
      <c r="CU9" s="128" t="s">
        <v>645</v>
      </c>
      <c r="CV9" s="128">
        <v>121.1</v>
      </c>
      <c r="CW9" s="128" t="s">
        <v>646</v>
      </c>
      <c r="CX9" s="60" t="s">
        <v>647</v>
      </c>
      <c r="CY9" s="60">
        <v>30</v>
      </c>
      <c r="CZ9" s="60" t="s">
        <v>648</v>
      </c>
      <c r="DA9" s="129">
        <v>251681</v>
      </c>
      <c r="DB9" s="129">
        <v>186646</v>
      </c>
      <c r="DC9" s="70">
        <v>1228.4000000000001</v>
      </c>
      <c r="DD9" s="86" t="s">
        <v>649</v>
      </c>
      <c r="DE9" s="60" t="s">
        <v>650</v>
      </c>
      <c r="DF9" s="60" t="s">
        <v>651</v>
      </c>
      <c r="DG9" s="60" t="s">
        <v>464</v>
      </c>
      <c r="DI9" s="70">
        <v>153</v>
      </c>
      <c r="DJ9" s="70">
        <v>86</v>
      </c>
      <c r="DK9" s="130">
        <v>99.1</v>
      </c>
      <c r="DM9" s="80">
        <v>214</v>
      </c>
      <c r="DN9" s="80" t="s">
        <v>652</v>
      </c>
      <c r="DO9" s="70">
        <v>3880</v>
      </c>
      <c r="DP9" s="131">
        <v>97.2</v>
      </c>
      <c r="DQ9" s="132">
        <v>67.400000000000006</v>
      </c>
      <c r="DR9" s="60">
        <v>20.3</v>
      </c>
      <c r="DS9" s="78"/>
      <c r="DT9" s="90">
        <v>172</v>
      </c>
      <c r="DU9" s="60" t="s">
        <v>653</v>
      </c>
      <c r="DV9" s="70">
        <v>203</v>
      </c>
      <c r="DW9" s="70">
        <v>152.30000000000001</v>
      </c>
      <c r="DX9" s="78"/>
      <c r="DY9" s="70">
        <v>108.6</v>
      </c>
      <c r="DZ9" s="70">
        <v>105.3</v>
      </c>
      <c r="EA9" s="70">
        <v>107.2</v>
      </c>
      <c r="EB9" s="70">
        <v>105</v>
      </c>
      <c r="EC9" s="86" t="s">
        <v>643</v>
      </c>
      <c r="ED9" s="60" t="s">
        <v>644</v>
      </c>
      <c r="EE9" s="60">
        <v>78</v>
      </c>
      <c r="EF9" s="60">
        <v>100.1</v>
      </c>
      <c r="EG9" s="60">
        <v>98.4</v>
      </c>
      <c r="EH9" s="78"/>
      <c r="EI9" s="60">
        <v>61.2</v>
      </c>
      <c r="EJ9" s="89">
        <v>6691.5</v>
      </c>
      <c r="EK9" s="89">
        <v>361</v>
      </c>
      <c r="EL9" s="87">
        <v>2960</v>
      </c>
      <c r="EM9" s="133">
        <v>14.2</v>
      </c>
      <c r="EN9" s="133" t="s">
        <v>654</v>
      </c>
      <c r="EO9" s="78"/>
      <c r="EP9" s="133" t="s">
        <v>655</v>
      </c>
      <c r="EQ9" s="134">
        <v>17183</v>
      </c>
      <c r="ER9" s="60">
        <v>86820</v>
      </c>
      <c r="ES9" s="60">
        <v>326303</v>
      </c>
      <c r="ET9" s="110" t="s">
        <v>2240</v>
      </c>
      <c r="EU9" s="110" t="s">
        <v>2241</v>
      </c>
      <c r="EV9" s="78"/>
      <c r="EW9" s="135">
        <v>91.4</v>
      </c>
      <c r="EX9" s="136">
        <v>33.5</v>
      </c>
      <c r="EY9" s="137"/>
      <c r="EZ9" s="136">
        <v>1705.4</v>
      </c>
      <c r="FA9" s="109">
        <v>20.7</v>
      </c>
      <c r="FB9" s="78"/>
      <c r="FC9" s="137"/>
      <c r="FD9" s="137"/>
      <c r="FE9" s="70">
        <v>2026</v>
      </c>
      <c r="FF9" s="137"/>
      <c r="FG9" s="137"/>
      <c r="FH9" s="70">
        <v>967</v>
      </c>
      <c r="FI9" s="70">
        <v>4100</v>
      </c>
      <c r="FJ9" s="137"/>
      <c r="FK9" s="70"/>
      <c r="FL9" s="90" t="s">
        <v>656</v>
      </c>
      <c r="FM9" s="90" t="s">
        <v>422</v>
      </c>
      <c r="FN9" s="90" t="s">
        <v>657</v>
      </c>
    </row>
    <row r="10" spans="1:170" ht="15.6">
      <c r="A10" s="2">
        <v>35</v>
      </c>
      <c r="B10" s="52" t="s">
        <v>278</v>
      </c>
      <c r="D10" s="65">
        <v>71.16</v>
      </c>
      <c r="E10" s="63">
        <v>28.01</v>
      </c>
      <c r="F10" s="60">
        <v>0</v>
      </c>
      <c r="G10" s="60">
        <v>0</v>
      </c>
      <c r="H10" s="112"/>
      <c r="I10" s="112"/>
      <c r="J10" s="60">
        <v>47</v>
      </c>
      <c r="K10" s="112"/>
      <c r="L10" s="112"/>
      <c r="M10" s="93" t="s">
        <v>429</v>
      </c>
      <c r="N10" s="76" t="s">
        <v>511</v>
      </c>
      <c r="O10" s="76" t="s">
        <v>592</v>
      </c>
      <c r="Q10" s="101">
        <v>9.9499999999999993</v>
      </c>
      <c r="R10" s="102">
        <v>85.16</v>
      </c>
      <c r="S10" s="101">
        <v>62.99</v>
      </c>
      <c r="T10" s="113">
        <v>53.12</v>
      </c>
      <c r="V10" s="66">
        <v>144500</v>
      </c>
      <c r="X10" s="114">
        <v>6</v>
      </c>
      <c r="Y10" s="114">
        <v>2115.3000000000002</v>
      </c>
      <c r="Z10" s="71">
        <v>1183</v>
      </c>
      <c r="AA10" s="80">
        <v>19.3</v>
      </c>
      <c r="AB10" s="80">
        <v>53.3</v>
      </c>
      <c r="AC10" s="58">
        <v>24.9</v>
      </c>
      <c r="AD10" s="84">
        <v>71.7</v>
      </c>
      <c r="AE10" s="84">
        <v>65.48</v>
      </c>
      <c r="AF10" s="60">
        <v>77.89</v>
      </c>
      <c r="AG10" s="60">
        <v>15431</v>
      </c>
      <c r="AH10" s="60">
        <f t="shared" si="0"/>
        <v>15.430999999999999</v>
      </c>
      <c r="AI10" s="71">
        <v>544.82499999999993</v>
      </c>
      <c r="AJ10" s="70">
        <v>1.391</v>
      </c>
      <c r="AK10" s="70">
        <v>738</v>
      </c>
      <c r="AL10" s="90">
        <v>2</v>
      </c>
      <c r="AM10" s="77">
        <v>28</v>
      </c>
      <c r="AO10" s="116">
        <v>57</v>
      </c>
      <c r="AP10" s="71">
        <v>42708</v>
      </c>
      <c r="AQ10" s="117" t="s">
        <v>2242</v>
      </c>
      <c r="AR10" s="100">
        <v>73.8</v>
      </c>
      <c r="AS10" s="81">
        <v>0.3</v>
      </c>
      <c r="AT10" s="118">
        <v>3.6</v>
      </c>
      <c r="AU10" s="106">
        <v>12.6</v>
      </c>
      <c r="AV10" s="71">
        <v>44.2</v>
      </c>
      <c r="AX10" s="119"/>
      <c r="AY10" s="112"/>
      <c r="AZ10" s="82" t="s">
        <v>658</v>
      </c>
      <c r="BA10" s="79" t="s">
        <v>659</v>
      </c>
      <c r="BB10" s="79" t="s">
        <v>660</v>
      </c>
      <c r="BD10" s="78">
        <v>107.4</v>
      </c>
      <c r="BE10" s="120">
        <v>102.6</v>
      </c>
      <c r="BF10" s="64" t="s">
        <v>661</v>
      </c>
      <c r="BG10" s="60">
        <v>103.7</v>
      </c>
      <c r="BH10" s="68">
        <v>58939</v>
      </c>
      <c r="BI10" s="121"/>
      <c r="BJ10" s="112"/>
      <c r="BK10" s="122">
        <v>9.6999999999999993</v>
      </c>
      <c r="BL10" s="123">
        <v>31167</v>
      </c>
      <c r="BM10" s="115" t="s">
        <v>662</v>
      </c>
      <c r="BN10" s="115" t="s">
        <v>663</v>
      </c>
      <c r="BP10" s="115">
        <v>0.746</v>
      </c>
      <c r="BQ10" s="84">
        <v>0.33200000000000002</v>
      </c>
      <c r="BR10" s="85" t="s">
        <v>664</v>
      </c>
      <c r="BS10" s="85" t="s">
        <v>665</v>
      </c>
      <c r="BT10" s="115">
        <v>33.6</v>
      </c>
      <c r="BU10" s="124">
        <v>34.5</v>
      </c>
      <c r="BV10" s="125">
        <v>1728</v>
      </c>
      <c r="BW10" s="80">
        <v>375</v>
      </c>
      <c r="BX10" s="80">
        <v>66</v>
      </c>
      <c r="BY10" s="78">
        <v>74.3</v>
      </c>
      <c r="BZ10" s="115">
        <v>77.44</v>
      </c>
      <c r="CA10" s="115">
        <v>57.98</v>
      </c>
      <c r="CB10" s="112"/>
      <c r="CC10" s="112"/>
      <c r="CE10" s="70">
        <v>145.4</v>
      </c>
      <c r="CF10" s="70">
        <v>8.4</v>
      </c>
      <c r="CG10" s="69">
        <v>169</v>
      </c>
      <c r="CH10" s="69">
        <v>168</v>
      </c>
      <c r="CI10" s="69">
        <v>3.1</v>
      </c>
      <c r="CJ10" s="126">
        <v>131.88</v>
      </c>
      <c r="CK10" s="60">
        <v>131.9</v>
      </c>
      <c r="CL10" s="127">
        <v>36.43</v>
      </c>
      <c r="CM10" s="127">
        <v>576.29999999999995</v>
      </c>
      <c r="CN10" s="107">
        <v>6</v>
      </c>
      <c r="CO10" s="58">
        <v>1066.5</v>
      </c>
      <c r="CQ10" s="108" t="s">
        <v>2243</v>
      </c>
      <c r="CR10" s="78">
        <v>39.9</v>
      </c>
      <c r="CS10" s="78">
        <v>815.8</v>
      </c>
      <c r="CT10" s="78">
        <v>100.1</v>
      </c>
      <c r="CU10" s="128" t="s">
        <v>666</v>
      </c>
      <c r="CV10" s="128">
        <v>86.7</v>
      </c>
      <c r="CW10" s="128" t="s">
        <v>667</v>
      </c>
      <c r="CX10" s="60" t="s">
        <v>668</v>
      </c>
      <c r="CY10" s="60">
        <v>24.2</v>
      </c>
      <c r="CZ10" s="112" t="s">
        <v>361</v>
      </c>
      <c r="DA10" s="129">
        <v>243956</v>
      </c>
      <c r="DB10" s="129">
        <v>85884</v>
      </c>
      <c r="DC10" s="70">
        <v>1426.3</v>
      </c>
      <c r="DD10" s="86" t="s">
        <v>669</v>
      </c>
      <c r="DE10" s="60" t="s">
        <v>670</v>
      </c>
      <c r="DF10" s="60" t="s">
        <v>671</v>
      </c>
      <c r="DG10" s="60" t="s">
        <v>672</v>
      </c>
      <c r="DI10" s="70">
        <v>111</v>
      </c>
      <c r="DJ10" s="70">
        <v>72</v>
      </c>
      <c r="DK10" s="130">
        <v>114.7</v>
      </c>
      <c r="DM10" s="80">
        <v>264</v>
      </c>
      <c r="DN10" s="80" t="s">
        <v>438</v>
      </c>
      <c r="DO10" s="70">
        <v>1714</v>
      </c>
      <c r="DP10" s="131">
        <v>98.6</v>
      </c>
      <c r="DQ10" s="132">
        <v>48.6</v>
      </c>
      <c r="DR10" s="60">
        <v>18.399999999999999</v>
      </c>
      <c r="DS10" s="78"/>
      <c r="DT10" s="90">
        <v>367</v>
      </c>
      <c r="DU10" s="60">
        <v>219</v>
      </c>
      <c r="DV10" s="70">
        <v>60</v>
      </c>
      <c r="DW10" s="70">
        <v>104.9</v>
      </c>
      <c r="DX10" s="78"/>
      <c r="DY10" s="70">
        <v>108.3</v>
      </c>
      <c r="DZ10" s="70">
        <v>106.8</v>
      </c>
      <c r="EA10" s="70">
        <v>108.6</v>
      </c>
      <c r="EB10" s="70">
        <v>106.3</v>
      </c>
      <c r="EC10" s="86" t="s">
        <v>664</v>
      </c>
      <c r="ED10" s="60" t="s">
        <v>665</v>
      </c>
      <c r="EE10" s="60">
        <v>106.6</v>
      </c>
      <c r="EF10" s="60">
        <v>101.7</v>
      </c>
      <c r="EG10" s="60">
        <v>96.1</v>
      </c>
      <c r="EH10" s="78"/>
      <c r="EI10" s="60">
        <v>47.5</v>
      </c>
      <c r="EJ10" s="89">
        <v>1220.2</v>
      </c>
      <c r="EK10" s="89">
        <v>88</v>
      </c>
      <c r="EL10" s="141">
        <v>2738</v>
      </c>
      <c r="EM10" s="133">
        <v>15.8</v>
      </c>
      <c r="EN10" s="142" t="s">
        <v>673</v>
      </c>
      <c r="EO10" s="78"/>
      <c r="EP10" s="133" t="s">
        <v>674</v>
      </c>
      <c r="EQ10" s="134">
        <v>45877</v>
      </c>
      <c r="ER10" s="60">
        <v>48396</v>
      </c>
      <c r="ES10" s="60">
        <v>184562</v>
      </c>
      <c r="ET10" s="110" t="s">
        <v>2244</v>
      </c>
      <c r="EU10" s="110" t="s">
        <v>2245</v>
      </c>
      <c r="EV10" s="78"/>
      <c r="EW10" s="135">
        <v>81.099999999999994</v>
      </c>
      <c r="EX10" s="136">
        <v>39.4</v>
      </c>
      <c r="EY10" s="137"/>
      <c r="EZ10" s="136">
        <v>1969.3</v>
      </c>
      <c r="FA10" s="109">
        <v>23.9</v>
      </c>
      <c r="FB10" s="78"/>
      <c r="FC10" s="137"/>
      <c r="FD10" s="137"/>
      <c r="FE10" s="70">
        <v>468</v>
      </c>
      <c r="FF10" s="137"/>
      <c r="FG10" s="137"/>
      <c r="FH10" s="70">
        <v>466</v>
      </c>
      <c r="FI10" s="70">
        <v>2929</v>
      </c>
      <c r="FJ10" s="137"/>
      <c r="FK10" s="70"/>
      <c r="FL10" s="90" t="s">
        <v>675</v>
      </c>
      <c r="FM10" s="90" t="s">
        <v>676</v>
      </c>
      <c r="FN10" s="90">
        <v>-798</v>
      </c>
    </row>
    <row r="11" spans="1:170" ht="15.6">
      <c r="A11" s="2">
        <v>36</v>
      </c>
      <c r="B11" s="52" t="s">
        <v>279</v>
      </c>
      <c r="D11" s="63">
        <v>80.069999999999993</v>
      </c>
      <c r="E11" s="63">
        <v>19.18</v>
      </c>
      <c r="F11" s="60">
        <v>0</v>
      </c>
      <c r="G11" s="60">
        <v>0</v>
      </c>
      <c r="H11" s="112"/>
      <c r="I11" s="112"/>
      <c r="J11" s="60">
        <v>22</v>
      </c>
      <c r="K11" s="112"/>
      <c r="L11" s="112"/>
      <c r="M11" s="93" t="s">
        <v>430</v>
      </c>
      <c r="N11" s="76" t="s">
        <v>592</v>
      </c>
      <c r="O11" s="76" t="s">
        <v>489</v>
      </c>
      <c r="Q11" s="101">
        <v>9.9499999999999993</v>
      </c>
      <c r="R11" s="102">
        <v>85.16</v>
      </c>
      <c r="S11" s="101">
        <v>62.99</v>
      </c>
      <c r="T11" s="113">
        <v>54.52</v>
      </c>
      <c r="V11" s="66">
        <v>52200</v>
      </c>
      <c r="X11" s="114">
        <v>7.1</v>
      </c>
      <c r="Y11" s="114">
        <v>2115.3000000000002</v>
      </c>
      <c r="Z11" s="71">
        <v>1166</v>
      </c>
      <c r="AA11" s="80">
        <v>16</v>
      </c>
      <c r="AB11" s="80">
        <v>54.5</v>
      </c>
      <c r="AC11" s="58">
        <v>26.7</v>
      </c>
      <c r="AD11" s="84">
        <v>72.91</v>
      </c>
      <c r="AE11" s="84">
        <v>67.260000000000005</v>
      </c>
      <c r="AF11" s="60">
        <v>78.680000000000007</v>
      </c>
      <c r="AG11" s="60">
        <v>32584</v>
      </c>
      <c r="AH11" s="60">
        <f t="shared" si="0"/>
        <v>32.584000000000003</v>
      </c>
      <c r="AI11" s="71">
        <v>476.52</v>
      </c>
      <c r="AJ11" s="70">
        <v>1.222</v>
      </c>
      <c r="AK11" s="70">
        <v>614</v>
      </c>
      <c r="AL11" s="90">
        <v>28</v>
      </c>
      <c r="AM11" s="77">
        <v>414</v>
      </c>
      <c r="AO11" s="116">
        <v>59.8</v>
      </c>
      <c r="AP11" s="71">
        <v>45087</v>
      </c>
      <c r="AQ11" s="117" t="s">
        <v>2246</v>
      </c>
      <c r="AR11" s="100">
        <v>70.3</v>
      </c>
      <c r="AS11" s="81">
        <v>0.3</v>
      </c>
      <c r="AT11" s="118">
        <v>3.1</v>
      </c>
      <c r="AU11" s="106">
        <v>22.4</v>
      </c>
      <c r="AV11" s="71">
        <v>34</v>
      </c>
      <c r="AX11" s="119"/>
      <c r="AY11" s="112"/>
      <c r="AZ11" s="82" t="s">
        <v>677</v>
      </c>
      <c r="BA11" s="79" t="s">
        <v>678</v>
      </c>
      <c r="BB11" s="79" t="s">
        <v>679</v>
      </c>
      <c r="BD11" s="78">
        <v>103.3</v>
      </c>
      <c r="BE11" s="120">
        <v>101.9</v>
      </c>
      <c r="BF11" s="64" t="s">
        <v>680</v>
      </c>
      <c r="BG11" s="60">
        <v>109.3</v>
      </c>
      <c r="BH11" s="68">
        <v>53332</v>
      </c>
      <c r="BI11" s="121"/>
      <c r="BJ11" s="112"/>
      <c r="BK11" s="122">
        <v>6.7</v>
      </c>
      <c r="BL11" s="123">
        <v>37678</v>
      </c>
      <c r="BM11" s="115" t="s">
        <v>681</v>
      </c>
      <c r="BN11" s="115" t="s">
        <v>682</v>
      </c>
      <c r="BP11" s="115">
        <v>2.0150000000000001</v>
      </c>
      <c r="BQ11" s="84">
        <v>1.0129999999999999</v>
      </c>
      <c r="BR11" s="85" t="s">
        <v>683</v>
      </c>
      <c r="BS11" s="85" t="s">
        <v>684</v>
      </c>
      <c r="BT11" s="115">
        <v>34.6</v>
      </c>
      <c r="BU11" s="124">
        <v>42.2</v>
      </c>
      <c r="BV11" s="125">
        <v>1609</v>
      </c>
      <c r="BW11" s="80">
        <v>443</v>
      </c>
      <c r="BX11" s="80">
        <v>16</v>
      </c>
      <c r="BY11" s="78">
        <v>87.8</v>
      </c>
      <c r="BZ11" s="115">
        <v>91.21</v>
      </c>
      <c r="CA11" s="115">
        <v>81.319999999999993</v>
      </c>
      <c r="CB11" s="112"/>
      <c r="CC11" s="112"/>
      <c r="CE11" s="70">
        <v>255.9</v>
      </c>
      <c r="CF11" s="70">
        <v>15.6</v>
      </c>
      <c r="CG11" s="69">
        <v>390</v>
      </c>
      <c r="CH11" s="69">
        <v>363</v>
      </c>
      <c r="CI11" s="69">
        <v>15.8</v>
      </c>
      <c r="CJ11" s="126">
        <v>128.94</v>
      </c>
      <c r="CK11" s="60">
        <v>128.9</v>
      </c>
      <c r="CL11" s="127">
        <v>56.1</v>
      </c>
      <c r="CM11" s="127">
        <v>530.1</v>
      </c>
      <c r="CN11" s="107">
        <v>4.2</v>
      </c>
      <c r="CO11" s="58">
        <v>590.6</v>
      </c>
      <c r="CQ11" s="108" t="s">
        <v>2247</v>
      </c>
      <c r="CR11" s="78">
        <v>0.8</v>
      </c>
      <c r="CS11" s="78" t="s">
        <v>685</v>
      </c>
      <c r="CT11" s="78">
        <v>101.7</v>
      </c>
      <c r="CU11" s="128" t="s">
        <v>686</v>
      </c>
      <c r="CV11" s="128">
        <v>100.5</v>
      </c>
      <c r="CW11" s="128" t="s">
        <v>687</v>
      </c>
      <c r="CX11" s="60" t="s">
        <v>688</v>
      </c>
      <c r="CY11" s="60">
        <v>21.3</v>
      </c>
      <c r="CZ11" s="60" t="s">
        <v>431</v>
      </c>
      <c r="DA11" s="129">
        <v>347491</v>
      </c>
      <c r="DB11" s="129">
        <v>160286</v>
      </c>
      <c r="DC11" s="70">
        <v>1465.7</v>
      </c>
      <c r="DD11" s="86" t="s">
        <v>689</v>
      </c>
      <c r="DE11" s="60" t="s">
        <v>690</v>
      </c>
      <c r="DF11" s="60" t="s">
        <v>691</v>
      </c>
      <c r="DG11" s="60" t="s">
        <v>477</v>
      </c>
      <c r="DI11" s="70">
        <v>429</v>
      </c>
      <c r="DJ11" s="70">
        <v>104</v>
      </c>
      <c r="DK11" s="130">
        <v>112.2</v>
      </c>
      <c r="DM11" s="80">
        <v>228</v>
      </c>
      <c r="DN11" s="80">
        <v>401</v>
      </c>
      <c r="DO11" s="70">
        <v>3649</v>
      </c>
      <c r="DP11" s="131">
        <v>98.2</v>
      </c>
      <c r="DQ11" s="132">
        <v>38.799999999999997</v>
      </c>
      <c r="DR11" s="60">
        <v>23.5</v>
      </c>
      <c r="DS11" s="78"/>
      <c r="DT11" s="90">
        <v>120</v>
      </c>
      <c r="DU11" s="60">
        <v>414</v>
      </c>
      <c r="DV11" s="70">
        <v>131</v>
      </c>
      <c r="DW11" s="70">
        <v>94.2</v>
      </c>
      <c r="DX11" s="78"/>
      <c r="DY11" s="70">
        <v>108.6</v>
      </c>
      <c r="DZ11" s="70">
        <v>105.8</v>
      </c>
      <c r="EA11" s="70">
        <v>106.2</v>
      </c>
      <c r="EB11" s="70">
        <v>104.8</v>
      </c>
      <c r="EC11" s="86" t="s">
        <v>683</v>
      </c>
      <c r="ED11" s="60" t="s">
        <v>684</v>
      </c>
      <c r="EE11" s="60">
        <v>119.8</v>
      </c>
      <c r="EF11" s="60">
        <v>103.3</v>
      </c>
      <c r="EG11" s="60">
        <v>96.2</v>
      </c>
      <c r="EH11" s="78"/>
      <c r="EI11" s="60">
        <v>43.9</v>
      </c>
      <c r="EJ11" s="89">
        <v>10751.6</v>
      </c>
      <c r="EK11" s="89">
        <v>894</v>
      </c>
      <c r="EL11" s="87">
        <v>3252</v>
      </c>
      <c r="EM11" s="133">
        <v>17.600000000000001</v>
      </c>
      <c r="EN11" s="142" t="s">
        <v>692</v>
      </c>
      <c r="EO11" s="78"/>
      <c r="EP11" s="133" t="s">
        <v>693</v>
      </c>
      <c r="EQ11" s="134">
        <v>28540</v>
      </c>
      <c r="ER11" s="60">
        <v>98155</v>
      </c>
      <c r="ES11" s="60">
        <v>330390</v>
      </c>
      <c r="ET11" s="110" t="s">
        <v>2248</v>
      </c>
      <c r="EU11" s="110" t="s">
        <v>2249</v>
      </c>
      <c r="EV11" s="78"/>
      <c r="EW11" s="135">
        <v>89.7</v>
      </c>
      <c r="EX11" s="136">
        <v>41.3</v>
      </c>
      <c r="EY11" s="137"/>
      <c r="EZ11" s="136">
        <v>1961.3</v>
      </c>
      <c r="FA11" s="109">
        <v>31.9</v>
      </c>
      <c r="FB11" s="78"/>
      <c r="FC11" s="137"/>
      <c r="FD11" s="137"/>
      <c r="FE11" s="70">
        <v>1301</v>
      </c>
      <c r="FF11" s="137"/>
      <c r="FG11" s="137"/>
      <c r="FH11" s="70">
        <v>1336</v>
      </c>
      <c r="FI11" s="70">
        <v>2678</v>
      </c>
      <c r="FJ11" s="137"/>
      <c r="FK11" s="70"/>
      <c r="FL11" s="90" t="s">
        <v>474</v>
      </c>
      <c r="FM11" s="90" t="s">
        <v>694</v>
      </c>
      <c r="FN11" s="90" t="s">
        <v>695</v>
      </c>
    </row>
    <row r="12" spans="1:170" ht="15.6">
      <c r="A12" s="2">
        <v>77</v>
      </c>
      <c r="B12" s="52" t="s">
        <v>280</v>
      </c>
      <c r="D12" s="63">
        <v>65.290000000000006</v>
      </c>
      <c r="E12" s="63">
        <v>33.979999999999997</v>
      </c>
      <c r="F12" s="60">
        <v>0</v>
      </c>
      <c r="G12" s="60">
        <v>0</v>
      </c>
      <c r="H12" s="112"/>
      <c r="I12" s="112"/>
      <c r="J12" s="60">
        <v>1</v>
      </c>
      <c r="K12" s="112"/>
      <c r="L12" s="112"/>
      <c r="M12" s="93" t="s">
        <v>696</v>
      </c>
      <c r="N12" s="76" t="s">
        <v>697</v>
      </c>
      <c r="O12" s="76" t="s">
        <v>489</v>
      </c>
      <c r="Q12" s="101">
        <v>9.9499999999999993</v>
      </c>
      <c r="R12" s="102">
        <v>85.16</v>
      </c>
      <c r="S12" s="101">
        <v>62.99</v>
      </c>
      <c r="T12" s="113">
        <v>54.93</v>
      </c>
      <c r="V12" s="66">
        <v>2600</v>
      </c>
      <c r="X12" s="114">
        <v>6.9</v>
      </c>
      <c r="Y12" s="114">
        <v>2115.3000000000002</v>
      </c>
      <c r="Z12" s="71">
        <v>1154</v>
      </c>
      <c r="AA12" s="80">
        <v>15.8</v>
      </c>
      <c r="AB12" s="80">
        <v>55.8</v>
      </c>
      <c r="AC12" s="58">
        <v>26.1</v>
      </c>
      <c r="AD12" s="84">
        <v>79.38</v>
      </c>
      <c r="AE12" s="84">
        <v>75.849999999999994</v>
      </c>
      <c r="AF12" s="60">
        <v>82.76</v>
      </c>
      <c r="AG12" s="60">
        <v>115863</v>
      </c>
      <c r="AH12" s="60">
        <f t="shared" si="0"/>
        <v>115.863</v>
      </c>
      <c r="AI12" s="71">
        <v>288.98999999999995</v>
      </c>
      <c r="AJ12" s="70">
        <v>1.4239999999999999</v>
      </c>
      <c r="AK12" s="70">
        <v>541</v>
      </c>
      <c r="AL12" s="146" t="s">
        <v>23</v>
      </c>
      <c r="AM12" s="147" t="s">
        <v>23</v>
      </c>
      <c r="AO12" s="116">
        <v>64.900000000000006</v>
      </c>
      <c r="AP12" s="71">
        <v>117103</v>
      </c>
      <c r="AQ12" s="117" t="s">
        <v>2250</v>
      </c>
      <c r="AR12" s="100">
        <v>76</v>
      </c>
      <c r="AS12" s="81">
        <v>0.2</v>
      </c>
      <c r="AT12" s="118">
        <v>1.7</v>
      </c>
      <c r="AU12" s="106">
        <v>35.200000000000003</v>
      </c>
      <c r="AV12" s="71">
        <v>46.1</v>
      </c>
      <c r="AX12" s="119"/>
      <c r="AY12" s="112"/>
      <c r="AZ12" s="82" t="s">
        <v>698</v>
      </c>
      <c r="BA12" s="79" t="s">
        <v>699</v>
      </c>
      <c r="BB12" s="79" t="s">
        <v>700</v>
      </c>
      <c r="BD12" s="78">
        <v>109</v>
      </c>
      <c r="BE12" s="120">
        <v>101.3</v>
      </c>
      <c r="BF12" s="64" t="s">
        <v>701</v>
      </c>
      <c r="BG12" s="60">
        <v>104.4</v>
      </c>
      <c r="BH12" s="68">
        <v>138882</v>
      </c>
      <c r="BI12" s="121"/>
      <c r="BJ12" s="112"/>
      <c r="BK12" s="122">
        <v>4.5</v>
      </c>
      <c r="BL12" s="123">
        <v>78051</v>
      </c>
      <c r="BM12" s="115" t="s">
        <v>702</v>
      </c>
      <c r="BN12" s="115" t="s">
        <v>703</v>
      </c>
      <c r="BP12" s="115">
        <v>7.343</v>
      </c>
      <c r="BQ12" s="84">
        <v>6.5090000000000003</v>
      </c>
      <c r="BR12" s="85" t="s">
        <v>704</v>
      </c>
      <c r="BS12" s="85" t="s">
        <v>705</v>
      </c>
      <c r="BT12" s="115">
        <v>22.2</v>
      </c>
      <c r="BU12" s="124">
        <v>27.7</v>
      </c>
      <c r="BV12" s="125">
        <v>3015</v>
      </c>
      <c r="BW12" s="80" t="s">
        <v>706</v>
      </c>
      <c r="BX12" s="80">
        <v>9</v>
      </c>
      <c r="BY12" s="78">
        <v>98</v>
      </c>
      <c r="BZ12" s="115">
        <v>97.51</v>
      </c>
      <c r="CA12" s="115">
        <v>97.32</v>
      </c>
      <c r="CB12" s="112"/>
      <c r="CC12" s="112"/>
      <c r="CE12" s="70">
        <v>1201.2</v>
      </c>
      <c r="CF12" s="70">
        <v>65.099999999999994</v>
      </c>
      <c r="CG12" s="69">
        <v>707</v>
      </c>
      <c r="CH12" s="69">
        <v>482</v>
      </c>
      <c r="CI12" s="69">
        <v>124.4</v>
      </c>
      <c r="CJ12" s="126">
        <v>173.17</v>
      </c>
      <c r="CK12" s="60">
        <v>173.2</v>
      </c>
      <c r="CL12" s="127">
        <v>75.25</v>
      </c>
      <c r="CM12" s="139">
        <v>312</v>
      </c>
      <c r="CN12" s="107">
        <v>3.5</v>
      </c>
      <c r="CO12" s="58">
        <v>693.6</v>
      </c>
      <c r="CQ12" s="108" t="s">
        <v>2251</v>
      </c>
      <c r="CR12" s="78">
        <v>12.7</v>
      </c>
      <c r="CS12" s="78">
        <v>870.8</v>
      </c>
      <c r="CT12" s="78">
        <v>103.3</v>
      </c>
      <c r="CU12" s="128" t="s">
        <v>707</v>
      </c>
      <c r="CV12" s="128">
        <v>103.8</v>
      </c>
      <c r="CW12" s="128" t="s">
        <v>708</v>
      </c>
      <c r="CX12" s="60" t="s">
        <v>709</v>
      </c>
      <c r="CY12" s="60">
        <v>32.5</v>
      </c>
      <c r="CZ12" s="60" t="s">
        <v>710</v>
      </c>
      <c r="DA12" s="129">
        <v>504105</v>
      </c>
      <c r="DB12" s="129">
        <v>3442726</v>
      </c>
      <c r="DC12" s="70">
        <v>7501.9</v>
      </c>
      <c r="DD12" s="86" t="s">
        <v>711</v>
      </c>
      <c r="DE12" s="60" t="s">
        <v>712</v>
      </c>
      <c r="DF12" s="60" t="s">
        <v>713</v>
      </c>
      <c r="DG12" s="60" t="s">
        <v>714</v>
      </c>
      <c r="DI12" s="70">
        <v>2522</v>
      </c>
      <c r="DJ12" s="70">
        <v>78</v>
      </c>
      <c r="DK12" s="130">
        <v>61.8</v>
      </c>
      <c r="DM12" s="80">
        <v>538</v>
      </c>
      <c r="DN12" s="80" t="s">
        <v>715</v>
      </c>
      <c r="DO12" s="70">
        <v>22174</v>
      </c>
      <c r="DP12" s="131">
        <v>100</v>
      </c>
      <c r="DQ12" s="132">
        <v>2591.4</v>
      </c>
      <c r="DR12" s="60" t="s">
        <v>2252</v>
      </c>
      <c r="DS12" s="78"/>
      <c r="DT12" s="90">
        <v>205</v>
      </c>
      <c r="DU12" s="60" t="s">
        <v>716</v>
      </c>
      <c r="DV12" s="70">
        <v>833</v>
      </c>
      <c r="DW12" s="70">
        <v>99.3</v>
      </c>
      <c r="DX12" s="78"/>
      <c r="DY12" s="70">
        <v>106.5</v>
      </c>
      <c r="DZ12" s="70">
        <v>106</v>
      </c>
      <c r="EA12" s="70">
        <v>110.2</v>
      </c>
      <c r="EB12" s="70">
        <v>109</v>
      </c>
      <c r="EC12" s="86" t="s">
        <v>704</v>
      </c>
      <c r="ED12" s="60" t="s">
        <v>705</v>
      </c>
      <c r="EE12" s="60">
        <v>98.1</v>
      </c>
      <c r="EF12" s="60">
        <v>70.8</v>
      </c>
      <c r="EG12" s="60">
        <v>106.3</v>
      </c>
      <c r="EH12" s="78"/>
      <c r="EI12" s="60">
        <v>42.1</v>
      </c>
      <c r="EJ12" s="89">
        <v>589336.19999999995</v>
      </c>
      <c r="EK12" s="89">
        <v>37160</v>
      </c>
      <c r="EL12" s="141">
        <v>17097</v>
      </c>
      <c r="EM12" s="133">
        <v>32.799999999999997</v>
      </c>
      <c r="EN12" s="133" t="s">
        <v>717</v>
      </c>
      <c r="EO12" s="78"/>
      <c r="EP12" s="133" t="s">
        <v>718</v>
      </c>
      <c r="EQ12" s="134">
        <v>7138308</v>
      </c>
      <c r="ER12" s="60">
        <v>935284</v>
      </c>
      <c r="ES12" s="60">
        <v>3348289</v>
      </c>
      <c r="ET12" s="110" t="s">
        <v>2253</v>
      </c>
      <c r="EU12" s="110" t="s">
        <v>2254</v>
      </c>
      <c r="EV12" s="78"/>
      <c r="EW12" s="135">
        <v>96</v>
      </c>
      <c r="EX12" s="136">
        <v>40.1</v>
      </c>
      <c r="EY12" s="137"/>
      <c r="EZ12" s="136">
        <v>3532.9</v>
      </c>
      <c r="FA12" s="109">
        <v>35.799999999999997</v>
      </c>
      <c r="FB12" s="78"/>
      <c r="FC12" s="137"/>
      <c r="FD12" s="137"/>
      <c r="FE12" s="70">
        <v>10096</v>
      </c>
      <c r="FF12" s="137"/>
      <c r="FG12" s="137"/>
      <c r="FH12" s="70">
        <v>6133</v>
      </c>
      <c r="FI12" s="70">
        <v>4796</v>
      </c>
      <c r="FJ12" s="137"/>
      <c r="FK12" s="70"/>
      <c r="FL12" s="90" t="s">
        <v>719</v>
      </c>
      <c r="FM12" s="90" t="s">
        <v>720</v>
      </c>
      <c r="FN12" s="90" t="s">
        <v>721</v>
      </c>
    </row>
    <row r="13" spans="1:170" ht="15.6">
      <c r="A13" s="2">
        <v>79</v>
      </c>
      <c r="B13" s="52" t="s">
        <v>281</v>
      </c>
      <c r="D13" s="63">
        <v>77.3</v>
      </c>
      <c r="E13" s="63">
        <v>21.39</v>
      </c>
      <c r="F13" s="60">
        <v>0</v>
      </c>
      <c r="G13" s="60">
        <v>0</v>
      </c>
      <c r="H13" s="112"/>
      <c r="I13" s="112"/>
      <c r="J13" s="60">
        <v>83</v>
      </c>
      <c r="K13" s="112"/>
      <c r="L13" s="112"/>
      <c r="M13" s="93" t="s">
        <v>697</v>
      </c>
      <c r="N13" s="76" t="s">
        <v>489</v>
      </c>
      <c r="O13" s="76" t="s">
        <v>489</v>
      </c>
      <c r="Q13" s="101">
        <v>9.9499999999999993</v>
      </c>
      <c r="R13" s="102">
        <v>85.16</v>
      </c>
      <c r="S13" s="101">
        <v>62.99</v>
      </c>
      <c r="T13" s="113">
        <v>53.71</v>
      </c>
      <c r="V13" s="66">
        <v>36300</v>
      </c>
      <c r="X13" s="114">
        <v>7.6</v>
      </c>
      <c r="Y13" s="114">
        <v>2115.3000000000002</v>
      </c>
      <c r="Z13" s="71">
        <v>1133</v>
      </c>
      <c r="AA13" s="80">
        <v>20.2</v>
      </c>
      <c r="AB13" s="80">
        <v>56</v>
      </c>
      <c r="AC13" s="58">
        <v>21.5</v>
      </c>
      <c r="AD13" s="84">
        <v>68.3</v>
      </c>
      <c r="AE13" s="84">
        <v>62.36</v>
      </c>
      <c r="AF13" s="60">
        <v>74.38</v>
      </c>
      <c r="AG13" s="60">
        <v>2099</v>
      </c>
      <c r="AH13" s="60">
        <f t="shared" si="0"/>
        <v>2.0990000000000002</v>
      </c>
      <c r="AI13" s="71">
        <v>651.79499999999996</v>
      </c>
      <c r="AJ13" s="115">
        <v>1.6362000000000001</v>
      </c>
      <c r="AK13" s="70">
        <v>879</v>
      </c>
      <c r="AL13" s="90">
        <v>10</v>
      </c>
      <c r="AM13" s="77">
        <v>17</v>
      </c>
      <c r="AO13" s="116">
        <v>57.9</v>
      </c>
      <c r="AP13" s="71">
        <v>43479</v>
      </c>
      <c r="AQ13" s="117" t="s">
        <v>2255</v>
      </c>
      <c r="AR13" s="100">
        <v>64.599999999999994</v>
      </c>
      <c r="AS13" s="81">
        <v>0.1</v>
      </c>
      <c r="AT13" s="118">
        <v>4.2</v>
      </c>
      <c r="AU13" s="106">
        <v>7.5</v>
      </c>
      <c r="AV13" s="71">
        <v>31</v>
      </c>
      <c r="AX13" s="119"/>
      <c r="AY13" s="112"/>
      <c r="AZ13" s="82" t="s">
        <v>722</v>
      </c>
      <c r="BA13" s="79" t="s">
        <v>723</v>
      </c>
      <c r="BB13" s="79" t="s">
        <v>724</v>
      </c>
      <c r="BD13" s="78">
        <v>106.6</v>
      </c>
      <c r="BE13" s="120">
        <v>101.5</v>
      </c>
      <c r="BF13" s="64" t="s">
        <v>725</v>
      </c>
      <c r="BG13" s="60">
        <v>108.3</v>
      </c>
      <c r="BH13" s="68">
        <v>65815</v>
      </c>
      <c r="BI13" s="121"/>
      <c r="BJ13" s="112"/>
      <c r="BK13" s="122">
        <v>17.100000000000001</v>
      </c>
      <c r="BL13" s="123">
        <v>32744</v>
      </c>
      <c r="BM13" s="115" t="s">
        <v>726</v>
      </c>
      <c r="BN13" s="115" t="s">
        <v>727</v>
      </c>
      <c r="BP13" s="115">
        <v>2.5999999999999999E-2</v>
      </c>
      <c r="BQ13" s="84">
        <v>4.0000000000000001E-3</v>
      </c>
      <c r="BR13" s="85" t="s">
        <v>728</v>
      </c>
      <c r="BS13" s="85" t="s">
        <v>729</v>
      </c>
      <c r="BT13" s="115">
        <v>26.1</v>
      </c>
      <c r="BU13" s="124">
        <v>33.799999999999997</v>
      </c>
      <c r="BV13" s="125">
        <v>1723</v>
      </c>
      <c r="BW13" s="80">
        <v>33</v>
      </c>
      <c r="BX13" s="80">
        <v>80</v>
      </c>
      <c r="BY13" s="78">
        <v>64.2</v>
      </c>
      <c r="BZ13" s="115">
        <v>67.430000000000007</v>
      </c>
      <c r="CA13" s="115">
        <v>49.84</v>
      </c>
      <c r="CB13" s="112"/>
      <c r="CC13" s="112"/>
      <c r="CE13" s="70">
        <v>20.3</v>
      </c>
      <c r="CF13" s="70">
        <v>1.2</v>
      </c>
      <c r="CG13" s="69">
        <v>131</v>
      </c>
      <c r="CH13" s="69">
        <v>131</v>
      </c>
      <c r="CI13" s="69">
        <v>0.4</v>
      </c>
      <c r="CJ13" s="126">
        <v>85.77</v>
      </c>
      <c r="CK13" s="60">
        <v>85.8</v>
      </c>
      <c r="CL13" s="127">
        <v>35.049999999999997</v>
      </c>
      <c r="CM13" s="127">
        <v>765.7</v>
      </c>
      <c r="CN13" s="107">
        <v>7.4</v>
      </c>
      <c r="CO13" s="58">
        <v>708.3</v>
      </c>
      <c r="CQ13" s="108" t="s">
        <v>2256</v>
      </c>
      <c r="CR13" s="78">
        <v>25.7</v>
      </c>
      <c r="CS13" s="78">
        <v>6.4</v>
      </c>
      <c r="CT13" s="78">
        <v>114.1</v>
      </c>
      <c r="CU13" s="128" t="s">
        <v>730</v>
      </c>
      <c r="CV13" s="128">
        <v>128.80000000000001</v>
      </c>
      <c r="CW13" s="128" t="s">
        <v>731</v>
      </c>
      <c r="CX13" s="60" t="s">
        <v>732</v>
      </c>
      <c r="CY13" s="60">
        <v>44.2</v>
      </c>
      <c r="CZ13" s="60" t="s">
        <v>733</v>
      </c>
      <c r="DA13" s="129">
        <v>258313</v>
      </c>
      <c r="DB13" s="129">
        <v>11651</v>
      </c>
      <c r="DC13" s="70">
        <v>160.30000000000001</v>
      </c>
      <c r="DD13" s="60" t="s">
        <v>734</v>
      </c>
      <c r="DE13" s="60" t="s">
        <v>735</v>
      </c>
      <c r="DF13" s="60" t="s">
        <v>736</v>
      </c>
      <c r="DG13" s="60" t="s">
        <v>737</v>
      </c>
      <c r="DI13" s="70">
        <v>71</v>
      </c>
      <c r="DJ13" s="70">
        <v>86</v>
      </c>
      <c r="DK13" s="130">
        <v>148.69999999999999</v>
      </c>
      <c r="DM13" s="80">
        <v>138</v>
      </c>
      <c r="DN13" s="80">
        <v>180</v>
      </c>
      <c r="DO13" s="70">
        <v>353</v>
      </c>
      <c r="DP13" s="131">
        <v>99.9</v>
      </c>
      <c r="DQ13" s="148" t="s">
        <v>433</v>
      </c>
      <c r="DR13" s="60">
        <v>1.4</v>
      </c>
      <c r="DS13" s="78"/>
      <c r="DT13" s="90">
        <v>20</v>
      </c>
      <c r="DU13" s="60">
        <v>19</v>
      </c>
      <c r="DV13" s="70">
        <v>12</v>
      </c>
      <c r="DW13" s="70">
        <v>86.9</v>
      </c>
      <c r="DX13" s="78"/>
      <c r="DY13" s="70">
        <v>108.2</v>
      </c>
      <c r="DZ13" s="70">
        <v>109.3</v>
      </c>
      <c r="EA13" s="70">
        <v>105.6</v>
      </c>
      <c r="EB13" s="70">
        <v>105.1</v>
      </c>
      <c r="EC13" s="86" t="s">
        <v>728</v>
      </c>
      <c r="ED13" s="60" t="s">
        <v>729</v>
      </c>
      <c r="EE13" s="60">
        <v>101.5</v>
      </c>
      <c r="EF13" s="60">
        <v>114.1</v>
      </c>
      <c r="EG13" s="60">
        <v>116.6</v>
      </c>
      <c r="EH13" s="78"/>
      <c r="EI13" s="60">
        <v>25.7</v>
      </c>
      <c r="EJ13" s="140"/>
      <c r="EK13" s="140"/>
      <c r="EL13" s="87">
        <v>233</v>
      </c>
      <c r="EM13" s="133">
        <v>13.7</v>
      </c>
      <c r="EN13" s="149"/>
      <c r="EO13" s="78"/>
      <c r="EP13" s="133" t="s">
        <v>738</v>
      </c>
      <c r="EQ13" s="134">
        <v>555</v>
      </c>
      <c r="ER13" s="60">
        <v>5873</v>
      </c>
      <c r="ES13" s="60">
        <v>23358</v>
      </c>
      <c r="ET13" s="110" t="s">
        <v>2257</v>
      </c>
      <c r="EU13" s="110">
        <v>293</v>
      </c>
      <c r="EV13" s="78"/>
      <c r="EW13" s="135">
        <v>79.5</v>
      </c>
      <c r="EX13" s="136">
        <v>35.6</v>
      </c>
      <c r="EY13" s="137"/>
      <c r="EZ13" s="136">
        <v>1824.8</v>
      </c>
      <c r="FA13" s="109">
        <v>18.2</v>
      </c>
      <c r="FB13" s="78"/>
      <c r="FC13" s="137"/>
      <c r="FD13" s="137"/>
      <c r="FE13" s="70">
        <v>121</v>
      </c>
      <c r="FF13" s="137"/>
      <c r="FG13" s="137"/>
      <c r="FH13" s="70">
        <v>247</v>
      </c>
      <c r="FI13" s="70">
        <v>458</v>
      </c>
      <c r="FJ13" s="137"/>
      <c r="FK13" s="70"/>
      <c r="FL13" s="90" t="s">
        <v>739</v>
      </c>
      <c r="FM13" s="90" t="s">
        <v>740</v>
      </c>
      <c r="FN13" s="90">
        <v>-899</v>
      </c>
    </row>
    <row r="14" spans="1:170" ht="15.6">
      <c r="A14" s="2">
        <v>75</v>
      </c>
      <c r="B14" s="52" t="s">
        <v>282</v>
      </c>
      <c r="D14" s="63">
        <v>72.92</v>
      </c>
      <c r="E14" s="63">
        <v>24.22</v>
      </c>
      <c r="F14" s="60">
        <v>1</v>
      </c>
      <c r="G14" s="60" t="s">
        <v>741</v>
      </c>
      <c r="H14" s="112"/>
      <c r="I14" s="112"/>
      <c r="J14" s="60">
        <v>60</v>
      </c>
      <c r="K14" s="112"/>
      <c r="L14" s="112"/>
      <c r="M14" s="93" t="s">
        <v>636</v>
      </c>
      <c r="N14" s="76" t="s">
        <v>531</v>
      </c>
      <c r="O14" s="76" t="s">
        <v>489</v>
      </c>
      <c r="Q14" s="101">
        <v>9.9499999999999993</v>
      </c>
      <c r="R14" s="102">
        <v>85.16</v>
      </c>
      <c r="S14" s="101">
        <v>62.99</v>
      </c>
      <c r="T14" s="113">
        <v>58.64</v>
      </c>
      <c r="V14" s="66">
        <v>431900</v>
      </c>
      <c r="X14" s="114">
        <v>7.6</v>
      </c>
      <c r="Y14" s="114">
        <v>2115.3000000000002</v>
      </c>
      <c r="Z14" s="71">
        <v>1122</v>
      </c>
      <c r="AA14" s="80">
        <v>22</v>
      </c>
      <c r="AB14" s="80">
        <v>57</v>
      </c>
      <c r="AC14" s="58">
        <v>18.8</v>
      </c>
      <c r="AD14" s="84">
        <v>67.17</v>
      </c>
      <c r="AE14" s="84">
        <v>60.68</v>
      </c>
      <c r="AF14" s="60">
        <v>74.33</v>
      </c>
      <c r="AG14" s="60">
        <v>13488</v>
      </c>
      <c r="AH14" s="60">
        <f t="shared" si="0"/>
        <v>13.488</v>
      </c>
      <c r="AI14" s="71">
        <v>610.85</v>
      </c>
      <c r="AJ14" s="115">
        <v>1.7069000000000001</v>
      </c>
      <c r="AK14" s="70">
        <v>828</v>
      </c>
      <c r="AL14" s="90">
        <v>33</v>
      </c>
      <c r="AM14" s="77">
        <v>240</v>
      </c>
      <c r="AO14" s="116">
        <v>56.7</v>
      </c>
      <c r="AP14" s="71">
        <v>42758</v>
      </c>
      <c r="AQ14" s="117" t="s">
        <v>2258</v>
      </c>
      <c r="AR14" s="100">
        <v>70</v>
      </c>
      <c r="AS14" s="81">
        <v>0.3</v>
      </c>
      <c r="AT14" s="118">
        <v>7.7</v>
      </c>
      <c r="AU14" s="106">
        <v>6.2</v>
      </c>
      <c r="AV14" s="71">
        <v>24.8</v>
      </c>
      <c r="AX14" s="119"/>
      <c r="AY14" s="112"/>
      <c r="AZ14" s="82" t="s">
        <v>742</v>
      </c>
      <c r="BA14" s="79" t="s">
        <v>743</v>
      </c>
      <c r="BB14" s="79" t="s">
        <v>744</v>
      </c>
      <c r="BD14" s="78">
        <v>102.5</v>
      </c>
      <c r="BE14" s="120">
        <v>102.1</v>
      </c>
      <c r="BF14" s="64" t="s">
        <v>745</v>
      </c>
      <c r="BG14" s="60">
        <v>109.6</v>
      </c>
      <c r="BH14" s="68">
        <v>69830</v>
      </c>
      <c r="BI14" s="121"/>
      <c r="BJ14" s="112"/>
      <c r="BK14" s="122">
        <v>15.4</v>
      </c>
      <c r="BL14" s="123">
        <v>30826</v>
      </c>
      <c r="BM14" s="115" t="s">
        <v>746</v>
      </c>
      <c r="BN14" s="115" t="s">
        <v>747</v>
      </c>
      <c r="BP14" s="115">
        <v>0.38</v>
      </c>
      <c r="BQ14" s="84">
        <v>0.1</v>
      </c>
      <c r="BR14" s="85" t="s">
        <v>748</v>
      </c>
      <c r="BS14" s="85" t="s">
        <v>749</v>
      </c>
      <c r="BT14" s="115">
        <v>23.9</v>
      </c>
      <c r="BU14" s="124">
        <v>32.700000000000003</v>
      </c>
      <c r="BV14" s="125">
        <v>2236</v>
      </c>
      <c r="BW14" s="80">
        <v>165</v>
      </c>
      <c r="BX14" s="80">
        <v>67</v>
      </c>
      <c r="BY14" s="78">
        <v>54.2</v>
      </c>
      <c r="BZ14" s="115">
        <v>56.31</v>
      </c>
      <c r="CA14" s="115">
        <v>45.65</v>
      </c>
      <c r="CB14" s="112"/>
      <c r="CC14" s="112"/>
      <c r="CE14" s="70">
        <v>145.6</v>
      </c>
      <c r="CF14" s="70">
        <v>9.5</v>
      </c>
      <c r="CG14" s="69">
        <v>197</v>
      </c>
      <c r="CH14" s="69">
        <v>197</v>
      </c>
      <c r="CI14" s="69">
        <v>3.1</v>
      </c>
      <c r="CJ14" s="126">
        <v>104.66</v>
      </c>
      <c r="CK14" s="60">
        <v>104.7</v>
      </c>
      <c r="CL14" s="127">
        <v>52.22</v>
      </c>
      <c r="CM14" s="127">
        <v>763.1</v>
      </c>
      <c r="CN14" s="107">
        <v>7</v>
      </c>
      <c r="CO14" s="58">
        <v>808.5</v>
      </c>
      <c r="CQ14" s="108" t="s">
        <v>2259</v>
      </c>
      <c r="CR14" s="78">
        <v>293.2</v>
      </c>
      <c r="CS14" s="78">
        <v>50.9</v>
      </c>
      <c r="CT14" s="78">
        <v>94.5</v>
      </c>
      <c r="CU14" s="128" t="s">
        <v>750</v>
      </c>
      <c r="CV14" s="128">
        <v>130.19999999999999</v>
      </c>
      <c r="CW14" s="128" t="s">
        <v>751</v>
      </c>
      <c r="CX14" s="60" t="s">
        <v>752</v>
      </c>
      <c r="CY14" s="60">
        <v>39.5</v>
      </c>
      <c r="CZ14" s="112" t="s">
        <v>361</v>
      </c>
      <c r="DA14" s="129">
        <v>247102</v>
      </c>
      <c r="DB14" s="129">
        <v>72320</v>
      </c>
      <c r="DC14" s="70">
        <v>731</v>
      </c>
      <c r="DD14" s="86" t="s">
        <v>753</v>
      </c>
      <c r="DE14" s="60" t="s">
        <v>754</v>
      </c>
      <c r="DF14" s="60" t="s">
        <v>755</v>
      </c>
      <c r="DG14" s="60" t="s">
        <v>756</v>
      </c>
      <c r="DI14" s="70">
        <v>35</v>
      </c>
      <c r="DJ14" s="70">
        <v>81</v>
      </c>
      <c r="DK14" s="130">
        <v>98.3</v>
      </c>
      <c r="DL14" s="83"/>
      <c r="DM14" s="80">
        <v>276</v>
      </c>
      <c r="DN14" s="80">
        <v>324</v>
      </c>
      <c r="DO14" s="70">
        <v>1565</v>
      </c>
      <c r="DP14" s="131">
        <v>96.4</v>
      </c>
      <c r="DQ14" s="132">
        <v>1.3</v>
      </c>
      <c r="DR14" s="60">
        <v>17.899999999999999</v>
      </c>
      <c r="DS14" s="78"/>
      <c r="DT14" s="90">
        <v>131</v>
      </c>
      <c r="DU14" s="60">
        <v>212</v>
      </c>
      <c r="DV14" s="70">
        <v>67</v>
      </c>
      <c r="DW14" s="70">
        <v>121.5</v>
      </c>
      <c r="DX14" s="78"/>
      <c r="DY14" s="70">
        <v>108</v>
      </c>
      <c r="DZ14" s="70">
        <v>109.7</v>
      </c>
      <c r="EA14" s="70">
        <v>114.5</v>
      </c>
      <c r="EB14" s="70">
        <v>106.9</v>
      </c>
      <c r="EC14" s="86" t="s">
        <v>748</v>
      </c>
      <c r="ED14" s="60" t="s">
        <v>749</v>
      </c>
      <c r="EE14" s="60">
        <v>121.9</v>
      </c>
      <c r="EF14" s="60">
        <v>94.5</v>
      </c>
      <c r="EG14" s="60">
        <v>100.1</v>
      </c>
      <c r="EH14" s="78"/>
      <c r="EI14" s="60">
        <v>32.5</v>
      </c>
      <c r="EJ14" s="89">
        <v>705.2</v>
      </c>
      <c r="EK14" s="89">
        <v>67</v>
      </c>
      <c r="EL14" s="87">
        <v>1357</v>
      </c>
      <c r="EM14" s="133">
        <v>9.9</v>
      </c>
      <c r="EN14" s="149"/>
      <c r="EO14" s="78"/>
      <c r="EP14" s="133" t="s">
        <v>757</v>
      </c>
      <c r="EQ14" s="134">
        <v>5508</v>
      </c>
      <c r="ER14" s="60">
        <v>50614</v>
      </c>
      <c r="ES14" s="60">
        <v>180831</v>
      </c>
      <c r="ET14" s="110" t="s">
        <v>2260</v>
      </c>
      <c r="EU14" s="110" t="s">
        <v>2261</v>
      </c>
      <c r="EV14" s="78"/>
      <c r="EW14" s="135">
        <v>85.8</v>
      </c>
      <c r="EX14" s="136">
        <v>37.700000000000003</v>
      </c>
      <c r="EY14" s="137"/>
      <c r="EZ14" s="136">
        <v>1602.2</v>
      </c>
      <c r="FA14" s="109">
        <v>18.399999999999999</v>
      </c>
      <c r="FB14" s="78"/>
      <c r="FC14" s="137"/>
      <c r="FD14" s="137"/>
      <c r="FE14" s="70">
        <v>626</v>
      </c>
      <c r="FF14" s="137"/>
      <c r="FG14" s="137"/>
      <c r="FH14" s="143" t="s">
        <v>443</v>
      </c>
      <c r="FI14" s="143" t="s">
        <v>758</v>
      </c>
      <c r="FJ14" s="137"/>
      <c r="FK14" s="70"/>
      <c r="FL14" s="90" t="s">
        <v>759</v>
      </c>
      <c r="FM14" s="90" t="s">
        <v>760</v>
      </c>
      <c r="FN14" s="90" t="s">
        <v>761</v>
      </c>
    </row>
    <row r="15" spans="1:170" ht="15.6">
      <c r="A15" s="2">
        <v>37</v>
      </c>
      <c r="B15" s="52" t="s">
        <v>283</v>
      </c>
      <c r="D15" s="65">
        <v>76.23</v>
      </c>
      <c r="E15" s="63">
        <v>23.02</v>
      </c>
      <c r="F15" s="60">
        <v>0</v>
      </c>
      <c r="G15" s="60">
        <v>0</v>
      </c>
      <c r="H15" s="112"/>
      <c r="I15" s="112"/>
      <c r="J15" s="60">
        <v>59</v>
      </c>
      <c r="K15" s="112"/>
      <c r="L15" s="112"/>
      <c r="M15" s="93" t="s">
        <v>426</v>
      </c>
      <c r="N15" s="76" t="s">
        <v>511</v>
      </c>
      <c r="O15" s="76" t="s">
        <v>489</v>
      </c>
      <c r="Q15" s="101">
        <v>9.9499999999999993</v>
      </c>
      <c r="R15" s="102">
        <v>85.16</v>
      </c>
      <c r="S15" s="101">
        <v>62.99</v>
      </c>
      <c r="T15" s="113">
        <v>52.28</v>
      </c>
      <c r="V15" s="66">
        <v>21400</v>
      </c>
      <c r="X15" s="114">
        <v>5.8</v>
      </c>
      <c r="Y15" s="114">
        <v>2115.3000000000002</v>
      </c>
      <c r="Z15" s="71">
        <v>1229</v>
      </c>
      <c r="AA15" s="80">
        <v>16.100000000000001</v>
      </c>
      <c r="AB15" s="80">
        <v>53.9</v>
      </c>
      <c r="AC15" s="58">
        <v>27.3</v>
      </c>
      <c r="AD15" s="84">
        <v>71.180000000000007</v>
      </c>
      <c r="AE15" s="84">
        <v>64.91</v>
      </c>
      <c r="AF15" s="60">
        <v>77.31</v>
      </c>
      <c r="AG15" s="60">
        <v>14572</v>
      </c>
      <c r="AH15" s="60">
        <f t="shared" si="0"/>
        <v>14.571999999999999</v>
      </c>
      <c r="AI15" s="71">
        <v>560.21500000000003</v>
      </c>
      <c r="AJ15" s="70">
        <v>1.3460000000000001</v>
      </c>
      <c r="AK15" s="70">
        <v>778</v>
      </c>
      <c r="AL15" s="90">
        <v>24</v>
      </c>
      <c r="AM15" s="77">
        <v>92</v>
      </c>
      <c r="AO15" s="116">
        <v>59.5</v>
      </c>
      <c r="AP15" s="71">
        <v>41108</v>
      </c>
      <c r="AQ15" s="117" t="s">
        <v>2242</v>
      </c>
      <c r="AR15" s="100">
        <v>78.099999999999994</v>
      </c>
      <c r="AS15" s="81">
        <v>0.1</v>
      </c>
      <c r="AT15" s="118">
        <v>3.3</v>
      </c>
      <c r="AU15" s="106">
        <v>9.9</v>
      </c>
      <c r="AV15" s="71">
        <v>45.2</v>
      </c>
      <c r="AX15" s="119"/>
      <c r="AY15" s="112"/>
      <c r="AZ15" s="82" t="s">
        <v>762</v>
      </c>
      <c r="BA15" s="79" t="s">
        <v>763</v>
      </c>
      <c r="BB15" s="79" t="s">
        <v>764</v>
      </c>
      <c r="BD15" s="78">
        <v>105.9</v>
      </c>
      <c r="BE15" s="120">
        <v>101.9</v>
      </c>
      <c r="BF15" s="64" t="s">
        <v>765</v>
      </c>
      <c r="BG15" s="60">
        <v>109.5</v>
      </c>
      <c r="BH15" s="68">
        <v>41929</v>
      </c>
      <c r="BI15" s="121"/>
      <c r="BJ15" s="112"/>
      <c r="BK15" s="122">
        <v>9.6999999999999993</v>
      </c>
      <c r="BL15" s="123">
        <v>31683</v>
      </c>
      <c r="BM15" s="115" t="s">
        <v>468</v>
      </c>
      <c r="BN15" s="115" t="s">
        <v>766</v>
      </c>
      <c r="BP15" s="115">
        <v>0.51200000000000001</v>
      </c>
      <c r="BQ15" s="84">
        <v>0.20799999999999999</v>
      </c>
      <c r="BR15" s="85" t="s">
        <v>767</v>
      </c>
      <c r="BS15" s="85" t="s">
        <v>768</v>
      </c>
      <c r="BT15" s="115">
        <v>31.7</v>
      </c>
      <c r="BU15" s="124">
        <v>41.3</v>
      </c>
      <c r="BV15" s="125">
        <v>1626</v>
      </c>
      <c r="BW15" s="80">
        <v>215</v>
      </c>
      <c r="BX15" s="80">
        <v>75</v>
      </c>
      <c r="BY15" s="78">
        <v>74.7</v>
      </c>
      <c r="BZ15" s="115">
        <v>85.43</v>
      </c>
      <c r="CA15" s="115">
        <v>65.89</v>
      </c>
      <c r="CB15" s="112"/>
      <c r="CC15" s="112"/>
      <c r="CE15" s="70">
        <v>105.2</v>
      </c>
      <c r="CF15" s="70">
        <v>5.4</v>
      </c>
      <c r="CG15" s="69">
        <v>258</v>
      </c>
      <c r="CH15" s="69">
        <v>252</v>
      </c>
      <c r="CI15" s="69">
        <v>4.4000000000000004</v>
      </c>
      <c r="CJ15" s="126">
        <v>108.32</v>
      </c>
      <c r="CK15" s="60">
        <v>108.3</v>
      </c>
      <c r="CL15" s="127">
        <v>47.67</v>
      </c>
      <c r="CM15" s="127">
        <v>665.7</v>
      </c>
      <c r="CN15" s="107">
        <v>3.8</v>
      </c>
      <c r="CO15" s="58">
        <v>778.2</v>
      </c>
      <c r="CQ15" s="108" t="s">
        <v>2262</v>
      </c>
      <c r="CR15" s="78">
        <v>1.8</v>
      </c>
      <c r="CS15" s="78">
        <v>324.10000000000002</v>
      </c>
      <c r="CT15" s="78">
        <v>108.5</v>
      </c>
      <c r="CU15" s="128" t="s">
        <v>769</v>
      </c>
      <c r="CV15" s="128">
        <v>97.8</v>
      </c>
      <c r="CW15" s="128" t="s">
        <v>770</v>
      </c>
      <c r="CX15" s="60" t="s">
        <v>771</v>
      </c>
      <c r="CY15" s="60">
        <v>21.9</v>
      </c>
      <c r="CZ15" s="112" t="s">
        <v>361</v>
      </c>
      <c r="DA15" s="129">
        <v>284301</v>
      </c>
      <c r="DB15" s="129">
        <v>59850</v>
      </c>
      <c r="DC15" s="70">
        <v>847.6</v>
      </c>
      <c r="DD15" s="86" t="s">
        <v>772</v>
      </c>
      <c r="DE15" s="60" t="s">
        <v>773</v>
      </c>
      <c r="DF15" s="60" t="s">
        <v>774</v>
      </c>
      <c r="DG15" s="60" t="s">
        <v>775</v>
      </c>
      <c r="DI15" s="70">
        <v>338</v>
      </c>
      <c r="DJ15" s="70">
        <v>119</v>
      </c>
      <c r="DK15" s="130">
        <v>116</v>
      </c>
      <c r="DM15" s="80">
        <v>350</v>
      </c>
      <c r="DN15" s="80">
        <v>619</v>
      </c>
      <c r="DO15" s="70">
        <v>3306</v>
      </c>
      <c r="DP15" s="131">
        <v>99.6</v>
      </c>
      <c r="DQ15" s="132">
        <v>22.7</v>
      </c>
      <c r="DR15" s="60">
        <v>16.7</v>
      </c>
      <c r="DS15" s="78"/>
      <c r="DT15" s="90">
        <v>27</v>
      </c>
      <c r="DU15" s="60">
        <v>86</v>
      </c>
      <c r="DV15" s="70">
        <v>17</v>
      </c>
      <c r="DW15" s="70">
        <v>62.5</v>
      </c>
      <c r="DX15" s="78"/>
      <c r="DY15" s="70">
        <v>108.4</v>
      </c>
      <c r="DZ15" s="70">
        <v>106.1</v>
      </c>
      <c r="EA15" s="70">
        <v>108.9</v>
      </c>
      <c r="EB15" s="70">
        <v>104.7</v>
      </c>
      <c r="EC15" s="86" t="s">
        <v>767</v>
      </c>
      <c r="ED15" s="60" t="s">
        <v>768</v>
      </c>
      <c r="EE15" s="60">
        <v>111.6</v>
      </c>
      <c r="EF15" s="60">
        <v>108.5</v>
      </c>
      <c r="EG15" s="60">
        <v>93.7</v>
      </c>
      <c r="EH15" s="78"/>
      <c r="EI15" s="60">
        <v>48.2</v>
      </c>
      <c r="EJ15" s="150">
        <v>1008.5</v>
      </c>
      <c r="EK15" s="89">
        <v>228</v>
      </c>
      <c r="EL15" s="141">
        <v>1319</v>
      </c>
      <c r="EM15" s="133">
        <v>22.1</v>
      </c>
      <c r="EN15" s="142" t="s">
        <v>776</v>
      </c>
      <c r="EO15" s="78"/>
      <c r="EP15" s="133" t="s">
        <v>777</v>
      </c>
      <c r="EQ15" s="134">
        <v>7905</v>
      </c>
      <c r="ER15" s="60">
        <v>31572</v>
      </c>
      <c r="ES15" s="60">
        <v>110801</v>
      </c>
      <c r="ET15" s="110" t="s">
        <v>728</v>
      </c>
      <c r="EU15" s="110" t="s">
        <v>2263</v>
      </c>
      <c r="EV15" s="78"/>
      <c r="EW15" s="135">
        <v>87.4</v>
      </c>
      <c r="EX15" s="136">
        <v>38.299999999999997</v>
      </c>
      <c r="EY15" s="137"/>
      <c r="EZ15" s="136">
        <v>1929.6</v>
      </c>
      <c r="FA15" s="109">
        <v>25.3</v>
      </c>
      <c r="FB15" s="78"/>
      <c r="FC15" s="137"/>
      <c r="FD15" s="137"/>
      <c r="FE15" s="70">
        <v>520</v>
      </c>
      <c r="FF15" s="137"/>
      <c r="FG15" s="137"/>
      <c r="FH15" s="70">
        <v>627</v>
      </c>
      <c r="FI15" s="70">
        <v>1787</v>
      </c>
      <c r="FJ15" s="137"/>
      <c r="FK15" s="70"/>
      <c r="FL15" s="90" t="s">
        <v>778</v>
      </c>
      <c r="FM15" s="90" t="s">
        <v>779</v>
      </c>
      <c r="FN15" s="90">
        <v>-772</v>
      </c>
    </row>
    <row r="16" spans="1:170" ht="15.6">
      <c r="A16" s="2">
        <v>38</v>
      </c>
      <c r="B16" s="52" t="s">
        <v>284</v>
      </c>
      <c r="D16" s="63">
        <v>64.28</v>
      </c>
      <c r="E16" s="63">
        <v>34.840000000000003</v>
      </c>
      <c r="F16" s="60">
        <v>0</v>
      </c>
      <c r="G16" s="60">
        <v>0</v>
      </c>
      <c r="H16" s="112"/>
      <c r="I16" s="112"/>
      <c r="J16" s="60">
        <v>20</v>
      </c>
      <c r="K16" s="112"/>
      <c r="L16" s="112"/>
      <c r="M16" s="93" t="s">
        <v>780</v>
      </c>
      <c r="N16" s="76" t="s">
        <v>570</v>
      </c>
      <c r="O16" s="76" t="s">
        <v>489</v>
      </c>
      <c r="Q16" s="101">
        <v>9.9499999999999993</v>
      </c>
      <c r="R16" s="102">
        <v>85.16</v>
      </c>
      <c r="S16" s="101">
        <v>62.99</v>
      </c>
      <c r="T16" s="113">
        <v>55.65</v>
      </c>
      <c r="V16" s="66">
        <v>774800</v>
      </c>
      <c r="X16" s="114">
        <v>7.4</v>
      </c>
      <c r="Y16" s="114">
        <v>2115.3000000000002</v>
      </c>
      <c r="Z16" s="71">
        <v>1180</v>
      </c>
      <c r="AA16" s="80">
        <v>21.9</v>
      </c>
      <c r="AB16" s="80">
        <v>54.5</v>
      </c>
      <c r="AC16" s="58">
        <v>21.3</v>
      </c>
      <c r="AD16" s="84">
        <v>69.819999999999993</v>
      </c>
      <c r="AE16" s="84">
        <v>63.38</v>
      </c>
      <c r="AF16" s="60">
        <v>76.25</v>
      </c>
      <c r="AG16" s="60">
        <v>30980</v>
      </c>
      <c r="AH16" s="60">
        <f t="shared" si="0"/>
        <v>30.98</v>
      </c>
      <c r="AI16" s="71">
        <v>655.30999999999995</v>
      </c>
      <c r="AJ16" s="115">
        <v>1.7109399999999999</v>
      </c>
      <c r="AK16" s="70">
        <v>756</v>
      </c>
      <c r="AL16" s="90">
        <v>56</v>
      </c>
      <c r="AM16" s="77">
        <v>354</v>
      </c>
      <c r="AO16" s="116">
        <v>59.3</v>
      </c>
      <c r="AP16" s="71">
        <v>42483</v>
      </c>
      <c r="AQ16" s="117" t="s">
        <v>2255</v>
      </c>
      <c r="AR16" s="100">
        <v>66.7</v>
      </c>
      <c r="AS16" s="81">
        <v>0.2</v>
      </c>
      <c r="AT16" s="118">
        <v>3.3</v>
      </c>
      <c r="AU16" s="106">
        <v>17.899999999999999</v>
      </c>
      <c r="AV16" s="71">
        <v>39.4</v>
      </c>
      <c r="AX16" s="119"/>
      <c r="AY16" s="112"/>
      <c r="AZ16" s="82" t="s">
        <v>781</v>
      </c>
      <c r="BA16" s="79" t="s">
        <v>782</v>
      </c>
      <c r="BB16" s="79" t="s">
        <v>783</v>
      </c>
      <c r="BD16" s="78">
        <v>105.3</v>
      </c>
      <c r="BE16" s="120">
        <v>100.3</v>
      </c>
      <c r="BF16" s="64" t="s">
        <v>784</v>
      </c>
      <c r="BG16" s="60">
        <v>107.6</v>
      </c>
      <c r="BH16" s="68">
        <v>74257</v>
      </c>
      <c r="BI16" s="121"/>
      <c r="BJ16" s="112"/>
      <c r="BK16" s="122">
        <v>13.2</v>
      </c>
      <c r="BL16" s="123">
        <v>32201</v>
      </c>
      <c r="BM16" s="115" t="s">
        <v>785</v>
      </c>
      <c r="BN16" s="115" t="s">
        <v>786</v>
      </c>
      <c r="BP16" s="115">
        <v>1.4910000000000001</v>
      </c>
      <c r="BQ16" s="84">
        <v>0.47499999999999998</v>
      </c>
      <c r="BR16" s="85" t="s">
        <v>787</v>
      </c>
      <c r="BS16" s="85" t="s">
        <v>788</v>
      </c>
      <c r="BT16" s="115">
        <v>27.2</v>
      </c>
      <c r="BU16" s="124">
        <v>28.5</v>
      </c>
      <c r="BV16" s="125">
        <v>1301</v>
      </c>
      <c r="BW16" s="80">
        <v>519</v>
      </c>
      <c r="BX16" s="80">
        <v>31</v>
      </c>
      <c r="BY16" s="78">
        <v>76.099999999999994</v>
      </c>
      <c r="BZ16" s="115">
        <v>73.03</v>
      </c>
      <c r="CA16" s="115">
        <v>66.39</v>
      </c>
      <c r="CB16" s="112"/>
      <c r="CC16" s="112"/>
      <c r="CE16" s="70">
        <v>344.3</v>
      </c>
      <c r="CF16" s="70">
        <v>20</v>
      </c>
      <c r="CG16" s="69">
        <v>274</v>
      </c>
      <c r="CH16" s="69">
        <v>269</v>
      </c>
      <c r="CI16" s="69">
        <v>10.7</v>
      </c>
      <c r="CJ16" s="126">
        <v>114.6</v>
      </c>
      <c r="CK16" s="60">
        <v>114.6</v>
      </c>
      <c r="CL16" s="127">
        <v>49.47</v>
      </c>
      <c r="CM16" s="127">
        <v>698.8</v>
      </c>
      <c r="CN16" s="107">
        <v>4.8</v>
      </c>
      <c r="CO16" s="58">
        <v>965.1</v>
      </c>
      <c r="CQ16" s="108" t="s">
        <v>2264</v>
      </c>
      <c r="CR16" s="78">
        <v>992.6</v>
      </c>
      <c r="CS16" s="78">
        <v>793.8</v>
      </c>
      <c r="CT16" s="78">
        <v>97.6</v>
      </c>
      <c r="CU16" s="128" t="s">
        <v>789</v>
      </c>
      <c r="CV16" s="128">
        <v>97.6</v>
      </c>
      <c r="CW16" s="128" t="s">
        <v>790</v>
      </c>
      <c r="CX16" s="60" t="s">
        <v>791</v>
      </c>
      <c r="CY16" s="60">
        <v>25.4</v>
      </c>
      <c r="CZ16" s="112" t="s">
        <v>361</v>
      </c>
      <c r="DA16" s="129">
        <v>263870</v>
      </c>
      <c r="DB16" s="129">
        <v>164243</v>
      </c>
      <c r="DC16" s="70">
        <v>1824.3</v>
      </c>
      <c r="DD16" s="86" t="s">
        <v>792</v>
      </c>
      <c r="DE16" s="60" t="s">
        <v>793</v>
      </c>
      <c r="DF16" s="60" t="s">
        <v>794</v>
      </c>
      <c r="DG16" s="60" t="s">
        <v>795</v>
      </c>
      <c r="DI16" s="70">
        <v>33</v>
      </c>
      <c r="DJ16" s="70">
        <v>109</v>
      </c>
      <c r="DK16" s="130">
        <v>98.6</v>
      </c>
      <c r="DM16" s="80">
        <v>251</v>
      </c>
      <c r="DN16" s="80">
        <v>357</v>
      </c>
      <c r="DO16" s="70">
        <v>3445</v>
      </c>
      <c r="DP16" s="131">
        <v>96.6</v>
      </c>
      <c r="DQ16" s="132">
        <v>81.099999999999994</v>
      </c>
      <c r="DR16" s="60">
        <v>33.799999999999997</v>
      </c>
      <c r="DS16" s="78"/>
      <c r="DT16" s="90">
        <v>769</v>
      </c>
      <c r="DU16" s="60" t="s">
        <v>796</v>
      </c>
      <c r="DV16" s="70">
        <v>464</v>
      </c>
      <c r="DW16" s="70">
        <v>117.4</v>
      </c>
      <c r="DX16" s="78"/>
      <c r="DY16" s="70">
        <v>108.9</v>
      </c>
      <c r="DZ16" s="70">
        <v>107.4</v>
      </c>
      <c r="EA16" s="70">
        <v>108.4</v>
      </c>
      <c r="EB16" s="70">
        <v>106</v>
      </c>
      <c r="EC16" s="86" t="s">
        <v>787</v>
      </c>
      <c r="ED16" s="60" t="s">
        <v>788</v>
      </c>
      <c r="EE16" s="60">
        <v>112.1</v>
      </c>
      <c r="EF16" s="60">
        <v>97.6</v>
      </c>
      <c r="EG16" s="60">
        <v>100.4</v>
      </c>
      <c r="EH16" s="78"/>
      <c r="EI16" s="60">
        <v>40.299999999999997</v>
      </c>
      <c r="EJ16" s="89">
        <v>8106.4</v>
      </c>
      <c r="EK16" s="89">
        <v>1127</v>
      </c>
      <c r="EL16" s="87">
        <v>2538</v>
      </c>
      <c r="EM16" s="133">
        <v>17.3</v>
      </c>
      <c r="EN16" s="142" t="s">
        <v>797</v>
      </c>
      <c r="EO16" s="78"/>
      <c r="EP16" s="133" t="s">
        <v>798</v>
      </c>
      <c r="EQ16" s="134">
        <v>27431</v>
      </c>
      <c r="ER16" s="60">
        <v>121637</v>
      </c>
      <c r="ES16" s="60">
        <v>460747</v>
      </c>
      <c r="ET16" s="110" t="s">
        <v>452</v>
      </c>
      <c r="EU16" s="110" t="s">
        <v>2265</v>
      </c>
      <c r="EV16" s="78"/>
      <c r="EW16" s="135">
        <v>92.2</v>
      </c>
      <c r="EX16" s="136">
        <v>36</v>
      </c>
      <c r="EY16" s="137"/>
      <c r="EZ16" s="136">
        <v>1987.2</v>
      </c>
      <c r="FA16" s="109">
        <v>24.5</v>
      </c>
      <c r="FB16" s="78"/>
      <c r="FC16" s="137"/>
      <c r="FD16" s="137"/>
      <c r="FE16" s="70">
        <v>1591</v>
      </c>
      <c r="FF16" s="137"/>
      <c r="FG16" s="137"/>
      <c r="FH16" s="70">
        <v>1275</v>
      </c>
      <c r="FI16" s="70">
        <v>6372</v>
      </c>
      <c r="FJ16" s="137"/>
      <c r="FK16" s="70"/>
      <c r="FL16" s="90" t="s">
        <v>799</v>
      </c>
      <c r="FM16" s="90" t="s">
        <v>800</v>
      </c>
      <c r="FN16" s="90" t="s">
        <v>801</v>
      </c>
    </row>
    <row r="17" spans="1:170" ht="15.6">
      <c r="A17" s="2">
        <v>7</v>
      </c>
      <c r="B17" s="52" t="s">
        <v>285</v>
      </c>
      <c r="D17" s="63">
        <v>90.48</v>
      </c>
      <c r="E17" s="63">
        <v>7.71</v>
      </c>
      <c r="F17" s="60">
        <v>0</v>
      </c>
      <c r="G17" s="60">
        <v>0</v>
      </c>
      <c r="H17" s="112"/>
      <c r="I17" s="112"/>
      <c r="J17" s="60">
        <v>53</v>
      </c>
      <c r="K17" s="112"/>
      <c r="L17" s="112"/>
      <c r="M17" s="93" t="s">
        <v>802</v>
      </c>
      <c r="N17" s="76" t="s">
        <v>570</v>
      </c>
      <c r="O17" s="76" t="s">
        <v>489</v>
      </c>
      <c r="Q17" s="101">
        <v>9.9499999999999993</v>
      </c>
      <c r="R17" s="102">
        <v>85.16</v>
      </c>
      <c r="S17" s="101">
        <v>62.99</v>
      </c>
      <c r="T17" s="113">
        <v>56.58</v>
      </c>
      <c r="V17" s="66">
        <v>12500</v>
      </c>
      <c r="X17" s="114">
        <v>4.5999999999999996</v>
      </c>
      <c r="Y17" s="114">
        <v>2115.3000000000002</v>
      </c>
      <c r="Z17" s="71">
        <v>1108</v>
      </c>
      <c r="AA17" s="80">
        <v>20</v>
      </c>
      <c r="AB17" s="80">
        <v>57.4</v>
      </c>
      <c r="AC17" s="58">
        <v>18.399999999999999</v>
      </c>
      <c r="AD17" s="84">
        <v>77.14</v>
      </c>
      <c r="AE17" s="84">
        <v>72.81</v>
      </c>
      <c r="AF17" s="60">
        <v>81.319999999999993</v>
      </c>
      <c r="AG17" s="60">
        <v>6827</v>
      </c>
      <c r="AH17" s="60">
        <f t="shared" si="0"/>
        <v>6.827</v>
      </c>
      <c r="AI17" s="71">
        <v>289.17999999999995</v>
      </c>
      <c r="AJ17" s="70">
        <v>1.526</v>
      </c>
      <c r="AK17" s="70">
        <v>1094</v>
      </c>
      <c r="AL17" s="90">
        <v>7</v>
      </c>
      <c r="AM17" s="77">
        <v>112</v>
      </c>
      <c r="AO17" s="116">
        <v>56.2</v>
      </c>
      <c r="AP17" s="71">
        <v>38948</v>
      </c>
      <c r="AQ17" s="117" t="s">
        <v>2266</v>
      </c>
      <c r="AR17" s="100">
        <v>58.8</v>
      </c>
      <c r="AS17" s="81">
        <v>1.5</v>
      </c>
      <c r="AT17" s="118">
        <v>7.7</v>
      </c>
      <c r="AU17" s="106">
        <v>31.1</v>
      </c>
      <c r="AV17" s="71">
        <v>27</v>
      </c>
      <c r="AX17" s="119"/>
      <c r="AY17" s="112"/>
      <c r="AZ17" s="82" t="s">
        <v>803</v>
      </c>
      <c r="BA17" s="79" t="s">
        <v>804</v>
      </c>
      <c r="BB17" s="79" t="s">
        <v>805</v>
      </c>
      <c r="BD17" s="78">
        <v>105.3</v>
      </c>
      <c r="BE17" s="120">
        <v>101.6</v>
      </c>
      <c r="BF17" s="64" t="s">
        <v>806</v>
      </c>
      <c r="BG17" s="60">
        <v>106.5</v>
      </c>
      <c r="BH17" s="68">
        <v>39988</v>
      </c>
      <c r="BI17" s="121"/>
      <c r="BJ17" s="112"/>
      <c r="BK17" s="122">
        <v>14.2</v>
      </c>
      <c r="BL17" s="123">
        <v>33021</v>
      </c>
      <c r="BM17" s="115" t="s">
        <v>807</v>
      </c>
      <c r="BN17" s="115" t="s">
        <v>808</v>
      </c>
      <c r="BP17" s="115">
        <v>0.55900000000000005</v>
      </c>
      <c r="BQ17" s="84">
        <v>0.23799999999999999</v>
      </c>
      <c r="BR17" s="85" t="s">
        <v>809</v>
      </c>
      <c r="BS17" s="85" t="s">
        <v>810</v>
      </c>
      <c r="BT17" s="115">
        <v>22</v>
      </c>
      <c r="BU17" s="124">
        <v>38.200000000000003</v>
      </c>
      <c r="BV17" s="125">
        <v>1593</v>
      </c>
      <c r="BW17" s="80">
        <v>163</v>
      </c>
      <c r="BX17" s="80">
        <v>62</v>
      </c>
      <c r="BY17" s="78">
        <v>96.9</v>
      </c>
      <c r="BZ17" s="115">
        <v>97.01</v>
      </c>
      <c r="CA17" s="115">
        <v>89.14</v>
      </c>
      <c r="CB17" s="112"/>
      <c r="CC17" s="112"/>
      <c r="CE17" s="70">
        <v>121.7</v>
      </c>
      <c r="CF17" s="70">
        <v>7.1</v>
      </c>
      <c r="CG17" s="69">
        <v>177</v>
      </c>
      <c r="CH17" s="69">
        <v>177</v>
      </c>
      <c r="CI17" s="69">
        <v>2.9</v>
      </c>
      <c r="CJ17" s="126">
        <v>139</v>
      </c>
      <c r="CK17" s="60">
        <v>139</v>
      </c>
      <c r="CL17" s="127">
        <v>45.8</v>
      </c>
      <c r="CM17" s="127">
        <v>279</v>
      </c>
      <c r="CN17" s="107">
        <v>3.6</v>
      </c>
      <c r="CO17" s="58">
        <v>449.4</v>
      </c>
      <c r="CQ17" s="108" t="s">
        <v>2267</v>
      </c>
      <c r="CR17" s="78">
        <v>0.5</v>
      </c>
      <c r="CS17" s="78">
        <v>43.9</v>
      </c>
      <c r="CT17" s="78">
        <v>110.1</v>
      </c>
      <c r="CU17" s="128" t="s">
        <v>811</v>
      </c>
      <c r="CV17" s="128">
        <v>108.5</v>
      </c>
      <c r="CW17" s="128" t="s">
        <v>812</v>
      </c>
      <c r="CX17" s="60" t="s">
        <v>813</v>
      </c>
      <c r="CY17" s="60">
        <v>38.700000000000003</v>
      </c>
      <c r="CZ17" s="112" t="s">
        <v>361</v>
      </c>
      <c r="DA17" s="129">
        <v>313224</v>
      </c>
      <c r="DB17" s="129">
        <v>54835</v>
      </c>
      <c r="DC17" s="70">
        <v>117.8</v>
      </c>
      <c r="DD17" s="60" t="s">
        <v>814</v>
      </c>
      <c r="DE17" s="60" t="s">
        <v>815</v>
      </c>
      <c r="DF17" s="60" t="s">
        <v>816</v>
      </c>
      <c r="DG17" s="60" t="s">
        <v>383</v>
      </c>
      <c r="DI17" s="70">
        <v>666</v>
      </c>
      <c r="DJ17" s="70">
        <v>153</v>
      </c>
      <c r="DK17" s="130">
        <v>70.7</v>
      </c>
      <c r="DM17" s="80">
        <v>210</v>
      </c>
      <c r="DN17" s="80">
        <v>375</v>
      </c>
      <c r="DO17" s="70">
        <v>1521</v>
      </c>
      <c r="DP17" s="131">
        <v>99.9</v>
      </c>
      <c r="DQ17" s="132">
        <v>1.8</v>
      </c>
      <c r="DR17" s="60">
        <v>0.8</v>
      </c>
      <c r="DS17" s="78"/>
      <c r="DT17" s="90">
        <v>5</v>
      </c>
      <c r="DU17" s="60">
        <v>156</v>
      </c>
      <c r="DV17" s="70">
        <v>25</v>
      </c>
      <c r="DW17" s="70">
        <v>87.8</v>
      </c>
      <c r="DX17" s="78"/>
      <c r="DY17" s="70">
        <v>108.5</v>
      </c>
      <c r="DZ17" s="70">
        <v>105.9</v>
      </c>
      <c r="EA17" s="70">
        <v>106.4</v>
      </c>
      <c r="EB17" s="70">
        <v>104.4</v>
      </c>
      <c r="EC17" s="86" t="s">
        <v>809</v>
      </c>
      <c r="ED17" s="60" t="s">
        <v>810</v>
      </c>
      <c r="EE17" s="60">
        <v>100</v>
      </c>
      <c r="EF17" s="60">
        <v>110.1</v>
      </c>
      <c r="EG17" s="60">
        <v>105.1</v>
      </c>
      <c r="EH17" s="78"/>
      <c r="EI17" s="60">
        <v>27.8</v>
      </c>
      <c r="EJ17" s="89">
        <v>1101.2</v>
      </c>
      <c r="EK17" s="89">
        <v>428</v>
      </c>
      <c r="EL17" s="87">
        <v>422</v>
      </c>
      <c r="EM17" s="133">
        <v>18.399999999999999</v>
      </c>
      <c r="EN17" s="133">
        <v>376</v>
      </c>
      <c r="EO17" s="78"/>
      <c r="EP17" s="133" t="s">
        <v>817</v>
      </c>
      <c r="EQ17" s="134">
        <v>1634</v>
      </c>
      <c r="ER17" s="60">
        <v>19668</v>
      </c>
      <c r="ES17" s="60">
        <v>72818</v>
      </c>
      <c r="ET17" s="110" t="s">
        <v>2268</v>
      </c>
      <c r="EU17" s="110" t="s">
        <v>395</v>
      </c>
      <c r="EV17" s="78"/>
      <c r="EW17" s="135">
        <v>92.6</v>
      </c>
      <c r="EX17" s="136">
        <v>20.8</v>
      </c>
      <c r="EY17" s="137"/>
      <c r="EZ17" s="136">
        <v>1241.5</v>
      </c>
      <c r="FA17" s="109">
        <v>12.7</v>
      </c>
      <c r="FB17" s="78"/>
      <c r="FC17" s="137"/>
      <c r="FD17" s="137"/>
      <c r="FE17" s="70">
        <v>485</v>
      </c>
      <c r="FF17" s="137"/>
      <c r="FG17" s="137"/>
      <c r="FH17" s="70">
        <v>822</v>
      </c>
      <c r="FI17" s="70">
        <v>266</v>
      </c>
      <c r="FJ17" s="137"/>
      <c r="FK17" s="70"/>
      <c r="FL17" s="90" t="s">
        <v>818</v>
      </c>
      <c r="FM17" s="90" t="s">
        <v>819</v>
      </c>
      <c r="FN17" s="90">
        <v>-934</v>
      </c>
    </row>
    <row r="18" spans="1:170" ht="15.6">
      <c r="A18" s="2">
        <v>39</v>
      </c>
      <c r="B18" s="52" t="s">
        <v>286</v>
      </c>
      <c r="D18" s="65">
        <v>72.5</v>
      </c>
      <c r="E18" s="63">
        <v>27.02</v>
      </c>
      <c r="F18" s="60">
        <v>0</v>
      </c>
      <c r="G18" s="60">
        <v>0</v>
      </c>
      <c r="H18" s="112"/>
      <c r="I18" s="112"/>
      <c r="J18" s="60">
        <v>57</v>
      </c>
      <c r="K18" s="112"/>
      <c r="L18" s="112"/>
      <c r="M18" s="93" t="s">
        <v>430</v>
      </c>
      <c r="N18" s="76" t="s">
        <v>531</v>
      </c>
      <c r="O18" s="76" t="s">
        <v>489</v>
      </c>
      <c r="Q18" s="101">
        <v>9.9499999999999993</v>
      </c>
      <c r="R18" s="102">
        <v>85.16</v>
      </c>
      <c r="S18" s="101">
        <v>62.99</v>
      </c>
      <c r="T18" s="113">
        <v>56.84</v>
      </c>
      <c r="V18" s="66">
        <v>15100</v>
      </c>
      <c r="X18" s="114">
        <v>7.7</v>
      </c>
      <c r="Y18" s="114">
        <v>2115.3000000000002</v>
      </c>
      <c r="Z18" s="71">
        <v>1118</v>
      </c>
      <c r="AA18" s="80">
        <v>17.7</v>
      </c>
      <c r="AB18" s="80">
        <v>56.3</v>
      </c>
      <c r="AC18" s="58">
        <v>23.4</v>
      </c>
      <c r="AD18" s="84">
        <v>73.709999999999994</v>
      </c>
      <c r="AE18" s="84">
        <v>69.02</v>
      </c>
      <c r="AF18" s="60">
        <v>78.430000000000007</v>
      </c>
      <c r="AG18" s="60">
        <v>12199</v>
      </c>
      <c r="AH18" s="60">
        <f t="shared" si="0"/>
        <v>12.199</v>
      </c>
      <c r="AI18" s="71">
        <v>372.495</v>
      </c>
      <c r="AJ18" s="70">
        <v>1.1830000000000001</v>
      </c>
      <c r="AK18" s="70">
        <v>747</v>
      </c>
      <c r="AL18" s="146" t="s">
        <v>23</v>
      </c>
      <c r="AM18" s="147" t="s">
        <v>23</v>
      </c>
      <c r="AO18" s="116">
        <v>63.3</v>
      </c>
      <c r="AP18" s="71">
        <v>43543</v>
      </c>
      <c r="AQ18" s="117" t="s">
        <v>2269</v>
      </c>
      <c r="AR18" s="100">
        <v>63.2</v>
      </c>
      <c r="AS18" s="81">
        <v>0.3</v>
      </c>
      <c r="AT18" s="118">
        <v>2.6</v>
      </c>
      <c r="AU18" s="106">
        <v>21</v>
      </c>
      <c r="AV18" s="71">
        <v>34.799999999999997</v>
      </c>
      <c r="AX18" s="119"/>
      <c r="AY18" s="112"/>
      <c r="AZ18" s="82" t="s">
        <v>820</v>
      </c>
      <c r="BA18" s="79" t="s">
        <v>821</v>
      </c>
      <c r="BB18" s="79" t="s">
        <v>822</v>
      </c>
      <c r="BD18" s="78">
        <v>106.9</v>
      </c>
      <c r="BE18" s="120">
        <v>101.7</v>
      </c>
      <c r="BF18" s="64" t="s">
        <v>823</v>
      </c>
      <c r="BG18" s="60">
        <v>108.6</v>
      </c>
      <c r="BH18" s="68">
        <v>54739</v>
      </c>
      <c r="BI18" s="121"/>
      <c r="BJ18" s="112"/>
      <c r="BK18" s="122">
        <v>10.199999999999999</v>
      </c>
      <c r="BL18" s="123">
        <v>36496</v>
      </c>
      <c r="BM18" s="115" t="s">
        <v>824</v>
      </c>
      <c r="BN18" s="115" t="s">
        <v>825</v>
      </c>
      <c r="BP18" s="115">
        <v>1.2170000000000001</v>
      </c>
      <c r="BQ18" s="84">
        <v>0.63200000000000001</v>
      </c>
      <c r="BR18" s="85" t="s">
        <v>826</v>
      </c>
      <c r="BS18" s="85" t="s">
        <v>827</v>
      </c>
      <c r="BT18" s="115">
        <v>33.1</v>
      </c>
      <c r="BU18" s="124">
        <v>37.799999999999997</v>
      </c>
      <c r="BV18" s="125">
        <v>1593</v>
      </c>
      <c r="BW18" s="80">
        <v>144</v>
      </c>
      <c r="BX18" s="80">
        <v>81</v>
      </c>
      <c r="BY18" s="78">
        <v>97.8</v>
      </c>
      <c r="BZ18" s="115">
        <v>96.38</v>
      </c>
      <c r="CA18" s="115">
        <v>90.35</v>
      </c>
      <c r="CB18" s="112"/>
      <c r="CC18" s="112"/>
      <c r="CE18" s="70">
        <v>127.7</v>
      </c>
      <c r="CF18" s="70">
        <v>6.2</v>
      </c>
      <c r="CG18" s="69">
        <v>212</v>
      </c>
      <c r="CH18" s="69">
        <v>181</v>
      </c>
      <c r="CI18" s="69">
        <v>3</v>
      </c>
      <c r="CJ18" s="126">
        <v>125.57</v>
      </c>
      <c r="CK18" s="60">
        <v>125.6</v>
      </c>
      <c r="CL18" s="127">
        <v>50.15</v>
      </c>
      <c r="CM18" s="127">
        <v>463</v>
      </c>
      <c r="CN18" s="107">
        <v>3.4</v>
      </c>
      <c r="CO18" s="58">
        <v>781.1</v>
      </c>
      <c r="CQ18" s="108" t="s">
        <v>2270</v>
      </c>
      <c r="CR18" s="78">
        <v>19.8</v>
      </c>
      <c r="CS18" s="78">
        <v>502.5</v>
      </c>
      <c r="CT18" s="78">
        <v>103.2</v>
      </c>
      <c r="CU18" s="128" t="s">
        <v>828</v>
      </c>
      <c r="CV18" s="128">
        <v>142.69999999999999</v>
      </c>
      <c r="CW18" s="128" t="s">
        <v>829</v>
      </c>
      <c r="CX18" s="60" t="s">
        <v>830</v>
      </c>
      <c r="CY18" s="60">
        <v>37.4</v>
      </c>
      <c r="CZ18" s="60" t="s">
        <v>831</v>
      </c>
      <c r="DA18" s="129">
        <v>274739</v>
      </c>
      <c r="DB18" s="129">
        <v>97530</v>
      </c>
      <c r="DC18" s="70">
        <v>842.9</v>
      </c>
      <c r="DD18" s="86" t="s">
        <v>832</v>
      </c>
      <c r="DE18" s="60" t="s">
        <v>833</v>
      </c>
      <c r="DF18" s="60" t="s">
        <v>834</v>
      </c>
      <c r="DG18" s="60" t="s">
        <v>835</v>
      </c>
      <c r="DI18" s="70">
        <v>519</v>
      </c>
      <c r="DJ18" s="70">
        <v>106</v>
      </c>
      <c r="DK18" s="130">
        <v>96.9</v>
      </c>
      <c r="DM18" s="80">
        <v>211</v>
      </c>
      <c r="DN18" s="80" t="s">
        <v>836</v>
      </c>
      <c r="DO18" s="70">
        <v>1670</v>
      </c>
      <c r="DP18" s="131">
        <v>100</v>
      </c>
      <c r="DQ18" s="132">
        <v>50.3</v>
      </c>
      <c r="DR18" s="60">
        <v>49.8</v>
      </c>
      <c r="DS18" s="78"/>
      <c r="DT18" s="90">
        <v>30</v>
      </c>
      <c r="DU18" s="60">
        <v>106</v>
      </c>
      <c r="DV18" s="70">
        <v>97</v>
      </c>
      <c r="DW18" s="70">
        <v>137.6</v>
      </c>
      <c r="DX18" s="78"/>
      <c r="DY18" s="70">
        <v>108.3</v>
      </c>
      <c r="DZ18" s="70">
        <v>107.7</v>
      </c>
      <c r="EA18" s="70">
        <v>108.8</v>
      </c>
      <c r="EB18" s="70">
        <v>107.7</v>
      </c>
      <c r="EC18" s="86" t="s">
        <v>826</v>
      </c>
      <c r="ED18" s="60" t="s">
        <v>827</v>
      </c>
      <c r="EE18" s="60">
        <v>115.8</v>
      </c>
      <c r="EF18" s="60">
        <v>103.2</v>
      </c>
      <c r="EG18" s="60">
        <v>101.3</v>
      </c>
      <c r="EH18" s="78"/>
      <c r="EI18" s="60">
        <v>44.8</v>
      </c>
      <c r="EJ18" s="89">
        <v>2331.3000000000002</v>
      </c>
      <c r="EK18" s="89">
        <v>243</v>
      </c>
      <c r="EL18" s="87">
        <v>1332</v>
      </c>
      <c r="EM18" s="133">
        <v>14.4</v>
      </c>
      <c r="EN18" s="142" t="s">
        <v>837</v>
      </c>
      <c r="EO18" s="78"/>
      <c r="EP18" s="133" t="s">
        <v>838</v>
      </c>
      <c r="EQ18" s="134">
        <v>27417</v>
      </c>
      <c r="ER18" s="60">
        <v>48873</v>
      </c>
      <c r="ES18" s="60">
        <v>178816</v>
      </c>
      <c r="ET18" s="110" t="s">
        <v>2271</v>
      </c>
      <c r="EU18" s="110" t="s">
        <v>2272</v>
      </c>
      <c r="EV18" s="78"/>
      <c r="EW18" s="135">
        <v>88.7</v>
      </c>
      <c r="EX18" s="136">
        <v>36.4</v>
      </c>
      <c r="EY18" s="137"/>
      <c r="EZ18" s="136">
        <v>2013.1</v>
      </c>
      <c r="FA18" s="109">
        <v>25.8</v>
      </c>
      <c r="FB18" s="78"/>
      <c r="FC18" s="137"/>
      <c r="FD18" s="137"/>
      <c r="FE18" s="70">
        <v>436</v>
      </c>
      <c r="FF18" s="137"/>
      <c r="FG18" s="137"/>
      <c r="FH18" s="70">
        <v>552</v>
      </c>
      <c r="FI18" s="70">
        <v>1324</v>
      </c>
      <c r="FJ18" s="137"/>
      <c r="FK18" s="70"/>
      <c r="FL18" s="90" t="s">
        <v>839</v>
      </c>
      <c r="FM18" s="90" t="s">
        <v>840</v>
      </c>
      <c r="FN18" s="90" t="s">
        <v>841</v>
      </c>
    </row>
    <row r="19" spans="1:170" ht="15.6">
      <c r="A19" s="2">
        <v>40</v>
      </c>
      <c r="B19" s="52" t="s">
        <v>287</v>
      </c>
      <c r="D19" s="63">
        <v>70.17</v>
      </c>
      <c r="E19" s="63">
        <v>28.99</v>
      </c>
      <c r="F19" s="60">
        <v>0</v>
      </c>
      <c r="G19" s="60">
        <v>0</v>
      </c>
      <c r="H19" s="112"/>
      <c r="I19" s="112"/>
      <c r="J19" s="60">
        <v>50</v>
      </c>
      <c r="K19" s="112"/>
      <c r="L19" s="112"/>
      <c r="M19" s="93" t="s">
        <v>432</v>
      </c>
      <c r="N19" s="76" t="s">
        <v>570</v>
      </c>
      <c r="O19" s="76" t="s">
        <v>489</v>
      </c>
      <c r="Q19" s="101">
        <v>9.9499999999999993</v>
      </c>
      <c r="R19" s="102">
        <v>85.16</v>
      </c>
      <c r="S19" s="101">
        <v>62.99</v>
      </c>
      <c r="T19" s="113">
        <v>51.78</v>
      </c>
      <c r="V19" s="66">
        <v>29800</v>
      </c>
      <c r="X19" s="114">
        <v>5.7</v>
      </c>
      <c r="Y19" s="114">
        <v>2115.3000000000002</v>
      </c>
      <c r="Z19" s="71">
        <v>1114</v>
      </c>
      <c r="AA19" s="80">
        <v>16.7</v>
      </c>
      <c r="AB19" s="80">
        <v>55.3</v>
      </c>
      <c r="AC19" s="58">
        <v>25.3</v>
      </c>
      <c r="AD19" s="84">
        <v>73.08</v>
      </c>
      <c r="AE19" s="84">
        <v>67.819999999999993</v>
      </c>
      <c r="AF19" s="60">
        <v>78.540000000000006</v>
      </c>
      <c r="AG19" s="60">
        <v>14077</v>
      </c>
      <c r="AH19" s="60">
        <f t="shared" si="0"/>
        <v>14.077</v>
      </c>
      <c r="AI19" s="71">
        <v>559.64499999999998</v>
      </c>
      <c r="AJ19" s="70">
        <v>1.339</v>
      </c>
      <c r="AK19" s="70">
        <v>793</v>
      </c>
      <c r="AL19" s="90">
        <v>26</v>
      </c>
      <c r="AM19" s="77">
        <v>252</v>
      </c>
      <c r="AO19" s="116">
        <v>61.1</v>
      </c>
      <c r="AP19" s="151" t="s">
        <v>2273</v>
      </c>
      <c r="AQ19" s="117" t="s">
        <v>2214</v>
      </c>
      <c r="AR19" s="100">
        <v>75.5</v>
      </c>
      <c r="AS19" s="81">
        <v>0.1</v>
      </c>
      <c r="AT19" s="118">
        <v>2.1</v>
      </c>
      <c r="AU19" s="106">
        <v>10</v>
      </c>
      <c r="AV19" s="71">
        <v>49.8</v>
      </c>
      <c r="AX19" s="119"/>
      <c r="AY19" s="112"/>
      <c r="AZ19" s="82" t="s">
        <v>842</v>
      </c>
      <c r="BA19" s="79" t="s">
        <v>843</v>
      </c>
      <c r="BB19" s="79" t="s">
        <v>844</v>
      </c>
      <c r="BD19" s="78">
        <v>105.6</v>
      </c>
      <c r="BE19" s="120">
        <v>99.8</v>
      </c>
      <c r="BF19" s="64" t="s">
        <v>845</v>
      </c>
      <c r="BG19" s="60">
        <v>106.9</v>
      </c>
      <c r="BH19" s="68">
        <v>61588</v>
      </c>
      <c r="BI19" s="121"/>
      <c r="BJ19" s="112"/>
      <c r="BK19" s="122">
        <v>7.1</v>
      </c>
      <c r="BL19" s="123">
        <v>31984</v>
      </c>
      <c r="BM19" s="115" t="s">
        <v>846</v>
      </c>
      <c r="BN19" s="115" t="s">
        <v>847</v>
      </c>
      <c r="BP19" s="115">
        <v>1.119</v>
      </c>
      <c r="BQ19" s="84">
        <v>0.3</v>
      </c>
      <c r="BR19" s="85" t="s">
        <v>848</v>
      </c>
      <c r="BS19" s="85" t="s">
        <v>849</v>
      </c>
      <c r="BT19" s="115">
        <v>32</v>
      </c>
      <c r="BU19" s="124">
        <v>34.5</v>
      </c>
      <c r="BV19" s="125">
        <v>1593</v>
      </c>
      <c r="BW19" s="80">
        <v>208</v>
      </c>
      <c r="BX19" s="80">
        <v>19</v>
      </c>
      <c r="BY19" s="78">
        <v>77.3</v>
      </c>
      <c r="BZ19" s="115">
        <v>82.53</v>
      </c>
      <c r="CA19" s="115">
        <v>64.7</v>
      </c>
      <c r="CB19" s="112"/>
      <c r="CC19" s="112"/>
      <c r="CE19" s="70">
        <v>123.4</v>
      </c>
      <c r="CF19" s="70">
        <v>7.1</v>
      </c>
      <c r="CG19" s="69">
        <v>187</v>
      </c>
      <c r="CH19" s="69">
        <v>168</v>
      </c>
      <c r="CI19" s="69">
        <v>3.5</v>
      </c>
      <c r="CJ19" s="126">
        <v>151.88999999999999</v>
      </c>
      <c r="CK19" s="60">
        <v>151.9</v>
      </c>
      <c r="CL19" s="127">
        <v>40.5</v>
      </c>
      <c r="CM19" s="127">
        <v>525.20000000000005</v>
      </c>
      <c r="CN19" s="107">
        <v>3</v>
      </c>
      <c r="CO19" s="58">
        <v>1042.7</v>
      </c>
      <c r="CQ19" s="108" t="s">
        <v>2274</v>
      </c>
      <c r="CR19" s="78">
        <v>5.0999999999999996</v>
      </c>
      <c r="CS19" s="78">
        <v>924.2</v>
      </c>
      <c r="CT19" s="78">
        <v>106.3</v>
      </c>
      <c r="CU19" s="128" t="s">
        <v>850</v>
      </c>
      <c r="CV19" s="128">
        <v>79.599999999999994</v>
      </c>
      <c r="CW19" s="128" t="s">
        <v>851</v>
      </c>
      <c r="CX19" s="60" t="s">
        <v>852</v>
      </c>
      <c r="CY19" s="60">
        <v>30</v>
      </c>
      <c r="CZ19" s="60" t="s">
        <v>361</v>
      </c>
      <c r="DA19" s="129">
        <v>262560</v>
      </c>
      <c r="DB19" s="129">
        <v>75008</v>
      </c>
      <c r="DC19" s="70">
        <v>924.8</v>
      </c>
      <c r="DD19" s="86" t="s">
        <v>853</v>
      </c>
      <c r="DE19" s="60" t="s">
        <v>854</v>
      </c>
      <c r="DF19" s="60" t="s">
        <v>855</v>
      </c>
      <c r="DG19" s="60" t="s">
        <v>482</v>
      </c>
      <c r="DI19" s="70">
        <v>365</v>
      </c>
      <c r="DJ19" s="70">
        <v>114</v>
      </c>
      <c r="DK19" s="130">
        <v>108.2</v>
      </c>
      <c r="DM19" s="80">
        <v>205</v>
      </c>
      <c r="DN19" s="80" t="s">
        <v>378</v>
      </c>
      <c r="DO19" s="70">
        <v>2529</v>
      </c>
      <c r="DP19" s="131">
        <v>99.6</v>
      </c>
      <c r="DQ19" s="132">
        <v>121.5</v>
      </c>
      <c r="DR19" s="60">
        <v>23.4</v>
      </c>
      <c r="DS19" s="78"/>
      <c r="DT19" s="90">
        <v>57</v>
      </c>
      <c r="DU19" s="60">
        <v>108</v>
      </c>
      <c r="DV19" s="70">
        <v>73</v>
      </c>
      <c r="DW19" s="70">
        <v>122.7</v>
      </c>
      <c r="DX19" s="78"/>
      <c r="DY19" s="70">
        <v>109.5</v>
      </c>
      <c r="DZ19" s="70">
        <v>106.9</v>
      </c>
      <c r="EA19" s="70">
        <v>107.8</v>
      </c>
      <c r="EB19" s="70">
        <v>104</v>
      </c>
      <c r="EC19" s="86" t="s">
        <v>848</v>
      </c>
      <c r="ED19" s="60" t="s">
        <v>849</v>
      </c>
      <c r="EE19" s="60">
        <v>110</v>
      </c>
      <c r="EF19" s="60">
        <v>106.3</v>
      </c>
      <c r="EG19" s="60">
        <v>98.3</v>
      </c>
      <c r="EH19" s="78"/>
      <c r="EI19" s="60">
        <v>35.1</v>
      </c>
      <c r="EJ19" s="89">
        <v>12462.9</v>
      </c>
      <c r="EK19" s="89">
        <v>533</v>
      </c>
      <c r="EL19" s="87">
        <v>3703</v>
      </c>
      <c r="EM19" s="133">
        <v>24.5</v>
      </c>
      <c r="EN19" s="142" t="s">
        <v>856</v>
      </c>
      <c r="EO19" s="78"/>
      <c r="EP19" s="133" t="s">
        <v>857</v>
      </c>
      <c r="EQ19" s="134">
        <v>9822</v>
      </c>
      <c r="ER19" s="60">
        <v>51157</v>
      </c>
      <c r="ES19" s="60">
        <v>194506</v>
      </c>
      <c r="ET19" s="110" t="s">
        <v>2275</v>
      </c>
      <c r="EU19" s="110" t="s">
        <v>2276</v>
      </c>
      <c r="EV19" s="78"/>
      <c r="EW19" s="135">
        <v>76</v>
      </c>
      <c r="EX19" s="136">
        <v>42.9</v>
      </c>
      <c r="EY19" s="137"/>
      <c r="EZ19" s="136">
        <v>1934.4</v>
      </c>
      <c r="FA19" s="109">
        <v>28.6</v>
      </c>
      <c r="FB19" s="78"/>
      <c r="FC19" s="137"/>
      <c r="FD19" s="137"/>
      <c r="FE19" s="70">
        <v>557</v>
      </c>
      <c r="FF19" s="137"/>
      <c r="FG19" s="137"/>
      <c r="FH19" s="70">
        <v>888</v>
      </c>
      <c r="FI19" s="70">
        <v>1293</v>
      </c>
      <c r="FJ19" s="137"/>
      <c r="FK19" s="70"/>
      <c r="FL19" s="90" t="s">
        <v>858</v>
      </c>
      <c r="FM19" s="90" t="s">
        <v>859</v>
      </c>
      <c r="FN19" s="90" t="s">
        <v>860</v>
      </c>
    </row>
    <row r="20" spans="1:170" ht="15.6">
      <c r="A20" s="2">
        <v>41</v>
      </c>
      <c r="B20" s="52" t="s">
        <v>288</v>
      </c>
      <c r="D20" s="63">
        <v>61.76</v>
      </c>
      <c r="E20" s="63">
        <v>37.159999999999997</v>
      </c>
      <c r="F20" s="60">
        <v>0</v>
      </c>
      <c r="G20" s="60">
        <v>0</v>
      </c>
      <c r="H20" s="112"/>
      <c r="I20" s="112"/>
      <c r="J20" s="60">
        <v>77</v>
      </c>
      <c r="K20" s="112"/>
      <c r="L20" s="112"/>
      <c r="M20" s="93" t="s">
        <v>429</v>
      </c>
      <c r="N20" s="76" t="s">
        <v>592</v>
      </c>
      <c r="O20" s="76" t="s">
        <v>489</v>
      </c>
      <c r="Q20" s="101">
        <v>9.9499999999999993</v>
      </c>
      <c r="R20" s="102">
        <v>85.16</v>
      </c>
      <c r="S20" s="101">
        <v>62.99</v>
      </c>
      <c r="T20" s="113">
        <v>61.23</v>
      </c>
      <c r="V20" s="66">
        <v>464300</v>
      </c>
      <c r="X20" s="114">
        <v>8.8000000000000007</v>
      </c>
      <c r="Y20" s="114">
        <v>2115.3000000000002</v>
      </c>
      <c r="Z20" s="71">
        <v>1062</v>
      </c>
      <c r="AA20" s="80">
        <v>19.5</v>
      </c>
      <c r="AB20" s="80">
        <v>59</v>
      </c>
      <c r="AC20" s="58">
        <v>19.100000000000001</v>
      </c>
      <c r="AD20" s="88">
        <v>70.430000000000007</v>
      </c>
      <c r="AE20" s="84">
        <v>65.2</v>
      </c>
      <c r="AF20" s="60">
        <v>76.36</v>
      </c>
      <c r="AG20" s="60">
        <v>3402</v>
      </c>
      <c r="AH20" s="60">
        <f t="shared" si="0"/>
        <v>3.4020000000000001</v>
      </c>
      <c r="AI20" s="71">
        <v>590.42499999999995</v>
      </c>
      <c r="AJ20" s="115">
        <v>1.6422600000000001</v>
      </c>
      <c r="AK20" s="70">
        <v>704</v>
      </c>
      <c r="AL20" s="90">
        <v>4</v>
      </c>
      <c r="AM20" s="77">
        <v>44</v>
      </c>
      <c r="AO20" s="116">
        <v>68.5</v>
      </c>
      <c r="AP20" s="71">
        <v>87054</v>
      </c>
      <c r="AQ20" s="117" t="s">
        <v>2277</v>
      </c>
      <c r="AR20" s="100">
        <v>70</v>
      </c>
      <c r="AS20" s="81">
        <v>0.3</v>
      </c>
      <c r="AT20" s="118">
        <v>2.2000000000000002</v>
      </c>
      <c r="AU20" s="106">
        <v>22.4</v>
      </c>
      <c r="AV20" s="71">
        <v>50.4</v>
      </c>
      <c r="AX20" s="119"/>
      <c r="AY20" s="112"/>
      <c r="AZ20" s="82" t="s">
        <v>861</v>
      </c>
      <c r="BA20" s="79" t="s">
        <v>862</v>
      </c>
      <c r="BB20" s="79" t="s">
        <v>863</v>
      </c>
      <c r="BD20" s="78">
        <v>103.8</v>
      </c>
      <c r="BE20" s="120">
        <v>100.6</v>
      </c>
      <c r="BF20" s="64" t="s">
        <v>864</v>
      </c>
      <c r="BG20" s="60">
        <v>107.5</v>
      </c>
      <c r="BH20" s="68">
        <v>119563</v>
      </c>
      <c r="BI20" s="121"/>
      <c r="BJ20" s="112"/>
      <c r="BK20" s="122">
        <v>10.7</v>
      </c>
      <c r="BL20" s="123">
        <v>50350</v>
      </c>
      <c r="BM20" s="115" t="s">
        <v>865</v>
      </c>
      <c r="BN20" s="115" t="s">
        <v>866</v>
      </c>
      <c r="BP20" s="115">
        <v>8.6999999999999994E-2</v>
      </c>
      <c r="BQ20" s="84">
        <v>3.3000000000000002E-2</v>
      </c>
      <c r="BR20" s="85" t="s">
        <v>867</v>
      </c>
      <c r="BS20" s="85" t="s">
        <v>868</v>
      </c>
      <c r="BT20" s="115">
        <v>28.3</v>
      </c>
      <c r="BU20" s="124">
        <v>42.2</v>
      </c>
      <c r="BV20" s="125">
        <v>1958</v>
      </c>
      <c r="BW20" s="80">
        <v>75</v>
      </c>
      <c r="BX20" s="80">
        <v>27</v>
      </c>
      <c r="BY20" s="78">
        <v>96</v>
      </c>
      <c r="BZ20" s="115">
        <v>92.55</v>
      </c>
      <c r="CA20" s="115">
        <v>78.849999999999994</v>
      </c>
      <c r="CB20" s="112"/>
      <c r="CC20" s="112"/>
      <c r="CE20" s="70">
        <v>38.1</v>
      </c>
      <c r="CF20" s="70">
        <v>2.5</v>
      </c>
      <c r="CG20" s="69">
        <v>149</v>
      </c>
      <c r="CH20" s="69">
        <v>127</v>
      </c>
      <c r="CI20" s="69">
        <v>0.6</v>
      </c>
      <c r="CJ20" s="126">
        <v>86.8</v>
      </c>
      <c r="CK20" s="60">
        <v>86.8</v>
      </c>
      <c r="CL20" s="127">
        <v>63.02</v>
      </c>
      <c r="CM20" s="127">
        <v>664.1</v>
      </c>
      <c r="CN20" s="107">
        <v>5.0999999999999996</v>
      </c>
      <c r="CO20" s="58">
        <v>873.4</v>
      </c>
      <c r="CQ20" s="108" t="s">
        <v>2278</v>
      </c>
      <c r="CR20" s="78">
        <v>49.8</v>
      </c>
      <c r="CS20" s="78">
        <v>204.8</v>
      </c>
      <c r="CT20" s="78">
        <v>99.1</v>
      </c>
      <c r="CU20" s="128" t="s">
        <v>869</v>
      </c>
      <c r="CV20" s="128">
        <v>124.1</v>
      </c>
      <c r="CW20" s="128" t="s">
        <v>870</v>
      </c>
      <c r="CX20" s="60" t="s">
        <v>871</v>
      </c>
      <c r="CY20" s="60">
        <v>34.200000000000003</v>
      </c>
      <c r="CZ20" s="60" t="s">
        <v>872</v>
      </c>
      <c r="DA20" s="129">
        <v>350345</v>
      </c>
      <c r="DB20" s="129">
        <v>33405</v>
      </c>
      <c r="DC20" s="70">
        <v>363.9</v>
      </c>
      <c r="DD20" s="86" t="s">
        <v>873</v>
      </c>
      <c r="DE20" s="60" t="s">
        <v>874</v>
      </c>
      <c r="DF20" s="60" t="s">
        <v>875</v>
      </c>
      <c r="DG20" s="60" t="s">
        <v>876</v>
      </c>
      <c r="DI20" s="70">
        <v>4.4000000000000004</v>
      </c>
      <c r="DJ20" s="70">
        <v>153</v>
      </c>
      <c r="DK20" s="130">
        <v>130.19999999999999</v>
      </c>
      <c r="DM20" s="80">
        <v>271</v>
      </c>
      <c r="DN20" s="80">
        <v>548</v>
      </c>
      <c r="DO20" s="70">
        <v>520</v>
      </c>
      <c r="DP20" s="131">
        <v>96.9</v>
      </c>
      <c r="DQ20" s="132">
        <v>16.3</v>
      </c>
      <c r="DR20" s="60">
        <v>5.3</v>
      </c>
      <c r="DS20" s="78"/>
      <c r="DT20" s="90">
        <v>47</v>
      </c>
      <c r="DU20" s="60">
        <v>150</v>
      </c>
      <c r="DV20" s="70">
        <v>23</v>
      </c>
      <c r="DW20" s="70">
        <v>104.3</v>
      </c>
      <c r="DX20" s="78"/>
      <c r="DY20" s="70">
        <v>108</v>
      </c>
      <c r="DZ20" s="70">
        <v>108.7</v>
      </c>
      <c r="EA20" s="70">
        <v>106.3</v>
      </c>
      <c r="EB20" s="70">
        <v>106.5</v>
      </c>
      <c r="EC20" s="86" t="s">
        <v>867</v>
      </c>
      <c r="ED20" s="60" t="s">
        <v>868</v>
      </c>
      <c r="EE20" s="60">
        <v>115.7</v>
      </c>
      <c r="EF20" s="60">
        <v>99.1</v>
      </c>
      <c r="EG20" s="60">
        <v>102.1</v>
      </c>
      <c r="EH20" s="78"/>
      <c r="EI20" s="60">
        <v>30</v>
      </c>
      <c r="EJ20" s="89">
        <v>1766</v>
      </c>
      <c r="EK20" s="89">
        <v>166</v>
      </c>
      <c r="EL20" s="87">
        <v>486</v>
      </c>
      <c r="EM20" s="133">
        <v>17.899999999999999</v>
      </c>
      <c r="EN20" s="133" t="s">
        <v>877</v>
      </c>
      <c r="EO20" s="78"/>
      <c r="EP20" s="133" t="s">
        <v>878</v>
      </c>
      <c r="EQ20" s="134">
        <v>4670</v>
      </c>
      <c r="ER20" s="60">
        <v>2517</v>
      </c>
      <c r="ES20" s="60">
        <v>80271</v>
      </c>
      <c r="ET20" s="110" t="s">
        <v>2279</v>
      </c>
      <c r="EU20" s="110" t="s">
        <v>406</v>
      </c>
      <c r="EV20" s="78"/>
      <c r="EW20" s="135">
        <v>93.5</v>
      </c>
      <c r="EX20" s="136">
        <v>44.2</v>
      </c>
      <c r="EY20" s="137"/>
      <c r="EZ20" s="136">
        <v>1919.6</v>
      </c>
      <c r="FA20" s="109">
        <v>19.2</v>
      </c>
      <c r="FB20" s="78"/>
      <c r="FC20" s="137"/>
      <c r="FD20" s="137"/>
      <c r="FE20" s="70">
        <v>229</v>
      </c>
      <c r="FF20" s="137"/>
      <c r="FG20" s="137"/>
      <c r="FH20" s="70">
        <v>254</v>
      </c>
      <c r="FI20" s="70">
        <v>822</v>
      </c>
      <c r="FJ20" s="137"/>
      <c r="FK20" s="70"/>
      <c r="FL20" s="90" t="s">
        <v>879</v>
      </c>
      <c r="FM20" s="90" t="s">
        <v>880</v>
      </c>
      <c r="FN20" s="90">
        <v>687</v>
      </c>
    </row>
    <row r="21" spans="1:170" ht="15.6">
      <c r="A21" s="2">
        <v>9</v>
      </c>
      <c r="B21" s="52" t="s">
        <v>289</v>
      </c>
      <c r="D21" s="65">
        <v>84.8</v>
      </c>
      <c r="E21" s="63">
        <v>15.01</v>
      </c>
      <c r="F21" s="60">
        <v>0</v>
      </c>
      <c r="G21" s="60">
        <v>0</v>
      </c>
      <c r="H21" s="112"/>
      <c r="I21" s="112"/>
      <c r="J21" s="60">
        <v>68</v>
      </c>
      <c r="K21" s="112"/>
      <c r="L21" s="112"/>
      <c r="M21" s="93" t="s">
        <v>424</v>
      </c>
      <c r="N21" s="76" t="s">
        <v>592</v>
      </c>
      <c r="O21" s="76" t="s">
        <v>489</v>
      </c>
      <c r="Q21" s="101">
        <v>9.9499999999999993</v>
      </c>
      <c r="R21" s="102">
        <v>85.16</v>
      </c>
      <c r="S21" s="101">
        <v>62.99</v>
      </c>
      <c r="T21" s="113">
        <v>54.66</v>
      </c>
      <c r="V21" s="66">
        <v>14300</v>
      </c>
      <c r="X21" s="114">
        <v>4</v>
      </c>
      <c r="Y21" s="114">
        <v>2115.3000000000002</v>
      </c>
      <c r="Z21" s="71">
        <v>1121</v>
      </c>
      <c r="AA21" s="80">
        <v>21</v>
      </c>
      <c r="AB21" s="80">
        <v>56.8</v>
      </c>
      <c r="AC21" s="58">
        <v>20</v>
      </c>
      <c r="AD21" s="88">
        <v>76.25</v>
      </c>
      <c r="AE21" s="84">
        <v>71.53</v>
      </c>
      <c r="AF21" s="60">
        <v>80.97</v>
      </c>
      <c r="AG21" s="60">
        <v>3974</v>
      </c>
      <c r="AH21" s="60">
        <f t="shared" si="0"/>
        <v>3.9740000000000002</v>
      </c>
      <c r="AI21" s="71">
        <v>309.32</v>
      </c>
      <c r="AJ21" s="70">
        <v>1.34</v>
      </c>
      <c r="AK21" s="70">
        <v>1562</v>
      </c>
      <c r="AL21" s="90">
        <v>5</v>
      </c>
      <c r="AM21" s="77">
        <v>83</v>
      </c>
      <c r="AO21" s="116">
        <v>56.2</v>
      </c>
      <c r="AP21" s="71">
        <v>25619</v>
      </c>
      <c r="AQ21" s="117" t="s">
        <v>2280</v>
      </c>
      <c r="AR21" s="100">
        <v>58.8</v>
      </c>
      <c r="AS21" s="81">
        <v>0.9</v>
      </c>
      <c r="AT21" s="118">
        <v>7.2</v>
      </c>
      <c r="AU21" s="106">
        <v>36.700000000000003</v>
      </c>
      <c r="AV21" s="71">
        <v>18.600000000000001</v>
      </c>
      <c r="AX21" s="119"/>
      <c r="AY21" s="112"/>
      <c r="AZ21" s="82" t="s">
        <v>881</v>
      </c>
      <c r="BA21" s="79" t="s">
        <v>882</v>
      </c>
      <c r="BB21" s="79" t="s">
        <v>883</v>
      </c>
      <c r="BD21" s="78">
        <v>104.8</v>
      </c>
      <c r="BE21" s="120">
        <v>101.1</v>
      </c>
      <c r="BF21" s="64" t="s">
        <v>884</v>
      </c>
      <c r="BG21" s="60">
        <v>107.5</v>
      </c>
      <c r="BH21" s="68">
        <v>40388</v>
      </c>
      <c r="BI21" s="121"/>
      <c r="BJ21" s="112"/>
      <c r="BK21" s="122">
        <v>20.6</v>
      </c>
      <c r="BL21" s="123">
        <v>17547</v>
      </c>
      <c r="BM21" s="115" t="s">
        <v>885</v>
      </c>
      <c r="BN21" s="115" t="s">
        <v>886</v>
      </c>
      <c r="BP21" s="115">
        <v>0.42</v>
      </c>
      <c r="BQ21" s="84">
        <v>0.11600000000000001</v>
      </c>
      <c r="BR21" s="85" t="s">
        <v>887</v>
      </c>
      <c r="BS21" s="85" t="s">
        <v>888</v>
      </c>
      <c r="BT21" s="115">
        <v>23.8</v>
      </c>
      <c r="BU21" s="124">
        <v>40</v>
      </c>
      <c r="BV21" s="125">
        <v>1369</v>
      </c>
      <c r="BW21" s="80">
        <v>104</v>
      </c>
      <c r="BX21" s="80">
        <v>51</v>
      </c>
      <c r="BY21" s="78">
        <v>81.8</v>
      </c>
      <c r="BZ21" s="115">
        <v>71.27</v>
      </c>
      <c r="CA21" s="115">
        <v>51.55</v>
      </c>
      <c r="CB21" s="112"/>
      <c r="CC21" s="112"/>
      <c r="CE21" s="70">
        <v>58.2</v>
      </c>
      <c r="CF21" s="70">
        <v>4.5</v>
      </c>
      <c r="CG21" s="69">
        <v>226</v>
      </c>
      <c r="CH21" s="69">
        <v>203</v>
      </c>
      <c r="CI21" s="69">
        <v>2.2000000000000002</v>
      </c>
      <c r="CJ21" s="126">
        <v>157.1</v>
      </c>
      <c r="CK21" s="60">
        <v>157.1</v>
      </c>
      <c r="CL21" s="127">
        <v>44.58</v>
      </c>
      <c r="CM21" s="127">
        <v>341.3</v>
      </c>
      <c r="CN21" s="107">
        <v>5</v>
      </c>
      <c r="CO21" s="58">
        <v>901.6</v>
      </c>
      <c r="CQ21" s="108" t="s">
        <v>2281</v>
      </c>
      <c r="CR21" s="78">
        <v>4.5999999999999996</v>
      </c>
      <c r="CS21" s="78">
        <v>48.5</v>
      </c>
      <c r="CT21" s="78">
        <v>102.7</v>
      </c>
      <c r="CU21" s="128" t="s">
        <v>889</v>
      </c>
      <c r="CV21" s="128">
        <v>77.900000000000006</v>
      </c>
      <c r="CW21" s="128" t="s">
        <v>890</v>
      </c>
      <c r="CX21" s="60" t="s">
        <v>891</v>
      </c>
      <c r="CY21" s="60">
        <v>35</v>
      </c>
      <c r="CZ21" s="60" t="s">
        <v>892</v>
      </c>
      <c r="DA21" s="129">
        <v>113337</v>
      </c>
      <c r="DB21" s="129">
        <v>26621</v>
      </c>
      <c r="DC21" s="70">
        <v>97.5</v>
      </c>
      <c r="DD21" s="86" t="s">
        <v>893</v>
      </c>
      <c r="DE21" s="60" t="s">
        <v>894</v>
      </c>
      <c r="DF21" s="60" t="s">
        <v>895</v>
      </c>
      <c r="DG21" s="60" t="s">
        <v>896</v>
      </c>
      <c r="DI21" s="70">
        <v>365</v>
      </c>
      <c r="DJ21" s="70">
        <v>56</v>
      </c>
      <c r="DK21" s="130">
        <v>88.2</v>
      </c>
      <c r="DM21" s="80">
        <v>99</v>
      </c>
      <c r="DN21" s="80">
        <v>129</v>
      </c>
      <c r="DO21" s="70">
        <v>618</v>
      </c>
      <c r="DP21" s="131">
        <v>99.8</v>
      </c>
      <c r="DQ21" s="132">
        <v>2.2999999999999998</v>
      </c>
      <c r="DR21" s="60">
        <v>1.5</v>
      </c>
      <c r="DS21" s="78"/>
      <c r="DT21" s="90">
        <v>14</v>
      </c>
      <c r="DU21" s="60">
        <v>122</v>
      </c>
      <c r="DV21" s="70">
        <v>44</v>
      </c>
      <c r="DW21" s="70">
        <v>119</v>
      </c>
      <c r="DX21" s="78"/>
      <c r="DY21" s="70">
        <v>108.4</v>
      </c>
      <c r="DZ21" s="70">
        <v>106.6</v>
      </c>
      <c r="EA21" s="70">
        <v>108.2</v>
      </c>
      <c r="EB21" s="70">
        <v>104.9</v>
      </c>
      <c r="EC21" s="86" t="s">
        <v>887</v>
      </c>
      <c r="ED21" s="60" t="s">
        <v>888</v>
      </c>
      <c r="EE21" s="60">
        <v>104.6</v>
      </c>
      <c r="EF21" s="60">
        <v>102.7</v>
      </c>
      <c r="EG21" s="60">
        <v>106.5</v>
      </c>
      <c r="EH21" s="78"/>
      <c r="EI21" s="60">
        <v>27.7</v>
      </c>
      <c r="EJ21" s="89">
        <v>861.5</v>
      </c>
      <c r="EK21" s="89">
        <v>155</v>
      </c>
      <c r="EL21" s="87">
        <v>141</v>
      </c>
      <c r="EM21" s="133">
        <v>16.399999999999999</v>
      </c>
      <c r="EN21" s="133">
        <v>251.8</v>
      </c>
      <c r="EO21" s="78"/>
      <c r="EP21" s="133" t="s">
        <v>897</v>
      </c>
      <c r="EQ21" s="134">
        <v>461</v>
      </c>
      <c r="ER21" s="60">
        <v>15977</v>
      </c>
      <c r="ES21" s="60">
        <v>54138</v>
      </c>
      <c r="ET21" s="110" t="s">
        <v>2282</v>
      </c>
      <c r="EU21" s="110">
        <v>427</v>
      </c>
      <c r="EV21" s="78"/>
      <c r="EW21" s="135">
        <v>91.8</v>
      </c>
      <c r="EX21" s="136">
        <v>38.1</v>
      </c>
      <c r="EY21" s="137"/>
      <c r="EZ21" s="136">
        <v>1183.4000000000001</v>
      </c>
      <c r="FA21" s="109">
        <v>12.1</v>
      </c>
      <c r="FB21" s="78"/>
      <c r="FC21" s="137"/>
      <c r="FD21" s="137"/>
      <c r="FE21" s="70">
        <v>482</v>
      </c>
      <c r="FF21" s="137"/>
      <c r="FG21" s="137"/>
      <c r="FH21" s="70">
        <v>330</v>
      </c>
      <c r="FI21" s="70">
        <v>215</v>
      </c>
      <c r="FJ21" s="137"/>
      <c r="FK21" s="70"/>
      <c r="FL21" s="90" t="s">
        <v>898</v>
      </c>
      <c r="FM21" s="90" t="s">
        <v>899</v>
      </c>
      <c r="FN21" s="90">
        <v>-603</v>
      </c>
    </row>
    <row r="22" spans="1:170" ht="15.6">
      <c r="A22" s="2">
        <v>42</v>
      </c>
      <c r="B22" s="52" t="s">
        <v>290</v>
      </c>
      <c r="D22" s="65">
        <v>87.29</v>
      </c>
      <c r="E22" s="63">
        <v>12.03</v>
      </c>
      <c r="F22" s="60">
        <v>0</v>
      </c>
      <c r="G22" s="60">
        <v>0</v>
      </c>
      <c r="H22" s="112"/>
      <c r="I22" s="112"/>
      <c r="J22" s="60">
        <v>25</v>
      </c>
      <c r="K22" s="112"/>
      <c r="L22" s="112"/>
      <c r="M22" s="93" t="s">
        <v>426</v>
      </c>
      <c r="N22" s="76" t="s">
        <v>570</v>
      </c>
      <c r="O22" s="76" t="s">
        <v>489</v>
      </c>
      <c r="Q22" s="101">
        <v>9.9499999999999993</v>
      </c>
      <c r="R22" s="102">
        <v>85.16</v>
      </c>
      <c r="S22" s="101">
        <v>62.99</v>
      </c>
      <c r="T22" s="113">
        <v>52.03</v>
      </c>
      <c r="V22" s="66">
        <v>95700</v>
      </c>
      <c r="X22" s="78">
        <v>6.5</v>
      </c>
      <c r="Y22" s="114">
        <v>2115.3000000000002</v>
      </c>
      <c r="Z22" s="71">
        <v>1190</v>
      </c>
      <c r="AA22" s="80">
        <v>19</v>
      </c>
      <c r="AB22" s="80">
        <v>54.7</v>
      </c>
      <c r="AC22" s="58">
        <v>23.9</v>
      </c>
      <c r="AD22" s="84">
        <v>70.290000000000006</v>
      </c>
      <c r="AE22" s="84">
        <v>64.28</v>
      </c>
      <c r="AF22" s="60">
        <v>76.33</v>
      </c>
      <c r="AG22" s="60">
        <v>35707</v>
      </c>
      <c r="AH22" s="60">
        <f t="shared" si="0"/>
        <v>35.707000000000001</v>
      </c>
      <c r="AI22" s="71">
        <v>678.01499999999999</v>
      </c>
      <c r="AJ22" s="115">
        <v>1.27664</v>
      </c>
      <c r="AK22" s="70">
        <v>701</v>
      </c>
      <c r="AL22" s="90">
        <v>6</v>
      </c>
      <c r="AM22" s="77">
        <v>4</v>
      </c>
      <c r="AO22" s="116">
        <v>56.1</v>
      </c>
      <c r="AP22" s="71">
        <v>39408</v>
      </c>
      <c r="AQ22" s="117" t="s">
        <v>2210</v>
      </c>
      <c r="AR22" s="100">
        <v>63.1</v>
      </c>
      <c r="AS22" s="81">
        <v>0.2</v>
      </c>
      <c r="AT22" s="118">
        <v>3.1</v>
      </c>
      <c r="AU22" s="106">
        <v>17.399999999999999</v>
      </c>
      <c r="AV22" s="71">
        <v>52.2</v>
      </c>
      <c r="AX22" s="119"/>
      <c r="AY22" s="112"/>
      <c r="AZ22" s="82" t="s">
        <v>900</v>
      </c>
      <c r="BA22" s="79" t="s">
        <v>901</v>
      </c>
      <c r="BB22" s="79" t="s">
        <v>902</v>
      </c>
      <c r="BD22" s="78">
        <v>108.8</v>
      </c>
      <c r="BE22" s="120">
        <v>103</v>
      </c>
      <c r="BF22" s="64" t="s">
        <v>903</v>
      </c>
      <c r="BG22" s="60">
        <v>110.4</v>
      </c>
      <c r="BH22" s="68">
        <v>67239</v>
      </c>
      <c r="BI22" s="121"/>
      <c r="BJ22" s="112"/>
      <c r="BK22" s="122">
        <v>9.8000000000000007</v>
      </c>
      <c r="BL22" s="123">
        <v>29138</v>
      </c>
      <c r="BM22" s="115" t="s">
        <v>904</v>
      </c>
      <c r="BN22" s="115" t="s">
        <v>905</v>
      </c>
      <c r="BP22" s="115">
        <v>0.90400000000000003</v>
      </c>
      <c r="BQ22" s="84">
        <v>0.317</v>
      </c>
      <c r="BR22" s="85" t="s">
        <v>906</v>
      </c>
      <c r="BS22" s="85" t="s">
        <v>907</v>
      </c>
      <c r="BT22" s="115">
        <v>27.4</v>
      </c>
      <c r="BU22" s="124">
        <v>31.4</v>
      </c>
      <c r="BV22" s="125">
        <v>1994</v>
      </c>
      <c r="BW22" s="80">
        <v>700</v>
      </c>
      <c r="BX22" s="80">
        <v>76</v>
      </c>
      <c r="BY22" s="78">
        <v>87.1</v>
      </c>
      <c r="BZ22" s="115">
        <v>76.099999999999994</v>
      </c>
      <c r="CA22" s="115">
        <v>67.069999999999993</v>
      </c>
      <c r="CB22" s="112"/>
      <c r="CC22" s="112"/>
      <c r="CE22" s="70">
        <v>320.3</v>
      </c>
      <c r="CF22" s="70">
        <v>17.600000000000001</v>
      </c>
      <c r="CG22" s="69">
        <v>182</v>
      </c>
      <c r="CH22" s="69">
        <v>182</v>
      </c>
      <c r="CI22" s="69">
        <v>7.4</v>
      </c>
      <c r="CJ22" s="126">
        <v>112.05</v>
      </c>
      <c r="CK22" s="60">
        <v>112.1</v>
      </c>
      <c r="CL22" s="127">
        <v>43.74</v>
      </c>
      <c r="CM22" s="127">
        <v>685.5</v>
      </c>
      <c r="CN22" s="107">
        <v>4.4000000000000004</v>
      </c>
      <c r="CO22" s="58">
        <v>780.5</v>
      </c>
      <c r="CQ22" s="108" t="s">
        <v>2283</v>
      </c>
      <c r="CR22" s="78" t="s">
        <v>908</v>
      </c>
      <c r="CS22" s="78">
        <v>894.8</v>
      </c>
      <c r="CT22" s="78">
        <v>86.2</v>
      </c>
      <c r="CU22" s="128" t="s">
        <v>909</v>
      </c>
      <c r="CV22" s="128">
        <v>98</v>
      </c>
      <c r="CW22" s="128" t="s">
        <v>910</v>
      </c>
      <c r="CX22" s="60" t="s">
        <v>911</v>
      </c>
      <c r="CY22" s="71">
        <v>26.1</v>
      </c>
      <c r="CZ22" s="60" t="s">
        <v>912</v>
      </c>
      <c r="DA22" s="129">
        <v>233241</v>
      </c>
      <c r="DB22" s="129">
        <v>186790</v>
      </c>
      <c r="DC22" s="70">
        <v>1794.9</v>
      </c>
      <c r="DD22" s="86" t="s">
        <v>913</v>
      </c>
      <c r="DE22" s="60" t="s">
        <v>914</v>
      </c>
      <c r="DF22" s="60" t="s">
        <v>915</v>
      </c>
      <c r="DG22" s="60" t="s">
        <v>916</v>
      </c>
      <c r="DI22" s="70">
        <v>183</v>
      </c>
      <c r="DJ22" s="70">
        <v>89</v>
      </c>
      <c r="DK22" s="130">
        <v>97.9</v>
      </c>
      <c r="DM22" s="80">
        <v>178</v>
      </c>
      <c r="DN22" s="80">
        <v>496</v>
      </c>
      <c r="DO22" s="70">
        <v>1876</v>
      </c>
      <c r="DP22" s="131">
        <v>95.7</v>
      </c>
      <c r="DQ22" s="132">
        <v>45.7</v>
      </c>
      <c r="DR22" s="60">
        <v>38.700000000000003</v>
      </c>
      <c r="DS22" s="78"/>
      <c r="DT22" s="90" t="s">
        <v>917</v>
      </c>
      <c r="DU22" s="60" t="s">
        <v>918</v>
      </c>
      <c r="DV22" s="70">
        <v>212</v>
      </c>
      <c r="DW22" s="70">
        <v>102</v>
      </c>
      <c r="DX22" s="78"/>
      <c r="DY22" s="70">
        <v>109.9</v>
      </c>
      <c r="DZ22" s="70">
        <v>105.4</v>
      </c>
      <c r="EA22" s="70">
        <v>109.4</v>
      </c>
      <c r="EB22" s="70">
        <v>106.9</v>
      </c>
      <c r="EC22" s="86" t="s">
        <v>906</v>
      </c>
      <c r="ED22" s="60" t="s">
        <v>907</v>
      </c>
      <c r="EE22" s="60">
        <v>106.6</v>
      </c>
      <c r="EF22" s="60">
        <v>86.2</v>
      </c>
      <c r="EG22" s="60">
        <v>96.7</v>
      </c>
      <c r="EH22" s="78"/>
      <c r="EI22" s="60">
        <v>48.5</v>
      </c>
      <c r="EJ22" s="89">
        <v>2718.9</v>
      </c>
      <c r="EK22" s="89">
        <v>481</v>
      </c>
      <c r="EL22" s="87">
        <v>4624</v>
      </c>
      <c r="EM22" s="133">
        <v>13.8</v>
      </c>
      <c r="EN22" s="142" t="s">
        <v>919</v>
      </c>
      <c r="EO22" s="78"/>
      <c r="EP22" s="133" t="s">
        <v>920</v>
      </c>
      <c r="EQ22" s="134">
        <v>17808</v>
      </c>
      <c r="ER22" s="60">
        <v>103026</v>
      </c>
      <c r="ES22" s="60">
        <v>415676</v>
      </c>
      <c r="ET22" s="110" t="s">
        <v>2284</v>
      </c>
      <c r="EU22" s="110" t="s">
        <v>2285</v>
      </c>
      <c r="EV22" s="78"/>
      <c r="EW22" s="135">
        <v>84.3</v>
      </c>
      <c r="EX22" s="136">
        <v>43.1</v>
      </c>
      <c r="EY22" s="137"/>
      <c r="EZ22" s="136">
        <v>1777.8</v>
      </c>
      <c r="FA22" s="109">
        <v>23.8</v>
      </c>
      <c r="FB22" s="78"/>
      <c r="FC22" s="137"/>
      <c r="FD22" s="137"/>
      <c r="FE22" s="143" t="s">
        <v>397</v>
      </c>
      <c r="FF22" s="137"/>
      <c r="FG22" s="137"/>
      <c r="FH22" s="143" t="s">
        <v>921</v>
      </c>
      <c r="FI22" s="143" t="s">
        <v>922</v>
      </c>
      <c r="FJ22" s="137"/>
      <c r="FK22" s="70"/>
      <c r="FL22" s="90" t="s">
        <v>923</v>
      </c>
      <c r="FM22" s="90" t="s">
        <v>924</v>
      </c>
      <c r="FN22" s="90" t="s">
        <v>925</v>
      </c>
    </row>
    <row r="23" spans="1:170" ht="15.6">
      <c r="A23" s="2">
        <v>43</v>
      </c>
      <c r="B23" s="52" t="s">
        <v>291</v>
      </c>
      <c r="D23" s="63">
        <v>70.89</v>
      </c>
      <c r="E23" s="63">
        <v>28.25</v>
      </c>
      <c r="F23" s="60">
        <v>0</v>
      </c>
      <c r="G23" s="60">
        <v>0</v>
      </c>
      <c r="H23" s="112"/>
      <c r="I23" s="112"/>
      <c r="J23" s="60">
        <v>32</v>
      </c>
      <c r="K23" s="112"/>
      <c r="L23" s="112"/>
      <c r="M23" s="93" t="s">
        <v>926</v>
      </c>
      <c r="N23" s="76" t="s">
        <v>531</v>
      </c>
      <c r="O23" s="76" t="s">
        <v>489</v>
      </c>
      <c r="Q23" s="101">
        <v>9.9499999999999993</v>
      </c>
      <c r="R23" s="102">
        <v>85.16</v>
      </c>
      <c r="S23" s="101">
        <v>62.99</v>
      </c>
      <c r="T23" s="113">
        <v>52.38</v>
      </c>
      <c r="V23" s="66">
        <v>120400</v>
      </c>
      <c r="X23" s="114">
        <v>6.2</v>
      </c>
      <c r="Y23" s="114">
        <v>2115.3000000000002</v>
      </c>
      <c r="Z23" s="71">
        <v>1193</v>
      </c>
      <c r="AA23" s="80">
        <v>17.100000000000001</v>
      </c>
      <c r="AB23" s="80">
        <v>51.2</v>
      </c>
      <c r="AC23" s="58">
        <v>28.6</v>
      </c>
      <c r="AD23" s="84">
        <v>71.989999999999995</v>
      </c>
      <c r="AE23" s="84">
        <v>65.55</v>
      </c>
      <c r="AF23" s="60">
        <v>78.67</v>
      </c>
      <c r="AG23" s="60">
        <v>17063</v>
      </c>
      <c r="AH23" s="60">
        <f t="shared" si="0"/>
        <v>17.062999999999999</v>
      </c>
      <c r="AI23" s="71">
        <v>488.87</v>
      </c>
      <c r="AJ23" s="115">
        <v>1.5149999999999999</v>
      </c>
      <c r="AK23" s="70">
        <v>747</v>
      </c>
      <c r="AL23" s="90">
        <v>33</v>
      </c>
      <c r="AM23" s="77">
        <v>208</v>
      </c>
      <c r="AO23" s="116">
        <v>58.6</v>
      </c>
      <c r="AP23" s="71">
        <v>38277</v>
      </c>
      <c r="AQ23" s="117" t="s">
        <v>2246</v>
      </c>
      <c r="AR23" s="100">
        <v>77.8</v>
      </c>
      <c r="AS23" s="81">
        <v>0.2</v>
      </c>
      <c r="AT23" s="118">
        <v>3.3</v>
      </c>
      <c r="AU23" s="106">
        <v>13.3</v>
      </c>
      <c r="AV23" s="71">
        <v>40</v>
      </c>
      <c r="AX23" s="119"/>
      <c r="AY23" s="112"/>
      <c r="AZ23" s="82" t="s">
        <v>927</v>
      </c>
      <c r="BA23" s="79" t="s">
        <v>928</v>
      </c>
      <c r="BB23" s="79" t="s">
        <v>929</v>
      </c>
      <c r="BD23" s="78">
        <v>101.4</v>
      </c>
      <c r="BE23" s="120">
        <v>102.5</v>
      </c>
      <c r="BF23" s="64" t="s">
        <v>930</v>
      </c>
      <c r="BG23" s="60">
        <v>111.1</v>
      </c>
      <c r="BH23" s="68">
        <v>48258</v>
      </c>
      <c r="BI23" s="121"/>
      <c r="BJ23" s="112"/>
      <c r="BK23" s="122">
        <v>10.4</v>
      </c>
      <c r="BL23" s="123">
        <v>30119</v>
      </c>
      <c r="BM23" s="115" t="s">
        <v>931</v>
      </c>
      <c r="BN23" s="115" t="s">
        <v>932</v>
      </c>
      <c r="BP23" s="115">
        <v>0.59599999999999997</v>
      </c>
      <c r="BQ23" s="84">
        <v>0.22800000000000001</v>
      </c>
      <c r="BR23" s="85" t="s">
        <v>933</v>
      </c>
      <c r="BS23" s="85" t="s">
        <v>934</v>
      </c>
      <c r="BT23" s="115">
        <v>31.8</v>
      </c>
      <c r="BU23" s="124">
        <v>34.700000000000003</v>
      </c>
      <c r="BV23" s="125">
        <v>1341</v>
      </c>
      <c r="BW23" s="80">
        <v>280</v>
      </c>
      <c r="BX23" s="80">
        <v>60</v>
      </c>
      <c r="BY23" s="78">
        <v>85.3</v>
      </c>
      <c r="BZ23" s="115">
        <v>72.75</v>
      </c>
      <c r="CA23" s="115">
        <v>53.97</v>
      </c>
      <c r="CB23" s="112"/>
      <c r="CC23" s="112"/>
      <c r="CE23" s="70">
        <v>147.9</v>
      </c>
      <c r="CF23" s="70">
        <v>8.9</v>
      </c>
      <c r="CG23" s="69">
        <v>222</v>
      </c>
      <c r="CH23" s="69">
        <v>204</v>
      </c>
      <c r="CI23" s="69">
        <v>4.5</v>
      </c>
      <c r="CJ23" s="126">
        <v>102.37</v>
      </c>
      <c r="CK23" s="60">
        <v>102.4</v>
      </c>
      <c r="CL23" s="127">
        <v>54.23</v>
      </c>
      <c r="CM23" s="127">
        <v>612.5</v>
      </c>
      <c r="CN23" s="107">
        <v>3.8</v>
      </c>
      <c r="CO23" s="58">
        <v>869.2</v>
      </c>
      <c r="CQ23" s="108" t="s">
        <v>2286</v>
      </c>
      <c r="CR23" s="78">
        <v>1.6</v>
      </c>
      <c r="CS23" s="78">
        <v>410</v>
      </c>
      <c r="CT23" s="78">
        <v>97.5</v>
      </c>
      <c r="CU23" s="128" t="s">
        <v>935</v>
      </c>
      <c r="CV23" s="128">
        <v>106.5</v>
      </c>
      <c r="CW23" s="128" t="s">
        <v>936</v>
      </c>
      <c r="CX23" s="60" t="s">
        <v>937</v>
      </c>
      <c r="CY23" s="60">
        <v>20.8</v>
      </c>
      <c r="CZ23" s="112" t="s">
        <v>361</v>
      </c>
      <c r="DA23" s="129">
        <v>249438</v>
      </c>
      <c r="DB23" s="129">
        <v>82607</v>
      </c>
      <c r="DC23" s="70">
        <v>1216.4000000000001</v>
      </c>
      <c r="DD23" s="86" t="s">
        <v>938</v>
      </c>
      <c r="DE23" s="60" t="s">
        <v>939</v>
      </c>
      <c r="DF23" s="60" t="s">
        <v>940</v>
      </c>
      <c r="DG23" s="60" t="s">
        <v>941</v>
      </c>
      <c r="DI23" s="70">
        <v>116</v>
      </c>
      <c r="DJ23" s="70">
        <v>90</v>
      </c>
      <c r="DK23" s="130">
        <v>139.4</v>
      </c>
      <c r="DM23" s="80">
        <v>236</v>
      </c>
      <c r="DN23" s="80">
        <v>558</v>
      </c>
      <c r="DO23" s="70">
        <v>1840</v>
      </c>
      <c r="DP23" s="131">
        <v>98.7</v>
      </c>
      <c r="DQ23" s="132">
        <v>41.6</v>
      </c>
      <c r="DR23" s="60">
        <v>22.5</v>
      </c>
      <c r="DS23" s="78"/>
      <c r="DT23" s="90">
        <v>89</v>
      </c>
      <c r="DU23" s="60">
        <v>151</v>
      </c>
      <c r="DV23" s="70">
        <v>81</v>
      </c>
      <c r="DW23" s="70">
        <v>91.8</v>
      </c>
      <c r="DX23" s="78"/>
      <c r="DY23" s="70">
        <v>110.1</v>
      </c>
      <c r="DZ23" s="70">
        <v>106.8</v>
      </c>
      <c r="EA23" s="70">
        <v>106.9</v>
      </c>
      <c r="EB23" s="70">
        <v>105</v>
      </c>
      <c r="EC23" s="86" t="s">
        <v>933</v>
      </c>
      <c r="ED23" s="60" t="s">
        <v>934</v>
      </c>
      <c r="EE23" s="60">
        <v>101.6</v>
      </c>
      <c r="EF23" s="60">
        <v>97.5</v>
      </c>
      <c r="EG23" s="60">
        <v>94.4</v>
      </c>
      <c r="EH23" s="78"/>
      <c r="EI23" s="60">
        <v>36.9</v>
      </c>
      <c r="EJ23" s="89">
        <v>4607.8999999999996</v>
      </c>
      <c r="EK23" s="89">
        <v>193</v>
      </c>
      <c r="EL23" s="87">
        <v>4333</v>
      </c>
      <c r="EM23" s="133">
        <v>22.6</v>
      </c>
      <c r="EN23" s="142" t="s">
        <v>942</v>
      </c>
      <c r="EO23" s="78"/>
      <c r="EP23" s="133" t="s">
        <v>943</v>
      </c>
      <c r="EQ23" s="134">
        <v>5467</v>
      </c>
      <c r="ER23" s="60">
        <v>49254</v>
      </c>
      <c r="ES23" s="60">
        <v>178819</v>
      </c>
      <c r="ET23" s="110" t="s">
        <v>2287</v>
      </c>
      <c r="EU23" s="110" t="s">
        <v>2288</v>
      </c>
      <c r="EV23" s="78"/>
      <c r="EW23" s="135">
        <v>75</v>
      </c>
      <c r="EX23" s="136">
        <v>36.4</v>
      </c>
      <c r="EY23" s="137"/>
      <c r="EZ23" s="136">
        <v>2091.3000000000002</v>
      </c>
      <c r="FA23" s="109">
        <v>23.8</v>
      </c>
      <c r="FB23" s="78"/>
      <c r="FC23" s="137"/>
      <c r="FD23" s="137"/>
      <c r="FE23" s="70">
        <v>863</v>
      </c>
      <c r="FF23" s="137"/>
      <c r="FG23" s="137"/>
      <c r="FH23" s="70">
        <v>832</v>
      </c>
      <c r="FI23" s="70">
        <v>3193</v>
      </c>
      <c r="FJ23" s="137"/>
      <c r="FK23" s="70"/>
      <c r="FL23" s="90" t="s">
        <v>944</v>
      </c>
      <c r="FM23" s="90" t="s">
        <v>945</v>
      </c>
      <c r="FN23" s="90">
        <v>477</v>
      </c>
    </row>
    <row r="24" spans="1:170" ht="15.6">
      <c r="A24" s="2">
        <v>44</v>
      </c>
      <c r="B24" s="52" t="s">
        <v>292</v>
      </c>
      <c r="D24" s="63">
        <v>67.92</v>
      </c>
      <c r="E24" s="63">
        <v>31.19</v>
      </c>
      <c r="F24" s="60">
        <v>0</v>
      </c>
      <c r="G24" s="60">
        <v>0</v>
      </c>
      <c r="H24" s="112"/>
      <c r="I24" s="112"/>
      <c r="J24" s="60">
        <v>67</v>
      </c>
      <c r="K24" s="112"/>
      <c r="L24" s="112"/>
      <c r="M24" s="93" t="s">
        <v>428</v>
      </c>
      <c r="N24" s="76" t="s">
        <v>946</v>
      </c>
      <c r="O24" s="76" t="s">
        <v>489</v>
      </c>
      <c r="Q24" s="101">
        <v>9.9499999999999993</v>
      </c>
      <c r="R24" s="102">
        <v>85.16</v>
      </c>
      <c r="S24" s="101">
        <v>62.99</v>
      </c>
      <c r="T24" s="113">
        <v>52.67</v>
      </c>
      <c r="V24" s="66">
        <v>60200</v>
      </c>
      <c r="X24" s="114">
        <v>6.3</v>
      </c>
      <c r="Y24" s="114">
        <v>2115.3000000000002</v>
      </c>
      <c r="Z24" s="71">
        <v>1204</v>
      </c>
      <c r="AA24" s="80">
        <v>18.5</v>
      </c>
      <c r="AB24" s="80">
        <v>50.8</v>
      </c>
      <c r="AC24" s="58">
        <v>27.8</v>
      </c>
      <c r="AD24" s="88">
        <v>71.05</v>
      </c>
      <c r="AE24" s="84">
        <v>64.83</v>
      </c>
      <c r="AF24" s="60">
        <v>77.41</v>
      </c>
      <c r="AG24" s="60">
        <v>8798</v>
      </c>
      <c r="AH24" s="60">
        <f t="shared" si="0"/>
        <v>8.798</v>
      </c>
      <c r="AI24" s="71">
        <v>514.32999999999993</v>
      </c>
      <c r="AJ24" s="70">
        <v>1.552</v>
      </c>
      <c r="AK24" s="70">
        <v>753</v>
      </c>
      <c r="AL24" s="90">
        <v>8</v>
      </c>
      <c r="AM24" s="77">
        <v>77</v>
      </c>
      <c r="AO24" s="116">
        <v>57</v>
      </c>
      <c r="AP24" s="71">
        <v>43668</v>
      </c>
      <c r="AQ24" s="117" t="s">
        <v>2242</v>
      </c>
      <c r="AR24" s="100">
        <v>73.5</v>
      </c>
      <c r="AS24" s="81">
        <v>0.1</v>
      </c>
      <c r="AT24" s="118">
        <v>3.6</v>
      </c>
      <c r="AU24" s="106">
        <v>18.8</v>
      </c>
      <c r="AV24" s="71">
        <v>45.2</v>
      </c>
      <c r="AX24" s="119"/>
      <c r="AY24" s="112"/>
      <c r="AZ24" s="82" t="s">
        <v>947</v>
      </c>
      <c r="BA24" s="79" t="s">
        <v>948</v>
      </c>
      <c r="BB24" s="79" t="s">
        <v>949</v>
      </c>
      <c r="BD24" s="78">
        <v>107.8</v>
      </c>
      <c r="BE24" s="120">
        <v>100.8</v>
      </c>
      <c r="BF24" s="64" t="s">
        <v>950</v>
      </c>
      <c r="BG24" s="60">
        <v>108</v>
      </c>
      <c r="BH24" s="68">
        <v>46730</v>
      </c>
      <c r="BI24" s="121"/>
      <c r="BJ24" s="112"/>
      <c r="BK24" s="122">
        <v>8.6999999999999993</v>
      </c>
      <c r="BL24" s="123">
        <v>33526</v>
      </c>
      <c r="BM24" s="115" t="s">
        <v>951</v>
      </c>
      <c r="BN24" s="115" t="s">
        <v>952</v>
      </c>
      <c r="BP24" s="115">
        <v>0.36</v>
      </c>
      <c r="BQ24" s="84">
        <v>0.14099999999999999</v>
      </c>
      <c r="BR24" s="85" t="s">
        <v>953</v>
      </c>
      <c r="BS24" s="85" t="s">
        <v>954</v>
      </c>
      <c r="BT24" s="115">
        <v>33.799999999999997</v>
      </c>
      <c r="BU24" s="124">
        <v>35.200000000000003</v>
      </c>
      <c r="BV24" s="125">
        <v>1481</v>
      </c>
      <c r="BW24" s="80">
        <v>332</v>
      </c>
      <c r="BX24" s="80">
        <v>29</v>
      </c>
      <c r="BY24" s="78">
        <v>79.7</v>
      </c>
      <c r="BZ24" s="115">
        <v>72.56</v>
      </c>
      <c r="CA24" s="115">
        <v>56.59</v>
      </c>
      <c r="CB24" s="112"/>
      <c r="CC24" s="112"/>
      <c r="CE24" s="70">
        <v>75.5</v>
      </c>
      <c r="CF24" s="70">
        <v>4.7</v>
      </c>
      <c r="CG24" s="69">
        <v>168</v>
      </c>
      <c r="CH24" s="69">
        <v>168</v>
      </c>
      <c r="CI24" s="69">
        <v>1.8</v>
      </c>
      <c r="CJ24" s="126">
        <v>99.76</v>
      </c>
      <c r="CK24" s="60">
        <v>99.8</v>
      </c>
      <c r="CL24" s="127">
        <v>40</v>
      </c>
      <c r="CM24" s="127">
        <v>624.9</v>
      </c>
      <c r="CN24" s="107">
        <v>6.3</v>
      </c>
      <c r="CO24" s="58">
        <v>821</v>
      </c>
      <c r="CQ24" s="108" t="s">
        <v>2289</v>
      </c>
      <c r="CR24" s="78">
        <v>1</v>
      </c>
      <c r="CS24" s="78">
        <v>237.6</v>
      </c>
      <c r="CT24" s="78">
        <v>105.6</v>
      </c>
      <c r="CU24" s="128" t="s">
        <v>955</v>
      </c>
      <c r="CV24" s="128">
        <v>114.4</v>
      </c>
      <c r="CW24" s="128" t="s">
        <v>956</v>
      </c>
      <c r="CX24" s="60" t="s">
        <v>957</v>
      </c>
      <c r="CY24" s="60">
        <v>24.9</v>
      </c>
      <c r="CZ24" s="60" t="s">
        <v>958</v>
      </c>
      <c r="DA24" s="129">
        <v>294696</v>
      </c>
      <c r="DB24" s="129">
        <v>36242</v>
      </c>
      <c r="DC24" s="70">
        <v>599.6</v>
      </c>
      <c r="DD24" s="86" t="s">
        <v>959</v>
      </c>
      <c r="DE24" s="60" t="s">
        <v>960</v>
      </c>
      <c r="DF24" s="60" t="s">
        <v>961</v>
      </c>
      <c r="DG24" s="60" t="s">
        <v>962</v>
      </c>
      <c r="DI24" s="70">
        <v>139</v>
      </c>
      <c r="DJ24" s="70">
        <v>150</v>
      </c>
      <c r="DK24" s="130">
        <v>140.4</v>
      </c>
      <c r="DM24" s="80">
        <v>257</v>
      </c>
      <c r="DN24" s="80" t="s">
        <v>963</v>
      </c>
      <c r="DO24" s="70">
        <v>228</v>
      </c>
      <c r="DP24" s="131">
        <v>98.8</v>
      </c>
      <c r="DQ24" s="132">
        <v>24.8</v>
      </c>
      <c r="DR24" s="60">
        <v>10.5</v>
      </c>
      <c r="DS24" s="78"/>
      <c r="DT24" s="90">
        <v>44</v>
      </c>
      <c r="DU24" s="60" t="s">
        <v>478</v>
      </c>
      <c r="DV24" s="70">
        <v>33</v>
      </c>
      <c r="DW24" s="70">
        <v>110.3</v>
      </c>
      <c r="DX24" s="78"/>
      <c r="DY24" s="70">
        <v>108.6</v>
      </c>
      <c r="DZ24" s="70">
        <v>107.4</v>
      </c>
      <c r="EA24" s="70">
        <v>107.8</v>
      </c>
      <c r="EB24" s="70">
        <v>104.1</v>
      </c>
      <c r="EC24" s="86" t="s">
        <v>953</v>
      </c>
      <c r="ED24" s="60" t="s">
        <v>954</v>
      </c>
      <c r="EE24" s="60">
        <v>144.69999999999999</v>
      </c>
      <c r="EF24" s="60">
        <v>105</v>
      </c>
      <c r="EG24" s="60">
        <v>94.6</v>
      </c>
      <c r="EH24" s="78"/>
      <c r="EI24" s="60">
        <v>25</v>
      </c>
      <c r="EJ24" s="89">
        <v>95.3</v>
      </c>
      <c r="EK24" s="89">
        <v>17</v>
      </c>
      <c r="EL24" s="141">
        <v>1844</v>
      </c>
      <c r="EM24" s="133">
        <v>11.6</v>
      </c>
      <c r="EN24" s="142" t="s">
        <v>964</v>
      </c>
      <c r="EO24" s="78"/>
      <c r="EP24" s="133" t="s">
        <v>965</v>
      </c>
      <c r="EQ24" s="134">
        <v>4099</v>
      </c>
      <c r="ER24" s="60">
        <v>23005</v>
      </c>
      <c r="ES24" s="60">
        <v>80580</v>
      </c>
      <c r="ET24" s="110" t="s">
        <v>2290</v>
      </c>
      <c r="EU24" s="110" t="s">
        <v>1572</v>
      </c>
      <c r="EV24" s="78"/>
      <c r="EW24" s="135">
        <v>77.400000000000006</v>
      </c>
      <c r="EX24" s="136">
        <v>36.200000000000003</v>
      </c>
      <c r="EY24" s="137"/>
      <c r="EZ24" s="136">
        <v>1915.5</v>
      </c>
      <c r="FA24" s="109">
        <v>34</v>
      </c>
      <c r="FB24" s="78"/>
      <c r="FC24" s="137"/>
      <c r="FD24" s="137"/>
      <c r="FE24" s="70">
        <v>310</v>
      </c>
      <c r="FF24" s="137"/>
      <c r="FG24" s="137"/>
      <c r="FH24" s="70">
        <v>277</v>
      </c>
      <c r="FI24" s="70">
        <v>1186</v>
      </c>
      <c r="FJ24" s="137"/>
      <c r="FK24" s="70"/>
      <c r="FL24" s="90" t="s">
        <v>966</v>
      </c>
      <c r="FM24" s="90" t="s">
        <v>967</v>
      </c>
      <c r="FN24" s="90" t="s">
        <v>968</v>
      </c>
    </row>
    <row r="25" spans="1:170" ht="15.6">
      <c r="A25" s="2">
        <v>23</v>
      </c>
      <c r="B25" s="52" t="s">
        <v>293</v>
      </c>
      <c r="D25" s="63">
        <v>88.92</v>
      </c>
      <c r="E25" s="63">
        <v>10.57</v>
      </c>
      <c r="F25" s="60">
        <v>0</v>
      </c>
      <c r="G25" s="60">
        <v>0</v>
      </c>
      <c r="H25" s="112"/>
      <c r="I25" s="112"/>
      <c r="J25" s="60">
        <v>2</v>
      </c>
      <c r="K25" s="112"/>
      <c r="L25" s="112"/>
      <c r="M25" s="93" t="s">
        <v>429</v>
      </c>
      <c r="N25" s="76" t="s">
        <v>511</v>
      </c>
      <c r="O25" s="76" t="s">
        <v>592</v>
      </c>
      <c r="Q25" s="101">
        <v>9.9499999999999993</v>
      </c>
      <c r="R25" s="102">
        <v>85.16</v>
      </c>
      <c r="S25" s="101">
        <v>62.99</v>
      </c>
      <c r="T25" s="113">
        <v>54.84</v>
      </c>
      <c r="V25" s="66">
        <v>75500</v>
      </c>
      <c r="X25" s="114">
        <v>7.9</v>
      </c>
      <c r="Y25" s="114">
        <v>2115.3000000000002</v>
      </c>
      <c r="Z25" s="71">
        <v>1124</v>
      </c>
      <c r="AA25" s="80">
        <v>19</v>
      </c>
      <c r="AB25" s="80">
        <v>54.7</v>
      </c>
      <c r="AC25" s="58">
        <v>23.7</v>
      </c>
      <c r="AD25" s="84">
        <v>73.709999999999994</v>
      </c>
      <c r="AE25" s="84">
        <v>68.760000000000005</v>
      </c>
      <c r="AF25" s="60">
        <v>78.8</v>
      </c>
      <c r="AG25" s="60">
        <v>71884</v>
      </c>
      <c r="AH25" s="60">
        <f t="shared" si="0"/>
        <v>71.884</v>
      </c>
      <c r="AI25" s="71">
        <v>468.82499999999999</v>
      </c>
      <c r="AJ25" s="70">
        <v>1.532</v>
      </c>
      <c r="AK25" s="70">
        <v>668</v>
      </c>
      <c r="AL25" s="90">
        <v>30</v>
      </c>
      <c r="AM25" s="77">
        <v>351</v>
      </c>
      <c r="AO25" s="116">
        <v>59.9</v>
      </c>
      <c r="AP25" s="71">
        <v>54627</v>
      </c>
      <c r="AQ25" s="117" t="s">
        <v>2234</v>
      </c>
      <c r="AR25" s="100">
        <v>59.2</v>
      </c>
      <c r="AS25" s="81">
        <v>0.1</v>
      </c>
      <c r="AT25" s="118">
        <v>1.8</v>
      </c>
      <c r="AU25" s="106">
        <v>23.1</v>
      </c>
      <c r="AV25" s="71">
        <v>45.1</v>
      </c>
      <c r="AX25" s="119"/>
      <c r="AY25" s="112"/>
      <c r="AZ25" s="82" t="s">
        <v>969</v>
      </c>
      <c r="BA25" s="79" t="s">
        <v>970</v>
      </c>
      <c r="BB25" s="79" t="s">
        <v>971</v>
      </c>
      <c r="BD25" s="78">
        <v>105.5</v>
      </c>
      <c r="BE25" s="120">
        <v>102.8</v>
      </c>
      <c r="BF25" s="64" t="s">
        <v>972</v>
      </c>
      <c r="BG25" s="60">
        <v>109</v>
      </c>
      <c r="BH25" s="68">
        <v>58256</v>
      </c>
      <c r="BI25" s="121"/>
      <c r="BJ25" s="112"/>
      <c r="BK25" s="122">
        <v>8.6999999999999993</v>
      </c>
      <c r="BL25" s="123">
        <v>54117</v>
      </c>
      <c r="BM25" s="115" t="s">
        <v>973</v>
      </c>
      <c r="BN25" s="115" t="s">
        <v>974</v>
      </c>
      <c r="BP25" s="115">
        <v>7.64</v>
      </c>
      <c r="BQ25" s="84">
        <v>3.3969999999999998</v>
      </c>
      <c r="BR25" s="85" t="s">
        <v>975</v>
      </c>
      <c r="BS25" s="85" t="s">
        <v>976</v>
      </c>
      <c r="BT25" s="115">
        <v>31</v>
      </c>
      <c r="BU25" s="124">
        <v>29.8</v>
      </c>
      <c r="BV25" s="125">
        <v>1505</v>
      </c>
      <c r="BW25" s="80" t="s">
        <v>977</v>
      </c>
      <c r="BX25" s="80">
        <v>13</v>
      </c>
      <c r="BY25" s="78">
        <v>85.8</v>
      </c>
      <c r="BZ25" s="115">
        <v>82.47</v>
      </c>
      <c r="CA25" s="115">
        <v>70.849999999999994</v>
      </c>
      <c r="CB25" s="112"/>
      <c r="CC25" s="112"/>
      <c r="CE25" s="70">
        <v>783.6</v>
      </c>
      <c r="CF25" s="70">
        <v>37.299999999999997</v>
      </c>
      <c r="CG25" s="69">
        <v>177</v>
      </c>
      <c r="CH25" s="69">
        <v>159</v>
      </c>
      <c r="CI25" s="69">
        <v>18.899999999999999</v>
      </c>
      <c r="CJ25" s="126">
        <v>137.63</v>
      </c>
      <c r="CK25" s="60">
        <v>137.6</v>
      </c>
      <c r="CL25" s="127">
        <v>45.6</v>
      </c>
      <c r="CM25" s="127">
        <v>470.7</v>
      </c>
      <c r="CN25" s="107">
        <v>3.9</v>
      </c>
      <c r="CO25" s="58">
        <v>683.7</v>
      </c>
      <c r="CQ25" s="108" t="s">
        <v>2291</v>
      </c>
      <c r="CR25" s="78">
        <v>48.3</v>
      </c>
      <c r="CS25" s="78" t="s">
        <v>978</v>
      </c>
      <c r="CT25" s="78">
        <v>95.7</v>
      </c>
      <c r="CU25" s="128" t="s">
        <v>979</v>
      </c>
      <c r="CV25" s="128">
        <v>102.4</v>
      </c>
      <c r="CW25" s="128" t="s">
        <v>980</v>
      </c>
      <c r="CX25" s="60" t="s">
        <v>981</v>
      </c>
      <c r="CY25" s="60">
        <v>28.1</v>
      </c>
      <c r="CZ25" s="60" t="s">
        <v>982</v>
      </c>
      <c r="DA25" s="129">
        <v>435540</v>
      </c>
      <c r="DB25" s="129">
        <v>923593</v>
      </c>
      <c r="DC25" s="70">
        <v>3558.6</v>
      </c>
      <c r="DD25" s="86" t="s">
        <v>983</v>
      </c>
      <c r="DE25" s="60" t="s">
        <v>984</v>
      </c>
      <c r="DF25" s="60" t="s">
        <v>985</v>
      </c>
      <c r="DG25" s="60" t="s">
        <v>986</v>
      </c>
      <c r="DI25" s="70">
        <v>481</v>
      </c>
      <c r="DJ25" s="70">
        <v>93</v>
      </c>
      <c r="DK25" s="130">
        <v>105.6</v>
      </c>
      <c r="DM25" s="80">
        <v>103</v>
      </c>
      <c r="DN25" s="80">
        <v>368</v>
      </c>
      <c r="DO25" s="70">
        <v>8708</v>
      </c>
      <c r="DP25" s="131">
        <v>97.4</v>
      </c>
      <c r="DQ25" s="132">
        <v>290.89999999999998</v>
      </c>
      <c r="DR25" s="60">
        <v>100.4</v>
      </c>
      <c r="DS25" s="78"/>
      <c r="DT25" s="90">
        <v>361</v>
      </c>
      <c r="DU25" s="60">
        <v>692</v>
      </c>
      <c r="DV25" s="70">
        <v>34</v>
      </c>
      <c r="DW25" s="70">
        <v>79.900000000000006</v>
      </c>
      <c r="DX25" s="78"/>
      <c r="DY25" s="70">
        <v>110.8</v>
      </c>
      <c r="DZ25" s="70">
        <v>105.6</v>
      </c>
      <c r="EA25" s="70">
        <v>108.3</v>
      </c>
      <c r="EB25" s="70">
        <v>106.1</v>
      </c>
      <c r="EC25" s="86" t="s">
        <v>975</v>
      </c>
      <c r="ED25" s="60" t="s">
        <v>976</v>
      </c>
      <c r="EE25" s="60">
        <v>111.1</v>
      </c>
      <c r="EF25" s="60">
        <v>95.7</v>
      </c>
      <c r="EG25" s="60">
        <v>100.6</v>
      </c>
      <c r="EH25" s="78"/>
      <c r="EI25" s="60">
        <v>39.6</v>
      </c>
      <c r="EJ25" s="89">
        <v>9058.4</v>
      </c>
      <c r="EK25" s="89">
        <v>1446</v>
      </c>
      <c r="EL25" s="87">
        <v>5294</v>
      </c>
      <c r="EM25" s="133">
        <v>10.1</v>
      </c>
      <c r="EN25" s="133" t="s">
        <v>987</v>
      </c>
      <c r="EO25" s="78"/>
      <c r="EP25" s="133" t="s">
        <v>988</v>
      </c>
      <c r="EQ25" s="134">
        <v>150394</v>
      </c>
      <c r="ER25" s="60">
        <v>353626</v>
      </c>
      <c r="ES25" s="60">
        <v>1021580</v>
      </c>
      <c r="ET25" s="110" t="s">
        <v>2292</v>
      </c>
      <c r="EU25" s="110" t="s">
        <v>2293</v>
      </c>
      <c r="EV25" s="78"/>
      <c r="EW25" s="135">
        <v>86.8</v>
      </c>
      <c r="EX25" s="136">
        <v>35.5</v>
      </c>
      <c r="EY25" s="137"/>
      <c r="EZ25" s="136">
        <v>2424.1999999999998</v>
      </c>
      <c r="FA25" s="109">
        <v>24.8</v>
      </c>
      <c r="FB25" s="78"/>
      <c r="FC25" s="137"/>
      <c r="FD25" s="137"/>
      <c r="FE25" s="70">
        <v>3896</v>
      </c>
      <c r="FF25" s="137"/>
      <c r="FG25" s="137"/>
      <c r="FH25" s="70">
        <v>3931</v>
      </c>
      <c r="FI25" s="70">
        <v>4947</v>
      </c>
      <c r="FJ25" s="137"/>
      <c r="FK25" s="70"/>
      <c r="FL25" s="90" t="s">
        <v>989</v>
      </c>
      <c r="FM25" s="90" t="s">
        <v>990</v>
      </c>
      <c r="FN25" s="90" t="s">
        <v>991</v>
      </c>
    </row>
    <row r="26" spans="1:170" ht="15.6">
      <c r="A26" s="2">
        <v>24</v>
      </c>
      <c r="B26" s="52" t="s">
        <v>294</v>
      </c>
      <c r="D26" s="63">
        <v>70.099999999999994</v>
      </c>
      <c r="E26" s="63">
        <v>28.96</v>
      </c>
      <c r="F26" s="60">
        <v>0</v>
      </c>
      <c r="G26" s="60">
        <v>0</v>
      </c>
      <c r="H26" s="112"/>
      <c r="I26" s="112"/>
      <c r="J26" s="60">
        <v>16</v>
      </c>
      <c r="K26" s="112"/>
      <c r="L26" s="112"/>
      <c r="M26" s="93" t="s">
        <v>424</v>
      </c>
      <c r="N26" s="76" t="s">
        <v>592</v>
      </c>
      <c r="O26" s="76" t="s">
        <v>489</v>
      </c>
      <c r="Q26" s="101">
        <v>9.9499999999999993</v>
      </c>
      <c r="R26" s="102">
        <v>85.16</v>
      </c>
      <c r="S26" s="101">
        <v>62.99</v>
      </c>
      <c r="T26" s="113">
        <v>53.06</v>
      </c>
      <c r="V26" s="66">
        <v>2366800</v>
      </c>
      <c r="X26" s="114">
        <v>7.3</v>
      </c>
      <c r="Y26" s="114">
        <v>2115.3000000000002</v>
      </c>
      <c r="Z26" s="71">
        <v>1156</v>
      </c>
      <c r="AA26" s="80">
        <v>20</v>
      </c>
      <c r="AB26" s="80">
        <v>56.1</v>
      </c>
      <c r="AC26" s="58">
        <v>21.5</v>
      </c>
      <c r="AD26" s="84">
        <v>71.319999999999993</v>
      </c>
      <c r="AE26" s="84">
        <v>65.39</v>
      </c>
      <c r="AF26" s="60">
        <v>77.3</v>
      </c>
      <c r="AG26" s="60">
        <v>34702</v>
      </c>
      <c r="AH26" s="60">
        <f t="shared" si="0"/>
        <v>34.701999999999998</v>
      </c>
      <c r="AI26" s="71">
        <v>519.93499999999995</v>
      </c>
      <c r="AJ26" s="115">
        <v>1.44834</v>
      </c>
      <c r="AK26" s="70">
        <v>730</v>
      </c>
      <c r="AL26" s="90">
        <v>26</v>
      </c>
      <c r="AM26" s="77">
        <v>457</v>
      </c>
      <c r="AO26" s="116">
        <v>60.2</v>
      </c>
      <c r="AP26" s="71">
        <v>50380</v>
      </c>
      <c r="AQ26" s="117" t="s">
        <v>2234</v>
      </c>
      <c r="AR26" s="100">
        <v>64.900000000000006</v>
      </c>
      <c r="AS26" s="81">
        <v>0.2</v>
      </c>
      <c r="AT26" s="118">
        <v>2.1</v>
      </c>
      <c r="AU26" s="106">
        <v>19</v>
      </c>
      <c r="AV26" s="71">
        <v>35.5</v>
      </c>
      <c r="AX26" s="119"/>
      <c r="AY26" s="112"/>
      <c r="AZ26" s="82" t="s">
        <v>992</v>
      </c>
      <c r="BA26" s="79" t="s">
        <v>993</v>
      </c>
      <c r="BB26" s="79" t="s">
        <v>994</v>
      </c>
      <c r="BD26" s="78">
        <v>110</v>
      </c>
      <c r="BE26" s="120">
        <v>102.8</v>
      </c>
      <c r="BF26" s="64" t="s">
        <v>995</v>
      </c>
      <c r="BG26" s="60">
        <v>106.7</v>
      </c>
      <c r="BH26" s="68">
        <v>81056</v>
      </c>
      <c r="BI26" s="121"/>
      <c r="BJ26" s="112"/>
      <c r="BK26" s="122">
        <v>12.7</v>
      </c>
      <c r="BL26" s="123">
        <v>36883</v>
      </c>
      <c r="BM26" s="115" t="s">
        <v>996</v>
      </c>
      <c r="BN26" s="115" t="s">
        <v>997</v>
      </c>
      <c r="BP26" s="115">
        <v>1.631</v>
      </c>
      <c r="BQ26" s="84">
        <v>0.93100000000000005</v>
      </c>
      <c r="BR26" s="85" t="s">
        <v>998</v>
      </c>
      <c r="BS26" s="85" t="s">
        <v>999</v>
      </c>
      <c r="BT26" s="115">
        <v>27.3</v>
      </c>
      <c r="BU26" s="124">
        <v>41</v>
      </c>
      <c r="BV26" s="125">
        <v>2139</v>
      </c>
      <c r="BW26" s="80">
        <v>725</v>
      </c>
      <c r="BX26" s="80">
        <v>34</v>
      </c>
      <c r="BY26" s="78">
        <v>82.5</v>
      </c>
      <c r="BZ26" s="115">
        <v>79.14</v>
      </c>
      <c r="CA26" s="115">
        <v>71.45</v>
      </c>
      <c r="CB26" s="112"/>
      <c r="CC26" s="112"/>
      <c r="CE26" s="70">
        <v>373.2</v>
      </c>
      <c r="CF26" s="70">
        <v>22.3</v>
      </c>
      <c r="CG26" s="69">
        <v>231</v>
      </c>
      <c r="CH26" s="69">
        <v>227</v>
      </c>
      <c r="CI26" s="69">
        <v>11.1</v>
      </c>
      <c r="CJ26" s="126">
        <v>129.29</v>
      </c>
      <c r="CK26" s="60">
        <v>129.30000000000001</v>
      </c>
      <c r="CL26" s="127">
        <v>49.92</v>
      </c>
      <c r="CM26" s="127">
        <v>593.70000000000005</v>
      </c>
      <c r="CN26" s="107">
        <v>5</v>
      </c>
      <c r="CO26" s="58">
        <v>844.1</v>
      </c>
      <c r="CQ26" s="108" t="s">
        <v>2294</v>
      </c>
      <c r="CR26" s="78" t="s">
        <v>1000</v>
      </c>
      <c r="CS26" s="78" t="s">
        <v>1001</v>
      </c>
      <c r="CT26" s="78">
        <v>96.1</v>
      </c>
      <c r="CU26" s="128" t="s">
        <v>1002</v>
      </c>
      <c r="CV26" s="128">
        <v>109.6</v>
      </c>
      <c r="CW26" s="128" t="s">
        <v>1003</v>
      </c>
      <c r="CX26" s="60" t="s">
        <v>1004</v>
      </c>
      <c r="CY26" s="60">
        <v>24.8</v>
      </c>
      <c r="CZ26" s="112" t="s">
        <v>361</v>
      </c>
      <c r="DA26" s="129">
        <v>275048</v>
      </c>
      <c r="DB26" s="129">
        <v>269309</v>
      </c>
      <c r="DC26" s="70">
        <v>1997.1</v>
      </c>
      <c r="DD26" s="86" t="s">
        <v>1005</v>
      </c>
      <c r="DE26" s="60" t="s">
        <v>1006</v>
      </c>
      <c r="DF26" s="60" t="s">
        <v>1007</v>
      </c>
      <c r="DG26" s="60" t="s">
        <v>1008</v>
      </c>
      <c r="DI26" s="70">
        <v>12</v>
      </c>
      <c r="DJ26" s="70">
        <v>99</v>
      </c>
      <c r="DK26" s="130">
        <v>104</v>
      </c>
      <c r="DM26" s="80">
        <v>385</v>
      </c>
      <c r="DN26" s="80">
        <v>736</v>
      </c>
      <c r="DO26" s="70">
        <v>4748</v>
      </c>
      <c r="DP26" s="131">
        <v>97.6</v>
      </c>
      <c r="DQ26" s="132">
        <v>36.1</v>
      </c>
      <c r="DR26" s="60">
        <v>66.7</v>
      </c>
      <c r="DS26" s="78"/>
      <c r="DT26" s="90" t="s">
        <v>1009</v>
      </c>
      <c r="DU26" s="60" t="s">
        <v>1010</v>
      </c>
      <c r="DV26" s="70">
        <v>299</v>
      </c>
      <c r="DW26" s="70">
        <v>111.5</v>
      </c>
      <c r="DX26" s="78"/>
      <c r="DY26" s="70">
        <v>108.7</v>
      </c>
      <c r="DZ26" s="70">
        <v>105.2</v>
      </c>
      <c r="EA26" s="70">
        <v>109.9</v>
      </c>
      <c r="EB26" s="70">
        <v>106</v>
      </c>
      <c r="EC26" s="86" t="s">
        <v>998</v>
      </c>
      <c r="ED26" s="60" t="s">
        <v>999</v>
      </c>
      <c r="EE26" s="60">
        <v>116.5</v>
      </c>
      <c r="EF26" s="60">
        <v>96.1</v>
      </c>
      <c r="EG26" s="60">
        <v>103.1</v>
      </c>
      <c r="EH26" s="78"/>
      <c r="EI26" s="60">
        <v>50.1</v>
      </c>
      <c r="EJ26" s="89">
        <v>31224.7</v>
      </c>
      <c r="EK26" s="89">
        <v>852</v>
      </c>
      <c r="EL26" s="87">
        <v>4457</v>
      </c>
      <c r="EM26" s="133">
        <v>13.8</v>
      </c>
      <c r="EN26" s="133" t="s">
        <v>1011</v>
      </c>
      <c r="EO26" s="78"/>
      <c r="EP26" s="133" t="s">
        <v>1012</v>
      </c>
      <c r="EQ26" s="134">
        <v>37602</v>
      </c>
      <c r="ER26" s="60">
        <v>165679</v>
      </c>
      <c r="ES26" s="60">
        <v>587028</v>
      </c>
      <c r="ET26" s="110" t="s">
        <v>2295</v>
      </c>
      <c r="EU26" s="110" t="s">
        <v>2296</v>
      </c>
      <c r="EV26" s="78"/>
      <c r="EW26" s="135">
        <v>78.3</v>
      </c>
      <c r="EX26" s="136">
        <v>37.299999999999997</v>
      </c>
      <c r="EY26" s="137"/>
      <c r="EZ26" s="136">
        <v>1913.2</v>
      </c>
      <c r="FA26" s="109">
        <v>15.9</v>
      </c>
      <c r="FB26" s="78"/>
      <c r="FC26" s="137"/>
      <c r="FD26" s="137"/>
      <c r="FE26" s="70">
        <v>1978</v>
      </c>
      <c r="FF26" s="137"/>
      <c r="FG26" s="137"/>
      <c r="FH26" s="70">
        <v>2041</v>
      </c>
      <c r="FI26" s="70">
        <v>6446</v>
      </c>
      <c r="FJ26" s="137"/>
      <c r="FK26" s="70"/>
      <c r="FL26" s="90" t="s">
        <v>1013</v>
      </c>
      <c r="FM26" s="90" t="s">
        <v>1014</v>
      </c>
      <c r="FN26" s="90" t="s">
        <v>1015</v>
      </c>
    </row>
    <row r="27" spans="1:170" ht="15.6">
      <c r="A27" s="2">
        <v>45</v>
      </c>
      <c r="B27" s="52" t="s">
        <v>295</v>
      </c>
      <c r="D27" s="63">
        <v>69.58</v>
      </c>
      <c r="E27" s="63">
        <v>29.53</v>
      </c>
      <c r="F27" s="60">
        <v>0</v>
      </c>
      <c r="G27" s="60">
        <v>0</v>
      </c>
      <c r="H27" s="112"/>
      <c r="I27" s="112"/>
      <c r="J27" s="60">
        <v>48</v>
      </c>
      <c r="K27" s="112"/>
      <c r="L27" s="112"/>
      <c r="M27" s="93" t="s">
        <v>432</v>
      </c>
      <c r="N27" s="76" t="s">
        <v>570</v>
      </c>
      <c r="O27" s="76" t="s">
        <v>489</v>
      </c>
      <c r="Q27" s="101">
        <v>9.9499999999999993</v>
      </c>
      <c r="R27" s="102">
        <v>85.16</v>
      </c>
      <c r="S27" s="101">
        <v>62.99</v>
      </c>
      <c r="T27" s="113">
        <v>49.62</v>
      </c>
      <c r="V27" s="66">
        <v>71500</v>
      </c>
      <c r="X27" s="114">
        <v>5.9</v>
      </c>
      <c r="Y27" s="114">
        <v>2115.3000000000002</v>
      </c>
      <c r="Z27" s="71">
        <v>1204</v>
      </c>
      <c r="AA27" s="80">
        <v>19.8</v>
      </c>
      <c r="AB27" s="80">
        <v>49.3</v>
      </c>
      <c r="AC27" s="58">
        <v>28</v>
      </c>
      <c r="AD27" s="84">
        <v>69.790000000000006</v>
      </c>
      <c r="AE27" s="84">
        <v>63.12</v>
      </c>
      <c r="AF27" s="60">
        <v>76.86</v>
      </c>
      <c r="AG27" s="60">
        <v>12382</v>
      </c>
      <c r="AH27" s="60">
        <f t="shared" si="0"/>
        <v>12.382</v>
      </c>
      <c r="AI27" s="71">
        <v>589.57000000000005</v>
      </c>
      <c r="AJ27" s="115">
        <v>1.7008399999999999</v>
      </c>
      <c r="AK27" s="70">
        <v>881</v>
      </c>
      <c r="AL27" s="146" t="s">
        <v>23</v>
      </c>
      <c r="AM27" s="147" t="s">
        <v>23</v>
      </c>
      <c r="AO27" s="116">
        <v>53.7</v>
      </c>
      <c r="AP27" s="71">
        <v>34812</v>
      </c>
      <c r="AQ27" s="117" t="s">
        <v>2297</v>
      </c>
      <c r="AR27" s="100">
        <v>62</v>
      </c>
      <c r="AS27" s="81">
        <v>0.3</v>
      </c>
      <c r="AT27" s="118">
        <v>4.5</v>
      </c>
      <c r="AU27" s="106">
        <v>11.4</v>
      </c>
      <c r="AV27" s="71">
        <v>48.4</v>
      </c>
      <c r="AX27" s="119"/>
      <c r="AY27" s="112"/>
      <c r="AZ27" s="82" t="s">
        <v>1016</v>
      </c>
      <c r="BA27" s="79" t="s">
        <v>1017</v>
      </c>
      <c r="BB27" s="79" t="s">
        <v>1018</v>
      </c>
      <c r="BD27" s="78">
        <v>109.6</v>
      </c>
      <c r="BE27" s="120">
        <v>104.3</v>
      </c>
      <c r="BF27" s="64" t="s">
        <v>1019</v>
      </c>
      <c r="BG27" s="60">
        <v>115.9</v>
      </c>
      <c r="BH27" s="68">
        <v>50938</v>
      </c>
      <c r="BI27" s="121"/>
      <c r="BJ27" s="112"/>
      <c r="BK27" s="122">
        <v>14.5</v>
      </c>
      <c r="BL27" s="123">
        <v>26094</v>
      </c>
      <c r="BM27" s="115" t="s">
        <v>1020</v>
      </c>
      <c r="BN27" s="115" t="s">
        <v>1021</v>
      </c>
      <c r="BP27" s="115">
        <v>0.35199999999999998</v>
      </c>
      <c r="BQ27" s="84">
        <v>0.114</v>
      </c>
      <c r="BR27" s="85" t="s">
        <v>1022</v>
      </c>
      <c r="BS27" s="85" t="s">
        <v>1023</v>
      </c>
      <c r="BT27" s="115">
        <v>30.1</v>
      </c>
      <c r="BU27" s="124">
        <v>41.5</v>
      </c>
      <c r="BV27" s="125">
        <v>1875</v>
      </c>
      <c r="BW27" s="80">
        <v>172</v>
      </c>
      <c r="BX27" s="80">
        <v>61</v>
      </c>
      <c r="BY27" s="78">
        <v>68.099999999999994</v>
      </c>
      <c r="BZ27" s="115">
        <v>71.61</v>
      </c>
      <c r="CA27" s="115">
        <v>51.54</v>
      </c>
      <c r="CB27" s="112"/>
      <c r="CC27" s="112"/>
      <c r="CE27" s="70">
        <v>102.4</v>
      </c>
      <c r="CF27" s="70">
        <v>6.6</v>
      </c>
      <c r="CG27" s="69">
        <v>178</v>
      </c>
      <c r="CH27" s="69">
        <v>176</v>
      </c>
      <c r="CI27" s="69">
        <v>2.8</v>
      </c>
      <c r="CJ27" s="126">
        <v>112.44</v>
      </c>
      <c r="CK27" s="60">
        <v>112.4</v>
      </c>
      <c r="CL27" s="127">
        <v>31.67</v>
      </c>
      <c r="CM27" s="127">
        <v>735.6</v>
      </c>
      <c r="CN27" s="107">
        <v>4.5999999999999996</v>
      </c>
      <c r="CO27" s="58">
        <v>1144.9000000000001</v>
      </c>
      <c r="CQ27" s="108" t="s">
        <v>2298</v>
      </c>
      <c r="CR27" s="78">
        <v>4.5999999999999996</v>
      </c>
      <c r="CS27" s="78">
        <v>254.9</v>
      </c>
      <c r="CT27" s="78">
        <v>79.7</v>
      </c>
      <c r="CU27" s="128" t="s">
        <v>1024</v>
      </c>
      <c r="CV27" s="128">
        <v>115</v>
      </c>
      <c r="CW27" s="128" t="s">
        <v>1025</v>
      </c>
      <c r="CX27" s="60" t="s">
        <v>1026</v>
      </c>
      <c r="CY27" s="60">
        <v>25.6</v>
      </c>
      <c r="CZ27" s="112" t="s">
        <v>361</v>
      </c>
      <c r="DA27" s="129">
        <v>218389</v>
      </c>
      <c r="DB27" s="129">
        <v>37382</v>
      </c>
      <c r="DC27" s="70">
        <v>446.9</v>
      </c>
      <c r="DD27" s="86" t="s">
        <v>1027</v>
      </c>
      <c r="DE27" s="60" t="s">
        <v>1028</v>
      </c>
      <c r="DF27" s="60" t="s">
        <v>1029</v>
      </c>
      <c r="DG27" s="60" t="s">
        <v>1030</v>
      </c>
      <c r="DI27" s="70">
        <v>137</v>
      </c>
      <c r="DJ27" s="70">
        <v>81</v>
      </c>
      <c r="DK27" s="130">
        <v>107.6</v>
      </c>
      <c r="DM27" s="80">
        <v>171</v>
      </c>
      <c r="DN27" s="80">
        <v>425</v>
      </c>
      <c r="DO27" s="70">
        <v>2066</v>
      </c>
      <c r="DP27" s="131">
        <v>98.4</v>
      </c>
      <c r="DQ27" s="132">
        <v>10.8</v>
      </c>
      <c r="DR27" s="60">
        <v>10.7</v>
      </c>
      <c r="DS27" s="78"/>
      <c r="DT27" s="90">
        <v>29</v>
      </c>
      <c r="DU27" s="60">
        <v>44</v>
      </c>
      <c r="DV27" s="70">
        <v>28</v>
      </c>
      <c r="DW27" s="70">
        <v>91.2</v>
      </c>
      <c r="DX27" s="78"/>
      <c r="DY27" s="70">
        <v>108.7</v>
      </c>
      <c r="DZ27" s="70">
        <v>107.1</v>
      </c>
      <c r="EA27" s="70">
        <v>104.5</v>
      </c>
      <c r="EB27" s="70">
        <v>104.8</v>
      </c>
      <c r="EC27" s="86" t="s">
        <v>1022</v>
      </c>
      <c r="ED27" s="60" t="s">
        <v>1023</v>
      </c>
      <c r="EE27" s="60">
        <v>109.6</v>
      </c>
      <c r="EF27" s="60">
        <v>79.7</v>
      </c>
      <c r="EG27" s="60">
        <v>101</v>
      </c>
      <c r="EH27" s="78"/>
      <c r="EI27" s="60">
        <v>34.700000000000003</v>
      </c>
      <c r="EJ27" s="89">
        <v>613.20000000000005</v>
      </c>
      <c r="EK27" s="89">
        <v>152</v>
      </c>
      <c r="EL27" s="87">
        <v>1387</v>
      </c>
      <c r="EM27" s="133">
        <v>20.5</v>
      </c>
      <c r="EN27" s="133" t="s">
        <v>1031</v>
      </c>
      <c r="EO27" s="78"/>
      <c r="EP27" s="133" t="s">
        <v>1032</v>
      </c>
      <c r="EQ27" s="134">
        <v>2217</v>
      </c>
      <c r="ER27" s="60">
        <v>34437</v>
      </c>
      <c r="ES27" s="60">
        <v>118872</v>
      </c>
      <c r="ET27" s="110" t="s">
        <v>2299</v>
      </c>
      <c r="EU27" s="110" t="s">
        <v>2300</v>
      </c>
      <c r="EV27" s="78"/>
      <c r="EW27" s="135">
        <v>83.3</v>
      </c>
      <c r="EX27" s="136">
        <v>43.9</v>
      </c>
      <c r="EY27" s="137"/>
      <c r="EZ27" s="136">
        <v>2059.4</v>
      </c>
      <c r="FA27" s="109">
        <v>24.2</v>
      </c>
      <c r="FB27" s="78"/>
      <c r="FC27" s="137"/>
      <c r="FD27" s="137"/>
      <c r="FE27" s="70">
        <v>844</v>
      </c>
      <c r="FF27" s="137"/>
      <c r="FG27" s="137"/>
      <c r="FH27" s="70">
        <v>1042</v>
      </c>
      <c r="FI27" s="70">
        <v>2460</v>
      </c>
      <c r="FJ27" s="137"/>
      <c r="FK27" s="70"/>
      <c r="FL27" s="90" t="s">
        <v>1033</v>
      </c>
      <c r="FM27" s="90" t="s">
        <v>1034</v>
      </c>
      <c r="FN27" s="90" t="s">
        <v>1035</v>
      </c>
    </row>
    <row r="28" spans="1:170" ht="15.6">
      <c r="A28" s="2">
        <v>46</v>
      </c>
      <c r="B28" s="52" t="s">
        <v>296</v>
      </c>
      <c r="D28" s="63">
        <v>73.92</v>
      </c>
      <c r="E28" s="63">
        <v>25.35</v>
      </c>
      <c r="F28" s="60">
        <v>0</v>
      </c>
      <c r="G28" s="60">
        <v>0</v>
      </c>
      <c r="H28" s="112"/>
      <c r="I28" s="112"/>
      <c r="J28" s="60">
        <v>35</v>
      </c>
      <c r="K28" s="112"/>
      <c r="L28" s="112"/>
      <c r="M28" s="93" t="s">
        <v>1036</v>
      </c>
      <c r="N28" s="76" t="s">
        <v>489</v>
      </c>
      <c r="O28" s="76" t="s">
        <v>489</v>
      </c>
      <c r="Q28" s="101">
        <v>9.9499999999999993</v>
      </c>
      <c r="R28" s="102">
        <v>85.16</v>
      </c>
      <c r="S28" s="101">
        <v>62.99</v>
      </c>
      <c r="T28" s="113">
        <v>53.02</v>
      </c>
      <c r="V28" s="66">
        <v>30000</v>
      </c>
      <c r="X28" s="114">
        <v>6.5</v>
      </c>
      <c r="Y28" s="114">
        <v>2115.3000000000002</v>
      </c>
      <c r="Z28" s="71">
        <v>1205</v>
      </c>
      <c r="AA28" s="80">
        <v>17</v>
      </c>
      <c r="AB28" s="80">
        <v>53.3</v>
      </c>
      <c r="AC28" s="58">
        <v>26.8</v>
      </c>
      <c r="AD28" s="84">
        <v>72.45</v>
      </c>
      <c r="AE28" s="84">
        <v>66.36</v>
      </c>
      <c r="AF28" s="60">
        <v>78.430000000000007</v>
      </c>
      <c r="AG28" s="60">
        <v>15415</v>
      </c>
      <c r="AH28" s="60">
        <f t="shared" si="0"/>
        <v>15.414999999999999</v>
      </c>
      <c r="AI28" s="71">
        <v>567.43499999999995</v>
      </c>
      <c r="AJ28" s="70">
        <v>1.262</v>
      </c>
      <c r="AK28" s="70">
        <v>702</v>
      </c>
      <c r="AL28" s="90">
        <v>27</v>
      </c>
      <c r="AM28" s="77">
        <v>287</v>
      </c>
      <c r="AO28" s="116">
        <v>58.7</v>
      </c>
      <c r="AP28" s="71">
        <v>43719</v>
      </c>
      <c r="AQ28" s="117" t="s">
        <v>2214</v>
      </c>
      <c r="AR28" s="100">
        <v>81</v>
      </c>
      <c r="AS28" s="81">
        <v>0.2</v>
      </c>
      <c r="AT28" s="118">
        <v>2.7</v>
      </c>
      <c r="AU28" s="106">
        <v>36.6</v>
      </c>
      <c r="AV28" s="71">
        <v>39.9</v>
      </c>
      <c r="AX28" s="119"/>
      <c r="AY28" s="112"/>
      <c r="AZ28" s="82" t="s">
        <v>1037</v>
      </c>
      <c r="BA28" s="79" t="s">
        <v>1038</v>
      </c>
      <c r="BB28" s="79" t="s">
        <v>1039</v>
      </c>
      <c r="BD28" s="78">
        <v>103.5</v>
      </c>
      <c r="BE28" s="120">
        <v>101.1</v>
      </c>
      <c r="BF28" s="64" t="s">
        <v>1040</v>
      </c>
      <c r="BG28" s="60">
        <v>109.4</v>
      </c>
      <c r="BH28" s="68">
        <v>53624</v>
      </c>
      <c r="BI28" s="121"/>
      <c r="BJ28" s="112"/>
      <c r="BK28" s="122">
        <v>7.6</v>
      </c>
      <c r="BL28" s="123">
        <v>31887</v>
      </c>
      <c r="BM28" s="115" t="s">
        <v>1041</v>
      </c>
      <c r="BN28" s="115" t="s">
        <v>1042</v>
      </c>
      <c r="BP28" s="115">
        <v>0.62</v>
      </c>
      <c r="BQ28" s="84">
        <v>0.21299999999999999</v>
      </c>
      <c r="BR28" s="85" t="s">
        <v>1043</v>
      </c>
      <c r="BS28" s="85" t="s">
        <v>1044</v>
      </c>
      <c r="BT28" s="115">
        <v>33.700000000000003</v>
      </c>
      <c r="BU28" s="124">
        <v>39.4</v>
      </c>
      <c r="BV28" s="125">
        <v>674</v>
      </c>
      <c r="BW28" s="80">
        <v>378</v>
      </c>
      <c r="BX28" s="80">
        <v>41</v>
      </c>
      <c r="BY28" s="78">
        <v>82.3</v>
      </c>
      <c r="BZ28" s="115">
        <v>89.33</v>
      </c>
      <c r="CA28" s="115">
        <v>75.87</v>
      </c>
      <c r="CB28" s="112"/>
      <c r="CC28" s="112"/>
      <c r="CE28" s="70">
        <v>121.9</v>
      </c>
      <c r="CF28" s="70">
        <v>11</v>
      </c>
      <c r="CG28" s="69">
        <v>351</v>
      </c>
      <c r="CH28" s="69">
        <v>323</v>
      </c>
      <c r="CI28" s="69">
        <v>6.6</v>
      </c>
      <c r="CJ28" s="126">
        <v>124.97</v>
      </c>
      <c r="CK28" s="60">
        <v>125</v>
      </c>
      <c r="CL28" s="127">
        <v>53.52</v>
      </c>
      <c r="CM28" s="127">
        <v>546.1</v>
      </c>
      <c r="CN28" s="107">
        <v>3.4</v>
      </c>
      <c r="CO28" s="58">
        <v>595.5</v>
      </c>
      <c r="CQ28" s="108" t="s">
        <v>2301</v>
      </c>
      <c r="CR28" s="78">
        <v>102.4</v>
      </c>
      <c r="CS28" s="78">
        <v>457.1</v>
      </c>
      <c r="CT28" s="78">
        <v>105</v>
      </c>
      <c r="CU28" s="128" t="s">
        <v>1045</v>
      </c>
      <c r="CV28" s="128">
        <v>102.9</v>
      </c>
      <c r="CW28" s="128" t="s">
        <v>1046</v>
      </c>
      <c r="CX28" s="60" t="s">
        <v>1047</v>
      </c>
      <c r="CY28" s="60">
        <v>24.7</v>
      </c>
      <c r="CZ28" s="60" t="s">
        <v>1048</v>
      </c>
      <c r="DA28" s="129">
        <v>286182</v>
      </c>
      <c r="DB28" s="129">
        <v>68724</v>
      </c>
      <c r="DC28" s="70">
        <v>650.29999999999995</v>
      </c>
      <c r="DD28" s="86" t="s">
        <v>1049</v>
      </c>
      <c r="DE28" s="60" t="s">
        <v>1050</v>
      </c>
      <c r="DF28" s="60" t="s">
        <v>1051</v>
      </c>
      <c r="DG28" s="60" t="s">
        <v>453</v>
      </c>
      <c r="DI28" s="70">
        <v>384</v>
      </c>
      <c r="DJ28" s="70">
        <v>114</v>
      </c>
      <c r="DK28" s="130">
        <v>97.4</v>
      </c>
      <c r="DM28" s="80">
        <v>234</v>
      </c>
      <c r="DN28" s="80">
        <v>559</v>
      </c>
      <c r="DO28" s="70">
        <v>3992</v>
      </c>
      <c r="DP28" s="131">
        <v>98.3</v>
      </c>
      <c r="DQ28" s="132">
        <v>9.1</v>
      </c>
      <c r="DR28" s="60">
        <v>9.3000000000000007</v>
      </c>
      <c r="DS28" s="78"/>
      <c r="DT28" s="90">
        <v>54</v>
      </c>
      <c r="DU28" s="60">
        <v>199</v>
      </c>
      <c r="DV28" s="70">
        <v>33</v>
      </c>
      <c r="DW28" s="70">
        <v>97</v>
      </c>
      <c r="DX28" s="78"/>
      <c r="DY28" s="70">
        <v>107.5</v>
      </c>
      <c r="DZ28" s="70">
        <v>108.3</v>
      </c>
      <c r="EA28" s="70">
        <v>107.8</v>
      </c>
      <c r="EB28" s="70">
        <v>105.6</v>
      </c>
      <c r="EC28" s="86" t="s">
        <v>1043</v>
      </c>
      <c r="ED28" s="60" t="s">
        <v>1044</v>
      </c>
      <c r="EE28" s="60">
        <v>106.4</v>
      </c>
      <c r="EF28" s="60">
        <v>105</v>
      </c>
      <c r="EG28" s="60">
        <v>103.6</v>
      </c>
      <c r="EH28" s="78"/>
      <c r="EI28" s="60">
        <v>36.5</v>
      </c>
      <c r="EJ28" s="89">
        <v>3996.3</v>
      </c>
      <c r="EK28" s="89">
        <v>191</v>
      </c>
      <c r="EL28" s="141">
        <v>1934</v>
      </c>
      <c r="EM28" s="133">
        <v>15.8</v>
      </c>
      <c r="EN28" s="142" t="s">
        <v>1052</v>
      </c>
      <c r="EO28" s="78"/>
      <c r="EP28" s="133" t="s">
        <v>1053</v>
      </c>
      <c r="EQ28" s="134">
        <v>10879</v>
      </c>
      <c r="ER28" s="60">
        <v>41781</v>
      </c>
      <c r="ES28" s="60">
        <v>150710</v>
      </c>
      <c r="ET28" s="110" t="s">
        <v>2302</v>
      </c>
      <c r="EU28" s="110" t="s">
        <v>2303</v>
      </c>
      <c r="EV28" s="78"/>
      <c r="EW28" s="135">
        <v>84.4</v>
      </c>
      <c r="EX28" s="136">
        <v>37.9</v>
      </c>
      <c r="EY28" s="137"/>
      <c r="EZ28" s="136">
        <v>1852.5</v>
      </c>
      <c r="FA28" s="109">
        <v>25</v>
      </c>
      <c r="FB28" s="78"/>
      <c r="FC28" s="137"/>
      <c r="FD28" s="137"/>
      <c r="FE28" s="70">
        <v>664</v>
      </c>
      <c r="FF28" s="137"/>
      <c r="FG28" s="137"/>
      <c r="FH28" s="70">
        <v>712</v>
      </c>
      <c r="FI28" s="70">
        <v>1968</v>
      </c>
      <c r="FJ28" s="137"/>
      <c r="FK28" s="70"/>
      <c r="FL28" s="90" t="s">
        <v>1054</v>
      </c>
      <c r="FM28" s="90" t="s">
        <v>1055</v>
      </c>
      <c r="FN28" s="90" t="s">
        <v>363</v>
      </c>
    </row>
    <row r="29" spans="1:170" ht="15.6">
      <c r="A29" s="2">
        <v>47</v>
      </c>
      <c r="B29" s="52" t="s">
        <v>297</v>
      </c>
      <c r="D29" s="65">
        <v>79.12</v>
      </c>
      <c r="E29" s="63">
        <v>20.11</v>
      </c>
      <c r="F29" s="60">
        <v>0</v>
      </c>
      <c r="G29" s="60">
        <v>0</v>
      </c>
      <c r="H29" s="112"/>
      <c r="I29" s="112"/>
      <c r="J29" s="60">
        <v>46</v>
      </c>
      <c r="K29" s="112"/>
      <c r="L29" s="112"/>
      <c r="M29" s="93" t="s">
        <v>636</v>
      </c>
      <c r="N29" s="76" t="s">
        <v>570</v>
      </c>
      <c r="O29" s="76" t="s">
        <v>489</v>
      </c>
      <c r="Q29" s="101">
        <v>9.9499999999999993</v>
      </c>
      <c r="R29" s="102">
        <v>85.16</v>
      </c>
      <c r="S29" s="101">
        <v>62.99</v>
      </c>
      <c r="T29" s="113">
        <v>54.27</v>
      </c>
      <c r="V29" s="66">
        <v>83900</v>
      </c>
      <c r="X29" s="114">
        <v>4.3</v>
      </c>
      <c r="Y29" s="114">
        <v>2115.3000000000002</v>
      </c>
      <c r="Z29" s="71">
        <v>1131</v>
      </c>
      <c r="AA29" s="80">
        <v>14.1</v>
      </c>
      <c r="AB29" s="80">
        <v>58.8</v>
      </c>
      <c r="AC29" s="58">
        <v>24.7</v>
      </c>
      <c r="AD29" s="84">
        <v>74.88</v>
      </c>
      <c r="AE29" s="84">
        <v>70.16</v>
      </c>
      <c r="AF29" s="60">
        <v>79.55</v>
      </c>
      <c r="AG29" s="60">
        <v>23001</v>
      </c>
      <c r="AH29" s="60">
        <f t="shared" si="0"/>
        <v>23.001000000000001</v>
      </c>
      <c r="AI29" s="71">
        <v>520.125</v>
      </c>
      <c r="AJ29" s="70">
        <v>0.88</v>
      </c>
      <c r="AK29" s="70">
        <v>796</v>
      </c>
      <c r="AL29" s="90">
        <v>67</v>
      </c>
      <c r="AM29" s="77">
        <v>120</v>
      </c>
      <c r="AO29" s="116">
        <v>62.7</v>
      </c>
      <c r="AP29" s="71">
        <v>45989</v>
      </c>
      <c r="AQ29" s="117" t="s">
        <v>2304</v>
      </c>
      <c r="AR29" s="100">
        <v>72.400000000000006</v>
      </c>
      <c r="AS29" s="81">
        <v>0.1</v>
      </c>
      <c r="AT29" s="118">
        <v>2.7</v>
      </c>
      <c r="AU29" s="106">
        <v>22.1</v>
      </c>
      <c r="AV29" s="71">
        <v>40.9</v>
      </c>
      <c r="AX29" s="119"/>
      <c r="AY29" s="112"/>
      <c r="AZ29" s="82" t="s">
        <v>1056</v>
      </c>
      <c r="BA29" s="79" t="s">
        <v>1057</v>
      </c>
      <c r="BB29" s="79" t="s">
        <v>1058</v>
      </c>
      <c r="BD29" s="78">
        <v>107.3</v>
      </c>
      <c r="BE29" s="120">
        <v>102.9</v>
      </c>
      <c r="BF29" s="64" t="s">
        <v>462</v>
      </c>
      <c r="BG29" s="60">
        <v>107.2</v>
      </c>
      <c r="BH29" s="68">
        <v>68105</v>
      </c>
      <c r="BI29" s="121"/>
      <c r="BJ29" s="112"/>
      <c r="BK29" s="122">
        <v>6.8</v>
      </c>
      <c r="BL29" s="123">
        <v>38583</v>
      </c>
      <c r="BM29" s="115" t="s">
        <v>1059</v>
      </c>
      <c r="BN29" s="115" t="s">
        <v>1060</v>
      </c>
      <c r="BP29" s="115">
        <v>4.1859999999999999</v>
      </c>
      <c r="BQ29" s="84">
        <v>1.6930000000000001</v>
      </c>
      <c r="BR29" s="85" t="s">
        <v>1061</v>
      </c>
      <c r="BS29" s="85" t="s">
        <v>1062</v>
      </c>
      <c r="BT29" s="115">
        <v>30.8</v>
      </c>
      <c r="BU29" s="124">
        <v>39.799999999999997</v>
      </c>
      <c r="BV29" s="125">
        <v>1167</v>
      </c>
      <c r="BW29" s="80">
        <v>326</v>
      </c>
      <c r="BX29" s="80">
        <v>15</v>
      </c>
      <c r="BY29" s="78">
        <v>80.099999999999994</v>
      </c>
      <c r="BZ29" s="115">
        <v>79.3</v>
      </c>
      <c r="CA29" s="115">
        <v>69.739999999999995</v>
      </c>
      <c r="CB29" s="112"/>
      <c r="CC29" s="112"/>
      <c r="CE29" s="70">
        <v>203.2</v>
      </c>
      <c r="CF29" s="70">
        <v>11.3</v>
      </c>
      <c r="CG29" s="69">
        <v>31</v>
      </c>
      <c r="CH29" s="69">
        <v>31</v>
      </c>
      <c r="CI29" s="69">
        <v>0.8</v>
      </c>
      <c r="CJ29" s="126">
        <v>181.65</v>
      </c>
      <c r="CK29" s="60">
        <v>181.7</v>
      </c>
      <c r="CL29" s="127">
        <v>36.380000000000003</v>
      </c>
      <c r="CM29" s="127">
        <v>444.4</v>
      </c>
      <c r="CN29" s="107">
        <v>3.7</v>
      </c>
      <c r="CO29" s="58">
        <v>693.4</v>
      </c>
      <c r="CQ29" s="108" t="s">
        <v>2305</v>
      </c>
      <c r="CR29" s="78">
        <v>43.7</v>
      </c>
      <c r="CS29" s="78" t="s">
        <v>1063</v>
      </c>
      <c r="CT29" s="78">
        <v>101.1</v>
      </c>
      <c r="CU29" s="128" t="s">
        <v>1064</v>
      </c>
      <c r="CV29" s="128">
        <v>113.2</v>
      </c>
      <c r="CW29" s="128" t="s">
        <v>1065</v>
      </c>
      <c r="CX29" s="60" t="s">
        <v>1066</v>
      </c>
      <c r="CY29" s="60">
        <v>25.1</v>
      </c>
      <c r="CZ29" s="60" t="s">
        <v>1067</v>
      </c>
      <c r="DA29" s="129">
        <v>363709</v>
      </c>
      <c r="DB29" s="129">
        <v>137185</v>
      </c>
      <c r="DC29" s="70">
        <v>2246.1</v>
      </c>
      <c r="DD29" s="86" t="s">
        <v>1068</v>
      </c>
      <c r="DE29" s="60" t="s">
        <v>1069</v>
      </c>
      <c r="DF29" s="60" t="s">
        <v>1070</v>
      </c>
      <c r="DG29" s="60" t="s">
        <v>1071</v>
      </c>
      <c r="DI29" s="70">
        <v>222</v>
      </c>
      <c r="DJ29" s="70">
        <v>77</v>
      </c>
      <c r="DK29" s="130">
        <v>90.8</v>
      </c>
      <c r="DM29" s="80">
        <v>126</v>
      </c>
      <c r="DN29" s="80">
        <v>848</v>
      </c>
      <c r="DO29" s="70">
        <v>1303</v>
      </c>
      <c r="DP29" s="131">
        <v>96.9</v>
      </c>
      <c r="DQ29" s="132">
        <v>22.9</v>
      </c>
      <c r="DR29" s="60">
        <v>26.8</v>
      </c>
      <c r="DS29" s="78"/>
      <c r="DT29" s="90">
        <v>234</v>
      </c>
      <c r="DU29" s="60" t="s">
        <v>1072</v>
      </c>
      <c r="DV29" s="70">
        <v>278</v>
      </c>
      <c r="DW29" s="70">
        <v>122.5</v>
      </c>
      <c r="DX29" s="78"/>
      <c r="DY29" s="70">
        <v>106.5</v>
      </c>
      <c r="DZ29" s="70">
        <v>104.4</v>
      </c>
      <c r="EA29" s="70">
        <v>107.5</v>
      </c>
      <c r="EB29" s="70">
        <v>103</v>
      </c>
      <c r="EC29" s="86" t="s">
        <v>1061</v>
      </c>
      <c r="ED29" s="60" t="s">
        <v>1062</v>
      </c>
      <c r="EE29" s="60">
        <v>126</v>
      </c>
      <c r="EF29" s="60">
        <v>101.1</v>
      </c>
      <c r="EG29" s="60">
        <v>94.8</v>
      </c>
      <c r="EH29" s="78"/>
      <c r="EI29" s="60">
        <v>33.9</v>
      </c>
      <c r="EJ29" s="89">
        <v>11155.6</v>
      </c>
      <c r="EK29" s="89">
        <v>409</v>
      </c>
      <c r="EL29" s="141">
        <v>3224</v>
      </c>
      <c r="EM29" s="133">
        <v>15.4</v>
      </c>
      <c r="EN29" s="142" t="s">
        <v>1073</v>
      </c>
      <c r="EO29" s="78"/>
      <c r="EP29" s="133" t="s">
        <v>1074</v>
      </c>
      <c r="EQ29" s="134">
        <v>8647</v>
      </c>
      <c r="ER29" s="60">
        <v>106004</v>
      </c>
      <c r="ES29" s="60">
        <v>438498</v>
      </c>
      <c r="ET29" s="110" t="s">
        <v>2306</v>
      </c>
      <c r="EU29" s="110" t="s">
        <v>2307</v>
      </c>
      <c r="EV29" s="78"/>
      <c r="EW29" s="135">
        <v>83.2</v>
      </c>
      <c r="EX29" s="136">
        <v>42.6</v>
      </c>
      <c r="EY29" s="137"/>
      <c r="EZ29" s="136" t="s">
        <v>303</v>
      </c>
      <c r="FA29" s="109">
        <v>15.3</v>
      </c>
      <c r="FB29" s="78"/>
      <c r="FC29" s="137"/>
      <c r="FD29" s="137"/>
      <c r="FE29" s="70">
        <v>1314</v>
      </c>
      <c r="FF29" s="137"/>
      <c r="FG29" s="137"/>
      <c r="FH29" s="70">
        <v>939</v>
      </c>
      <c r="FI29" s="70">
        <v>2639</v>
      </c>
      <c r="FJ29" s="137"/>
      <c r="FK29" s="70"/>
      <c r="FL29" s="90" t="s">
        <v>1075</v>
      </c>
      <c r="FM29" s="90" t="s">
        <v>1076</v>
      </c>
      <c r="FN29" s="90" t="s">
        <v>1077</v>
      </c>
    </row>
    <row r="30" spans="1:170" ht="15.6">
      <c r="A30" s="2">
        <v>48</v>
      </c>
      <c r="B30" s="52" t="s">
        <v>298</v>
      </c>
      <c r="D30" s="63">
        <v>78.12</v>
      </c>
      <c r="E30" s="63">
        <v>20.85</v>
      </c>
      <c r="F30" s="60">
        <v>0</v>
      </c>
      <c r="G30" s="60">
        <v>0</v>
      </c>
      <c r="H30" s="112"/>
      <c r="I30" s="112"/>
      <c r="J30" s="60">
        <v>34</v>
      </c>
      <c r="K30" s="112"/>
      <c r="L30" s="112"/>
      <c r="M30" s="93" t="s">
        <v>428</v>
      </c>
      <c r="N30" s="76" t="s">
        <v>511</v>
      </c>
      <c r="O30" s="76" t="s">
        <v>489</v>
      </c>
      <c r="Q30" s="101">
        <v>9.9499999999999993</v>
      </c>
      <c r="R30" s="102">
        <v>85.16</v>
      </c>
      <c r="S30" s="101">
        <v>62.99</v>
      </c>
      <c r="T30" s="113">
        <v>51.95</v>
      </c>
      <c r="V30" s="66">
        <v>24000</v>
      </c>
      <c r="X30" s="114">
        <v>5.8</v>
      </c>
      <c r="Y30" s="114">
        <v>2115.3000000000002</v>
      </c>
      <c r="Z30" s="71">
        <v>1185</v>
      </c>
      <c r="AA30" s="80">
        <v>16.899999999999999</v>
      </c>
      <c r="AB30" s="80">
        <v>54</v>
      </c>
      <c r="AC30" s="58">
        <v>26.1</v>
      </c>
      <c r="AD30" s="84">
        <v>72.44</v>
      </c>
      <c r="AE30" s="84">
        <v>66.400000000000006</v>
      </c>
      <c r="AF30" s="60">
        <v>78.599999999999994</v>
      </c>
      <c r="AG30" s="60">
        <v>16141</v>
      </c>
      <c r="AH30" s="60">
        <f t="shared" si="0"/>
        <v>16.140999999999998</v>
      </c>
      <c r="AI30" s="71">
        <v>572.18499999999995</v>
      </c>
      <c r="AJ30" s="70">
        <v>1.2330000000000001</v>
      </c>
      <c r="AK30" s="70">
        <v>733</v>
      </c>
      <c r="AL30" s="90">
        <v>6</v>
      </c>
      <c r="AM30" s="77">
        <v>286</v>
      </c>
      <c r="AO30" s="116">
        <v>60.6</v>
      </c>
      <c r="AP30" s="71">
        <v>45458</v>
      </c>
      <c r="AQ30" s="117" t="s">
        <v>2238</v>
      </c>
      <c r="AR30" s="100">
        <v>77.400000000000006</v>
      </c>
      <c r="AS30" s="81">
        <v>0.2</v>
      </c>
      <c r="AT30" s="118">
        <v>2.6</v>
      </c>
      <c r="AU30" s="106">
        <v>27.1</v>
      </c>
      <c r="AV30" s="71">
        <v>43.8</v>
      </c>
      <c r="AX30" s="119"/>
      <c r="AY30" s="112"/>
      <c r="AZ30" s="82" t="s">
        <v>1078</v>
      </c>
      <c r="BA30" s="79" t="s">
        <v>1079</v>
      </c>
      <c r="BB30" s="79" t="s">
        <v>1080</v>
      </c>
      <c r="BD30" s="78">
        <v>103.3</v>
      </c>
      <c r="BE30" s="120">
        <v>102.4</v>
      </c>
      <c r="BF30" s="64" t="s">
        <v>1081</v>
      </c>
      <c r="BG30" s="60">
        <v>109.4</v>
      </c>
      <c r="BH30" s="68">
        <v>54044</v>
      </c>
      <c r="BI30" s="121"/>
      <c r="BJ30" s="112"/>
      <c r="BK30" s="144">
        <v>7</v>
      </c>
      <c r="BL30" s="123">
        <v>35308</v>
      </c>
      <c r="BM30" s="115" t="s">
        <v>1082</v>
      </c>
      <c r="BN30" s="115" t="s">
        <v>1083</v>
      </c>
      <c r="BP30" s="115">
        <v>0.77100000000000002</v>
      </c>
      <c r="BQ30" s="84">
        <v>0.19600000000000001</v>
      </c>
      <c r="BR30" s="85" t="s">
        <v>1084</v>
      </c>
      <c r="BS30" s="85" t="s">
        <v>1085</v>
      </c>
      <c r="BT30" s="115">
        <v>36.200000000000003</v>
      </c>
      <c r="BU30" s="124">
        <v>35.4</v>
      </c>
      <c r="BV30" s="125">
        <v>935</v>
      </c>
      <c r="BW30" s="80">
        <v>285</v>
      </c>
      <c r="BX30" s="80">
        <v>35</v>
      </c>
      <c r="BY30" s="78">
        <v>90.8</v>
      </c>
      <c r="BZ30" s="115">
        <v>96.25</v>
      </c>
      <c r="CA30" s="115">
        <v>86.21</v>
      </c>
      <c r="CB30" s="112"/>
      <c r="CC30" s="112"/>
      <c r="CE30" s="70">
        <v>128.19999999999999</v>
      </c>
      <c r="CF30" s="70">
        <v>8.1</v>
      </c>
      <c r="CG30" s="69">
        <v>167</v>
      </c>
      <c r="CH30" s="69">
        <v>156</v>
      </c>
      <c r="CI30" s="69">
        <v>3.7</v>
      </c>
      <c r="CJ30" s="126">
        <v>122.32</v>
      </c>
      <c r="CK30" s="60">
        <v>122.3</v>
      </c>
      <c r="CL30" s="127">
        <v>40.22</v>
      </c>
      <c r="CM30" s="127">
        <v>555.29999999999995</v>
      </c>
      <c r="CN30" s="107">
        <v>3.3</v>
      </c>
      <c r="CO30" s="58">
        <v>646.70000000000005</v>
      </c>
      <c r="CQ30" s="108" t="s">
        <v>2308</v>
      </c>
      <c r="CR30" s="78">
        <v>7.5</v>
      </c>
      <c r="CS30" s="78" t="s">
        <v>1086</v>
      </c>
      <c r="CT30" s="78">
        <v>103.5</v>
      </c>
      <c r="CU30" s="128" t="s">
        <v>1087</v>
      </c>
      <c r="CV30" s="128">
        <v>104.1</v>
      </c>
      <c r="CW30" s="128" t="s">
        <v>1088</v>
      </c>
      <c r="CX30" s="60" t="s">
        <v>1089</v>
      </c>
      <c r="CY30" s="60">
        <v>26.6</v>
      </c>
      <c r="CZ30" s="112" t="s">
        <v>361</v>
      </c>
      <c r="DA30" s="129">
        <v>312267</v>
      </c>
      <c r="DB30" s="129">
        <v>92345</v>
      </c>
      <c r="DC30" s="70">
        <v>730.7</v>
      </c>
      <c r="DD30" s="86" t="s">
        <v>1090</v>
      </c>
      <c r="DE30" s="60" t="s">
        <v>1091</v>
      </c>
      <c r="DF30" s="60" t="s">
        <v>1092</v>
      </c>
      <c r="DG30" s="60" t="s">
        <v>1093</v>
      </c>
      <c r="DI30" s="70">
        <v>567</v>
      </c>
      <c r="DJ30" s="70">
        <v>113</v>
      </c>
      <c r="DK30" s="130">
        <v>106.9</v>
      </c>
      <c r="DM30" s="80">
        <v>200</v>
      </c>
      <c r="DN30" s="80">
        <v>198</v>
      </c>
      <c r="DO30" s="70">
        <v>1666</v>
      </c>
      <c r="DP30" s="131">
        <v>100</v>
      </c>
      <c r="DQ30" s="132">
        <v>11.4</v>
      </c>
      <c r="DR30" s="60">
        <v>8.6999999999999993</v>
      </c>
      <c r="DS30" s="78"/>
      <c r="DT30" s="90">
        <v>308</v>
      </c>
      <c r="DU30" s="60">
        <v>153</v>
      </c>
      <c r="DV30" s="70">
        <v>67</v>
      </c>
      <c r="DW30" s="70">
        <v>112.1</v>
      </c>
      <c r="DX30" s="78"/>
      <c r="DY30" s="70">
        <v>108.1</v>
      </c>
      <c r="DZ30" s="70">
        <v>105.4</v>
      </c>
      <c r="EA30" s="70">
        <v>106.5</v>
      </c>
      <c r="EB30" s="70">
        <v>105.2</v>
      </c>
      <c r="EC30" s="86" t="s">
        <v>1084</v>
      </c>
      <c r="ED30" s="60" t="s">
        <v>1085</v>
      </c>
      <c r="EE30" s="60">
        <v>116</v>
      </c>
      <c r="EF30" s="60">
        <v>103.5</v>
      </c>
      <c r="EG30" s="60">
        <v>100.5</v>
      </c>
      <c r="EH30" s="78"/>
      <c r="EI30" s="60">
        <v>38.5</v>
      </c>
      <c r="EJ30" s="89">
        <v>931.4</v>
      </c>
      <c r="EK30" s="89">
        <v>216</v>
      </c>
      <c r="EL30" s="87">
        <v>3195</v>
      </c>
      <c r="EM30" s="133">
        <v>19.8</v>
      </c>
      <c r="EN30" s="142" t="s">
        <v>1094</v>
      </c>
      <c r="EO30" s="78"/>
      <c r="EP30" s="133" t="s">
        <v>1095</v>
      </c>
      <c r="EQ30" s="134">
        <v>7672</v>
      </c>
      <c r="ER30" s="60">
        <v>38198</v>
      </c>
      <c r="ES30" s="60">
        <v>154527</v>
      </c>
      <c r="ET30" s="110" t="s">
        <v>2309</v>
      </c>
      <c r="EU30" s="110" t="s">
        <v>2310</v>
      </c>
      <c r="EV30" s="78"/>
      <c r="EW30" s="135">
        <v>87.6</v>
      </c>
      <c r="EX30" s="136">
        <v>40</v>
      </c>
      <c r="EY30" s="137"/>
      <c r="EZ30" s="136">
        <v>1934</v>
      </c>
      <c r="FA30" s="109">
        <v>28.9</v>
      </c>
      <c r="FB30" s="78"/>
      <c r="FC30" s="137"/>
      <c r="FD30" s="137"/>
      <c r="FE30" s="70">
        <v>915</v>
      </c>
      <c r="FF30" s="137"/>
      <c r="FG30" s="137"/>
      <c r="FH30" s="70">
        <v>616</v>
      </c>
      <c r="FI30" s="70">
        <v>1274</v>
      </c>
      <c r="FJ30" s="137"/>
      <c r="FK30" s="70"/>
      <c r="FL30" s="90" t="s">
        <v>1096</v>
      </c>
      <c r="FM30" s="90" t="s">
        <v>1097</v>
      </c>
      <c r="FN30" s="90" t="s">
        <v>1098</v>
      </c>
    </row>
    <row r="31" spans="1:170" ht="15.6">
      <c r="A31" s="2">
        <v>49</v>
      </c>
      <c r="B31" s="52" t="s">
        <v>299</v>
      </c>
      <c r="D31" s="63">
        <v>62.03</v>
      </c>
      <c r="E31" s="63">
        <v>36.619999999999997</v>
      </c>
      <c r="F31" s="60">
        <v>0</v>
      </c>
      <c r="G31" s="60">
        <v>0</v>
      </c>
      <c r="H31" s="112"/>
      <c r="I31" s="112"/>
      <c r="J31" s="60">
        <v>82</v>
      </c>
      <c r="K31" s="112"/>
      <c r="L31" s="112"/>
      <c r="M31" s="93" t="s">
        <v>1099</v>
      </c>
      <c r="N31" s="76" t="s">
        <v>592</v>
      </c>
      <c r="O31" s="76" t="s">
        <v>489</v>
      </c>
      <c r="Q31" s="101">
        <v>9.9499999999999993</v>
      </c>
      <c r="R31" s="102">
        <v>85.16</v>
      </c>
      <c r="S31" s="101">
        <v>62.99</v>
      </c>
      <c r="T31" s="113">
        <v>59.03</v>
      </c>
      <c r="V31" s="66">
        <v>462500</v>
      </c>
      <c r="X31" s="114">
        <v>7.6</v>
      </c>
      <c r="Y31" s="114">
        <v>2115.3000000000002</v>
      </c>
      <c r="Z31" s="71">
        <v>1071</v>
      </c>
      <c r="AA31" s="80">
        <v>18.3</v>
      </c>
      <c r="AB31" s="80">
        <v>60</v>
      </c>
      <c r="AC31" s="58">
        <v>19.100000000000001</v>
      </c>
      <c r="AD31" s="84">
        <v>69.3</v>
      </c>
      <c r="AE31" s="84">
        <v>63.57</v>
      </c>
      <c r="AF31" s="60">
        <v>75.33</v>
      </c>
      <c r="AG31" s="60">
        <v>1620</v>
      </c>
      <c r="AH31" s="60">
        <f t="shared" si="0"/>
        <v>1.62</v>
      </c>
      <c r="AI31" s="71">
        <v>649.2299999999999</v>
      </c>
      <c r="AJ31" s="115">
        <v>1.4402600000000001</v>
      </c>
      <c r="AK31" s="70">
        <v>741</v>
      </c>
      <c r="AL31" s="146" t="s">
        <v>23</v>
      </c>
      <c r="AM31" s="147" t="s">
        <v>23</v>
      </c>
      <c r="AO31" s="116">
        <v>69.5</v>
      </c>
      <c r="AP31" s="71">
        <v>111157</v>
      </c>
      <c r="AQ31" s="117" t="s">
        <v>2210</v>
      </c>
      <c r="AR31" s="100">
        <v>80.599999999999994</v>
      </c>
      <c r="AS31" s="81">
        <v>0.2</v>
      </c>
      <c r="AT31" s="118">
        <v>3</v>
      </c>
      <c r="AU31" s="106">
        <v>29.2</v>
      </c>
      <c r="AV31" s="71">
        <v>51.7</v>
      </c>
      <c r="AX31" s="119"/>
      <c r="AY31" s="112"/>
      <c r="AZ31" s="82" t="s">
        <v>1100</v>
      </c>
      <c r="BA31" s="79" t="s">
        <v>1101</v>
      </c>
      <c r="BB31" s="79" t="s">
        <v>1102</v>
      </c>
      <c r="BD31" s="78">
        <v>101.7</v>
      </c>
      <c r="BE31" s="120">
        <v>101.3</v>
      </c>
      <c r="BF31" s="64" t="s">
        <v>1103</v>
      </c>
      <c r="BG31" s="60">
        <v>104.4</v>
      </c>
      <c r="BH31" s="68">
        <v>134646</v>
      </c>
      <c r="BI31" s="121"/>
      <c r="BJ31" s="112"/>
      <c r="BK31" s="122">
        <v>6.6</v>
      </c>
      <c r="BL31" s="123">
        <v>52668</v>
      </c>
      <c r="BM31" s="115" t="s">
        <v>1104</v>
      </c>
      <c r="BN31" s="115" t="s">
        <v>1105</v>
      </c>
      <c r="BP31" s="115">
        <v>1.2E-2</v>
      </c>
      <c r="BQ31" s="84">
        <v>6.0000000000000001E-3</v>
      </c>
      <c r="BR31" s="85" t="s">
        <v>1106</v>
      </c>
      <c r="BS31" s="85" t="s">
        <v>1107</v>
      </c>
      <c r="BT31" s="115">
        <v>30.6</v>
      </c>
      <c r="BU31" s="124">
        <v>40.6</v>
      </c>
      <c r="BV31" s="125">
        <v>2523</v>
      </c>
      <c r="BW31" s="80">
        <v>21</v>
      </c>
      <c r="BX31" s="80">
        <v>5</v>
      </c>
      <c r="BY31" s="78">
        <v>90.1</v>
      </c>
      <c r="BZ31" s="115">
        <v>95.02</v>
      </c>
      <c r="CA31" s="115">
        <v>87.16</v>
      </c>
      <c r="CB31" s="112"/>
      <c r="CC31" s="112"/>
      <c r="CE31" s="70">
        <v>15.9</v>
      </c>
      <c r="CF31" s="70">
        <v>1</v>
      </c>
      <c r="CG31" s="69">
        <v>179</v>
      </c>
      <c r="CH31" s="69">
        <v>179</v>
      </c>
      <c r="CI31" s="69">
        <v>0.4</v>
      </c>
      <c r="CJ31" s="126">
        <v>102.76</v>
      </c>
      <c r="CK31" s="60">
        <v>102.8</v>
      </c>
      <c r="CL31" s="127">
        <v>62.75</v>
      </c>
      <c r="CM31" s="127">
        <v>751.7</v>
      </c>
      <c r="CN31" s="107">
        <v>4.5</v>
      </c>
      <c r="CO31" s="58">
        <v>716.8</v>
      </c>
      <c r="CQ31" s="108" t="s">
        <v>2311</v>
      </c>
      <c r="CR31" s="78">
        <v>73</v>
      </c>
      <c r="CS31" s="78">
        <v>244.8</v>
      </c>
      <c r="CT31" s="78">
        <v>106</v>
      </c>
      <c r="CU31" s="128" t="s">
        <v>1108</v>
      </c>
      <c r="CV31" s="128">
        <v>109.2</v>
      </c>
      <c r="CW31" s="128" t="s">
        <v>1109</v>
      </c>
      <c r="CX31" s="60" t="s">
        <v>1110</v>
      </c>
      <c r="CY31" s="60">
        <v>37.5</v>
      </c>
      <c r="CZ31" s="112" t="s">
        <v>361</v>
      </c>
      <c r="DA31" s="129">
        <v>364221</v>
      </c>
      <c r="DB31" s="129">
        <v>16213</v>
      </c>
      <c r="DC31" s="70">
        <v>187.7</v>
      </c>
      <c r="DD31" s="60" t="s">
        <v>1111</v>
      </c>
      <c r="DE31" s="60" t="s">
        <v>1112</v>
      </c>
      <c r="DF31" s="60" t="s">
        <v>1113</v>
      </c>
      <c r="DG31" s="60" t="s">
        <v>1114</v>
      </c>
      <c r="DI31" s="70">
        <v>5.6</v>
      </c>
      <c r="DJ31" s="70">
        <v>111</v>
      </c>
      <c r="DK31" s="130">
        <v>132.19999999999999</v>
      </c>
      <c r="DM31" s="80">
        <v>350</v>
      </c>
      <c r="DN31" s="80">
        <v>196</v>
      </c>
      <c r="DO31" s="70">
        <v>313</v>
      </c>
      <c r="DP31" s="131">
        <v>99.7</v>
      </c>
      <c r="DQ31" s="132">
        <v>0.3</v>
      </c>
      <c r="DR31" s="60">
        <v>1.6</v>
      </c>
      <c r="DS31" s="78"/>
      <c r="DT31" s="90">
        <v>42</v>
      </c>
      <c r="DU31" s="60">
        <v>74</v>
      </c>
      <c r="DV31" s="70">
        <v>14</v>
      </c>
      <c r="DW31" s="69" t="s">
        <v>1115</v>
      </c>
      <c r="DX31" s="78"/>
      <c r="DY31" s="70">
        <v>107.8</v>
      </c>
      <c r="DZ31" s="70">
        <v>106.2</v>
      </c>
      <c r="EA31" s="70">
        <v>105.1</v>
      </c>
      <c r="EB31" s="70">
        <v>106.8</v>
      </c>
      <c r="EC31" s="86" t="s">
        <v>1106</v>
      </c>
      <c r="ED31" s="60" t="s">
        <v>1107</v>
      </c>
      <c r="EE31" s="60">
        <v>135.6</v>
      </c>
      <c r="EF31" s="60">
        <v>106</v>
      </c>
      <c r="EG31" s="60">
        <v>103</v>
      </c>
      <c r="EH31" s="78"/>
      <c r="EI31" s="60">
        <v>22.3</v>
      </c>
      <c r="EJ31" s="89">
        <v>912.5</v>
      </c>
      <c r="EK31" s="89">
        <v>153</v>
      </c>
      <c r="EL31" s="87">
        <v>442</v>
      </c>
      <c r="EM31" s="133">
        <v>16.7</v>
      </c>
      <c r="EN31" s="133">
        <v>475.9</v>
      </c>
      <c r="EO31" s="78"/>
      <c r="EP31" s="133" t="s">
        <v>1116</v>
      </c>
      <c r="EQ31" s="134">
        <v>7964</v>
      </c>
      <c r="ER31" s="60">
        <v>10413</v>
      </c>
      <c r="ES31" s="60">
        <v>44697</v>
      </c>
      <c r="ET31" s="110" t="s">
        <v>2312</v>
      </c>
      <c r="EU31" s="110" t="s">
        <v>401</v>
      </c>
      <c r="EV31" s="78"/>
      <c r="EW31" s="135">
        <v>93.5</v>
      </c>
      <c r="EX31" s="136">
        <v>46.4</v>
      </c>
      <c r="EY31" s="137"/>
      <c r="EZ31" s="136">
        <v>1871.1</v>
      </c>
      <c r="FA31" s="109">
        <v>24.5</v>
      </c>
      <c r="FB31" s="78"/>
      <c r="FC31" s="137"/>
      <c r="FD31" s="137"/>
      <c r="FE31" s="70">
        <v>160</v>
      </c>
      <c r="FF31" s="137"/>
      <c r="FG31" s="137"/>
      <c r="FH31" s="70">
        <v>150</v>
      </c>
      <c r="FI31" s="70">
        <v>357</v>
      </c>
      <c r="FJ31" s="137"/>
      <c r="FK31" s="70"/>
      <c r="FL31" s="90" t="s">
        <v>1117</v>
      </c>
      <c r="FM31" s="90" t="s">
        <v>1118</v>
      </c>
      <c r="FN31" s="90">
        <v>-412</v>
      </c>
    </row>
    <row r="32" spans="1:170" ht="15.6">
      <c r="A32" s="2">
        <v>50</v>
      </c>
      <c r="B32" s="52" t="s">
        <v>300</v>
      </c>
      <c r="D32" s="65">
        <v>78.959999999999994</v>
      </c>
      <c r="E32" s="63">
        <v>20.12</v>
      </c>
      <c r="F32" s="60">
        <v>0</v>
      </c>
      <c r="G32" s="60">
        <v>0</v>
      </c>
      <c r="H32" s="112"/>
      <c r="I32" s="112"/>
      <c r="J32" s="60">
        <v>3</v>
      </c>
      <c r="K32" s="112"/>
      <c r="L32" s="112"/>
      <c r="M32" s="93" t="s">
        <v>428</v>
      </c>
      <c r="N32" s="76" t="s">
        <v>592</v>
      </c>
      <c r="O32" s="76" t="s">
        <v>489</v>
      </c>
      <c r="Q32" s="101">
        <v>9.9499999999999993</v>
      </c>
      <c r="R32" s="102">
        <v>85.16</v>
      </c>
      <c r="S32" s="101">
        <v>62.99</v>
      </c>
      <c r="T32" s="113">
        <v>54.01</v>
      </c>
      <c r="V32" s="66">
        <v>44300</v>
      </c>
      <c r="X32" s="114">
        <v>6.4</v>
      </c>
      <c r="Y32" s="114">
        <v>2115.3000000000002</v>
      </c>
      <c r="Z32" s="71">
        <v>1105</v>
      </c>
      <c r="AA32" s="80">
        <v>18.5</v>
      </c>
      <c r="AB32" s="80">
        <v>57.3</v>
      </c>
      <c r="AC32" s="58">
        <v>21.9</v>
      </c>
      <c r="AD32" s="84">
        <v>74.489999999999995</v>
      </c>
      <c r="AE32" s="84">
        <v>70.31</v>
      </c>
      <c r="AF32" s="60">
        <v>78.75</v>
      </c>
      <c r="AG32" s="60">
        <v>94452</v>
      </c>
      <c r="AH32" s="60">
        <f t="shared" si="0"/>
        <v>94.451999999999998</v>
      </c>
      <c r="AI32" s="71">
        <v>451.91499999999996</v>
      </c>
      <c r="AJ32" s="70">
        <v>1.3520000000000001</v>
      </c>
      <c r="AK32" s="70">
        <v>700</v>
      </c>
      <c r="AL32" s="146" t="s">
        <v>23</v>
      </c>
      <c r="AM32" s="147" t="s">
        <v>23</v>
      </c>
      <c r="AO32" s="116">
        <v>65.099999999999994</v>
      </c>
      <c r="AP32" s="71">
        <v>64870</v>
      </c>
      <c r="AQ32" s="117" t="s">
        <v>2230</v>
      </c>
      <c r="AR32" s="100">
        <v>62.2</v>
      </c>
      <c r="AS32" s="81">
        <v>0.1</v>
      </c>
      <c r="AT32" s="118">
        <v>2.4</v>
      </c>
      <c r="AU32" s="106">
        <v>32</v>
      </c>
      <c r="AV32" s="71">
        <v>42.4</v>
      </c>
      <c r="AX32" s="119"/>
      <c r="AY32" s="112"/>
      <c r="AZ32" s="82" t="s">
        <v>1119</v>
      </c>
      <c r="BA32" s="79" t="s">
        <v>1120</v>
      </c>
      <c r="BB32" s="79" t="s">
        <v>1121</v>
      </c>
      <c r="BD32" s="78">
        <v>108.8</v>
      </c>
      <c r="BE32" s="120">
        <v>100.2</v>
      </c>
      <c r="BF32" s="64" t="s">
        <v>1122</v>
      </c>
      <c r="BG32" s="60">
        <v>109.3</v>
      </c>
      <c r="BH32" s="68">
        <v>83195</v>
      </c>
      <c r="BI32" s="121"/>
      <c r="BJ32" s="112"/>
      <c r="BK32" s="122">
        <v>5.5</v>
      </c>
      <c r="BL32" s="123">
        <v>50139</v>
      </c>
      <c r="BM32" s="115" t="s">
        <v>1123</v>
      </c>
      <c r="BN32" s="115" t="s">
        <v>1124</v>
      </c>
      <c r="BP32" s="115">
        <v>12.486000000000001</v>
      </c>
      <c r="BQ32" s="84">
        <v>4.8070000000000004</v>
      </c>
      <c r="BR32" s="85" t="s">
        <v>1125</v>
      </c>
      <c r="BS32" s="85" t="s">
        <v>1126</v>
      </c>
      <c r="BT32" s="115">
        <v>34</v>
      </c>
      <c r="BU32" s="124">
        <v>32.299999999999997</v>
      </c>
      <c r="BV32" s="125">
        <v>1778</v>
      </c>
      <c r="BW32" s="80" t="s">
        <v>1127</v>
      </c>
      <c r="BX32" s="80">
        <v>38</v>
      </c>
      <c r="BY32" s="78">
        <v>91.5</v>
      </c>
      <c r="BZ32" s="115">
        <v>91.75</v>
      </c>
      <c r="CA32" s="115">
        <v>85.39</v>
      </c>
      <c r="CB32" s="112"/>
      <c r="CC32" s="112"/>
      <c r="CE32" s="70">
        <v>1074.5</v>
      </c>
      <c r="CF32" s="70">
        <v>53.4</v>
      </c>
      <c r="CG32" s="69">
        <v>84</v>
      </c>
      <c r="CH32" s="69">
        <v>73</v>
      </c>
      <c r="CI32" s="69">
        <v>13.2</v>
      </c>
      <c r="CJ32" s="126">
        <v>156.15</v>
      </c>
      <c r="CK32" s="60">
        <v>156.1</v>
      </c>
      <c r="CL32" s="127">
        <v>44.7</v>
      </c>
      <c r="CM32" s="127">
        <v>436.4</v>
      </c>
      <c r="CN32" s="107">
        <v>3.5</v>
      </c>
      <c r="CO32" s="58">
        <v>701</v>
      </c>
      <c r="CQ32" s="108" t="s">
        <v>2313</v>
      </c>
      <c r="CR32" s="78">
        <v>23.3</v>
      </c>
      <c r="CS32" s="78" t="s">
        <v>1128</v>
      </c>
      <c r="CT32" s="78">
        <v>103.1</v>
      </c>
      <c r="CU32" s="128" t="s">
        <v>1129</v>
      </c>
      <c r="CV32" s="128">
        <v>106.2</v>
      </c>
      <c r="CW32" s="128" t="s">
        <v>1130</v>
      </c>
      <c r="CX32" s="60" t="s">
        <v>1131</v>
      </c>
      <c r="CY32" s="60">
        <v>26.2</v>
      </c>
      <c r="CZ32" s="60" t="s">
        <v>481</v>
      </c>
      <c r="DA32" s="129">
        <v>443537</v>
      </c>
      <c r="DB32" s="129">
        <v>844215</v>
      </c>
      <c r="DC32" s="70">
        <v>9044.1</v>
      </c>
      <c r="DD32" s="86" t="s">
        <v>1132</v>
      </c>
      <c r="DE32" s="60" t="s">
        <v>1133</v>
      </c>
      <c r="DF32" s="60" t="s">
        <v>1134</v>
      </c>
      <c r="DG32" s="60" t="s">
        <v>1135</v>
      </c>
      <c r="DI32" s="70">
        <v>849</v>
      </c>
      <c r="DJ32" s="70">
        <v>105</v>
      </c>
      <c r="DK32" s="130">
        <v>45.9</v>
      </c>
      <c r="DM32" s="80">
        <v>104</v>
      </c>
      <c r="DN32" s="80">
        <v>851</v>
      </c>
      <c r="DO32" s="70">
        <v>8046</v>
      </c>
      <c r="DP32" s="131">
        <v>99.6</v>
      </c>
      <c r="DQ32" s="132">
        <v>177.9</v>
      </c>
      <c r="DR32" s="60">
        <v>235.4</v>
      </c>
      <c r="DS32" s="78"/>
      <c r="DT32" s="90">
        <v>151</v>
      </c>
      <c r="DU32" s="60" t="s">
        <v>425</v>
      </c>
      <c r="DV32" s="70">
        <v>806</v>
      </c>
      <c r="DW32" s="70">
        <v>106.4</v>
      </c>
      <c r="DX32" s="78"/>
      <c r="DY32" s="70">
        <v>101.7</v>
      </c>
      <c r="DZ32" s="70">
        <v>106.6</v>
      </c>
      <c r="EA32" s="70">
        <v>108.1</v>
      </c>
      <c r="EB32" s="70">
        <v>106</v>
      </c>
      <c r="EC32" s="86" t="s">
        <v>1125</v>
      </c>
      <c r="ED32" s="60" t="s">
        <v>1126</v>
      </c>
      <c r="EE32" s="60">
        <v>105.6</v>
      </c>
      <c r="EF32" s="60">
        <v>103.1</v>
      </c>
      <c r="EG32" s="60">
        <v>100.6</v>
      </c>
      <c r="EH32" s="78"/>
      <c r="EI32" s="60">
        <v>40.1</v>
      </c>
      <c r="EJ32" s="89">
        <v>202367.1</v>
      </c>
      <c r="EK32" s="89">
        <v>7047</v>
      </c>
      <c r="EL32" s="141">
        <v>18528</v>
      </c>
      <c r="EM32" s="133">
        <v>23.3</v>
      </c>
      <c r="EN32" s="142" t="s">
        <v>1136</v>
      </c>
      <c r="EO32" s="78"/>
      <c r="EP32" s="133" t="s">
        <v>1137</v>
      </c>
      <c r="EQ32" s="134">
        <v>182065</v>
      </c>
      <c r="ER32" s="60">
        <v>580929</v>
      </c>
      <c r="ES32" s="60">
        <v>2224980</v>
      </c>
      <c r="ET32" s="110" t="s">
        <v>2314</v>
      </c>
      <c r="EU32" s="110" t="s">
        <v>2315</v>
      </c>
      <c r="EV32" s="78"/>
      <c r="EW32" s="135">
        <v>89.2</v>
      </c>
      <c r="EX32" s="136">
        <v>45.5</v>
      </c>
      <c r="EY32" s="137"/>
      <c r="EZ32" s="136" t="s">
        <v>303</v>
      </c>
      <c r="FA32" s="109">
        <v>24.4</v>
      </c>
      <c r="FB32" s="78"/>
      <c r="FC32" s="137"/>
      <c r="FD32" s="137"/>
      <c r="FE32" s="70">
        <v>3736</v>
      </c>
      <c r="FF32" s="137"/>
      <c r="FG32" s="137"/>
      <c r="FH32" s="70">
        <v>4891</v>
      </c>
      <c r="FI32" s="70">
        <v>5394</v>
      </c>
      <c r="FJ32" s="137"/>
      <c r="FK32" s="70"/>
      <c r="FL32" s="90" t="s">
        <v>1138</v>
      </c>
      <c r="FM32" s="90" t="s">
        <v>1139</v>
      </c>
      <c r="FN32" s="90" t="s">
        <v>1140</v>
      </c>
    </row>
    <row r="33" spans="1:170" ht="15.6">
      <c r="A33" s="2">
        <v>51</v>
      </c>
      <c r="B33" s="52" t="s">
        <v>301</v>
      </c>
      <c r="D33" s="63">
        <v>62.54</v>
      </c>
      <c r="E33" s="63">
        <v>36.33</v>
      </c>
      <c r="F33" s="60">
        <v>0</v>
      </c>
      <c r="G33" s="60">
        <v>0</v>
      </c>
      <c r="H33" s="112"/>
      <c r="I33" s="112"/>
      <c r="J33" s="60">
        <v>71</v>
      </c>
      <c r="K33" s="112"/>
      <c r="L33" s="112"/>
      <c r="M33" s="93" t="s">
        <v>1141</v>
      </c>
      <c r="N33" s="76" t="s">
        <v>592</v>
      </c>
      <c r="O33" s="76" t="s">
        <v>489</v>
      </c>
      <c r="Q33" s="101">
        <v>9.9499999999999993</v>
      </c>
      <c r="R33" s="102">
        <v>85.16</v>
      </c>
      <c r="S33" s="101">
        <v>62.99</v>
      </c>
      <c r="T33" s="113">
        <v>56.01</v>
      </c>
      <c r="V33" s="66">
        <v>144900</v>
      </c>
      <c r="X33" s="114">
        <v>7.7</v>
      </c>
      <c r="Y33" s="114">
        <v>2115.3000000000002</v>
      </c>
      <c r="Z33" s="71">
        <v>1122</v>
      </c>
      <c r="AA33" s="80">
        <v>19</v>
      </c>
      <c r="AB33" s="80">
        <v>58</v>
      </c>
      <c r="AC33" s="58">
        <v>20.6</v>
      </c>
      <c r="AD33" s="84">
        <v>70.44</v>
      </c>
      <c r="AE33" s="84">
        <v>64.52</v>
      </c>
      <c r="AF33" s="60">
        <v>76.27</v>
      </c>
      <c r="AG33" s="60">
        <v>8391</v>
      </c>
      <c r="AH33" s="60">
        <f t="shared" si="0"/>
        <v>8.391</v>
      </c>
      <c r="AI33" s="71">
        <v>590.42499999999995</v>
      </c>
      <c r="AJ33" s="70">
        <v>1.4510000000000001</v>
      </c>
      <c r="AK33" s="70">
        <v>730</v>
      </c>
      <c r="AL33" s="90">
        <v>10</v>
      </c>
      <c r="AM33" s="77">
        <v>9</v>
      </c>
      <c r="AO33" s="116">
        <v>62.6</v>
      </c>
      <c r="AP33" s="71">
        <v>75786</v>
      </c>
      <c r="AQ33" s="117" t="s">
        <v>2210</v>
      </c>
      <c r="AR33" s="100">
        <v>66.8</v>
      </c>
      <c r="AS33" s="81">
        <v>0.1</v>
      </c>
      <c r="AT33" s="118">
        <v>3.1</v>
      </c>
      <c r="AU33" s="106">
        <v>23.6</v>
      </c>
      <c r="AV33" s="71">
        <v>42</v>
      </c>
      <c r="AX33" s="119"/>
      <c r="AY33" s="112"/>
      <c r="AZ33" s="82" t="s">
        <v>1142</v>
      </c>
      <c r="BA33" s="79" t="s">
        <v>1143</v>
      </c>
      <c r="BB33" s="79" t="s">
        <v>1144</v>
      </c>
      <c r="BD33" s="78">
        <v>107.3</v>
      </c>
      <c r="BE33" s="120">
        <v>99.1</v>
      </c>
      <c r="BF33" s="64" t="s">
        <v>1145</v>
      </c>
      <c r="BG33" s="60">
        <v>106</v>
      </c>
      <c r="BH33" s="68">
        <v>98818</v>
      </c>
      <c r="BI33" s="121"/>
      <c r="BJ33" s="112"/>
      <c r="BK33" s="122">
        <v>6.7</v>
      </c>
      <c r="BL33" s="123">
        <v>51217</v>
      </c>
      <c r="BM33" s="115" t="s">
        <v>1146</v>
      </c>
      <c r="BN33" s="115" t="s">
        <v>1147</v>
      </c>
      <c r="BP33" s="115">
        <v>6.0999999999999999E-2</v>
      </c>
      <c r="BQ33" s="84">
        <v>5.0000000000000001E-3</v>
      </c>
      <c r="BR33" s="152"/>
      <c r="BS33" s="85" t="s">
        <v>1148</v>
      </c>
      <c r="BT33" s="115">
        <v>28.9</v>
      </c>
      <c r="BU33" s="124">
        <v>31.8</v>
      </c>
      <c r="BV33" s="125">
        <v>2533</v>
      </c>
      <c r="BW33" s="80">
        <v>157</v>
      </c>
      <c r="BX33" s="80">
        <v>11</v>
      </c>
      <c r="BY33" s="78">
        <v>95.5</v>
      </c>
      <c r="BZ33" s="115">
        <v>95.53</v>
      </c>
      <c r="CA33" s="115">
        <v>94.02</v>
      </c>
      <c r="CB33" s="112"/>
      <c r="CC33" s="112"/>
      <c r="CE33" s="70">
        <v>82.7</v>
      </c>
      <c r="CF33" s="70">
        <v>4.9000000000000004</v>
      </c>
      <c r="CG33" s="69">
        <v>114</v>
      </c>
      <c r="CH33" s="69">
        <v>106</v>
      </c>
      <c r="CI33" s="69">
        <v>1</v>
      </c>
      <c r="CJ33" s="126">
        <v>97.29</v>
      </c>
      <c r="CK33" s="60">
        <v>97.3</v>
      </c>
      <c r="CL33" s="127">
        <v>56.58</v>
      </c>
      <c r="CM33" s="127">
        <v>674.3</v>
      </c>
      <c r="CN33" s="107">
        <v>4.7</v>
      </c>
      <c r="CO33" s="58">
        <v>922.7</v>
      </c>
      <c r="CQ33" s="108" t="s">
        <v>2316</v>
      </c>
      <c r="CR33" s="78">
        <v>213.6</v>
      </c>
      <c r="CS33" s="78">
        <v>845.4</v>
      </c>
      <c r="CT33" s="78">
        <v>106.1</v>
      </c>
      <c r="CU33" s="128" t="s">
        <v>1149</v>
      </c>
      <c r="CV33" s="128">
        <v>91</v>
      </c>
      <c r="CW33" s="128" t="s">
        <v>1150</v>
      </c>
      <c r="CX33" s="60" t="s">
        <v>1151</v>
      </c>
      <c r="CY33" s="60">
        <v>34.799999999999997</v>
      </c>
      <c r="CZ33" s="112" t="s">
        <v>361</v>
      </c>
      <c r="DA33" s="129">
        <v>357875</v>
      </c>
      <c r="DB33" s="129">
        <v>82647</v>
      </c>
      <c r="DC33" s="70">
        <v>817.9</v>
      </c>
      <c r="DD33" s="86" t="s">
        <v>1152</v>
      </c>
      <c r="DE33" s="60" t="s">
        <v>1153</v>
      </c>
      <c r="DF33" s="60" t="s">
        <v>1154</v>
      </c>
      <c r="DG33" s="60" t="s">
        <v>1155</v>
      </c>
      <c r="DI33" s="70">
        <v>24</v>
      </c>
      <c r="DJ33" s="70">
        <v>119</v>
      </c>
      <c r="DK33" s="130">
        <v>96</v>
      </c>
      <c r="DM33" s="80">
        <v>214</v>
      </c>
      <c r="DN33" s="80">
        <v>540</v>
      </c>
      <c r="DO33" s="70">
        <v>1143</v>
      </c>
      <c r="DP33" s="131">
        <v>99.4</v>
      </c>
      <c r="DQ33" s="132">
        <v>21.3</v>
      </c>
      <c r="DR33" s="60">
        <v>17.5</v>
      </c>
      <c r="DS33" s="78"/>
      <c r="DT33" s="90">
        <v>147</v>
      </c>
      <c r="DU33" s="60" t="s">
        <v>1156</v>
      </c>
      <c r="DV33" s="70">
        <v>124</v>
      </c>
      <c r="DW33" s="70">
        <v>104.4</v>
      </c>
      <c r="DX33" s="78"/>
      <c r="DY33" s="70">
        <v>106.6</v>
      </c>
      <c r="DZ33" s="70">
        <v>105.5</v>
      </c>
      <c r="EA33" s="70">
        <v>112.8</v>
      </c>
      <c r="EB33" s="70">
        <v>104.4</v>
      </c>
      <c r="EC33" s="86" t="s">
        <v>2317</v>
      </c>
      <c r="ED33" s="60" t="s">
        <v>1148</v>
      </c>
      <c r="EE33" s="60">
        <v>107.5</v>
      </c>
      <c r="EF33" s="60">
        <v>106.1</v>
      </c>
      <c r="EG33" s="60">
        <v>101.2</v>
      </c>
      <c r="EH33" s="78"/>
      <c r="EI33" s="60">
        <v>33.1</v>
      </c>
      <c r="EJ33" s="89">
        <v>3762.2</v>
      </c>
      <c r="EK33" s="89">
        <v>398</v>
      </c>
      <c r="EL33" s="141">
        <v>1678</v>
      </c>
      <c r="EM33" s="133">
        <v>16.399999999999999</v>
      </c>
      <c r="EN33" s="142" t="s">
        <v>1157</v>
      </c>
      <c r="EO33" s="78"/>
      <c r="EP33" s="133" t="s">
        <v>1158</v>
      </c>
      <c r="EQ33" s="134">
        <v>12168</v>
      </c>
      <c r="ER33" s="60">
        <v>37911</v>
      </c>
      <c r="ES33" s="60">
        <v>165353</v>
      </c>
      <c r="ET33" s="110" t="s">
        <v>2318</v>
      </c>
      <c r="EU33" s="110" t="s">
        <v>2319</v>
      </c>
      <c r="EV33" s="78"/>
      <c r="EW33" s="135">
        <v>88.9</v>
      </c>
      <c r="EX33" s="136">
        <v>39.799999999999997</v>
      </c>
      <c r="EY33" s="137"/>
      <c r="EZ33" s="136">
        <v>2198.6</v>
      </c>
      <c r="FA33" s="109">
        <v>36</v>
      </c>
      <c r="FB33" s="78"/>
      <c r="FC33" s="137"/>
      <c r="FD33" s="137"/>
      <c r="FE33" s="70">
        <v>326</v>
      </c>
      <c r="FF33" s="137"/>
      <c r="FG33" s="137"/>
      <c r="FH33" s="70">
        <v>640</v>
      </c>
      <c r="FI33" s="70">
        <v>1043</v>
      </c>
      <c r="FJ33" s="137"/>
      <c r="FK33" s="70"/>
      <c r="FL33" s="90" t="s">
        <v>1159</v>
      </c>
      <c r="FM33" s="90" t="s">
        <v>1160</v>
      </c>
      <c r="FN33" s="90">
        <v>664</v>
      </c>
    </row>
    <row r="34" spans="1:170" ht="15.6">
      <c r="A34" s="2">
        <v>83</v>
      </c>
      <c r="B34" s="52" t="s">
        <v>302</v>
      </c>
      <c r="D34" s="63">
        <v>44.42</v>
      </c>
      <c r="E34" s="63">
        <v>54.57</v>
      </c>
      <c r="F34" s="60">
        <v>0</v>
      </c>
      <c r="G34" s="60">
        <v>0</v>
      </c>
      <c r="H34" s="112"/>
      <c r="I34" s="112"/>
      <c r="J34" s="60">
        <v>84</v>
      </c>
      <c r="K34" s="112"/>
      <c r="L34" s="112"/>
      <c r="M34" s="93" t="s">
        <v>489</v>
      </c>
      <c r="N34" s="76" t="s">
        <v>592</v>
      </c>
      <c r="O34" s="76" t="s">
        <v>489</v>
      </c>
      <c r="Q34" s="101">
        <v>9.9499999999999993</v>
      </c>
      <c r="R34" s="102">
        <v>85.16</v>
      </c>
      <c r="S34" s="101">
        <v>62.99</v>
      </c>
      <c r="T34" s="113">
        <v>52.28</v>
      </c>
      <c r="V34" s="66">
        <v>176800</v>
      </c>
      <c r="X34" s="114">
        <v>6</v>
      </c>
      <c r="Y34" s="114">
        <v>2115.3000000000002</v>
      </c>
      <c r="Z34" s="71">
        <v>1105</v>
      </c>
      <c r="AA34" s="80">
        <v>22</v>
      </c>
      <c r="AB34" s="80">
        <v>57.3</v>
      </c>
      <c r="AC34" s="58">
        <v>17.8</v>
      </c>
      <c r="AD34" s="84">
        <v>70.67</v>
      </c>
      <c r="AE34" s="84">
        <v>64.02</v>
      </c>
      <c r="AF34" s="60">
        <v>78.209999999999994</v>
      </c>
      <c r="AG34" s="60">
        <v>436</v>
      </c>
      <c r="AH34" s="60">
        <f t="shared" si="0"/>
        <v>0.436</v>
      </c>
      <c r="AI34" s="71">
        <v>563.44500000000005</v>
      </c>
      <c r="AJ34" s="115">
        <v>1.8917299999999999</v>
      </c>
      <c r="AK34" s="70">
        <v>700</v>
      </c>
      <c r="AL34" s="90">
        <v>1</v>
      </c>
      <c r="AM34" s="77">
        <v>18</v>
      </c>
      <c r="AO34" s="116">
        <v>67.400000000000006</v>
      </c>
      <c r="AP34" s="71">
        <v>128204</v>
      </c>
      <c r="AQ34" s="117" t="s">
        <v>2320</v>
      </c>
      <c r="AR34" s="100">
        <v>81.3</v>
      </c>
      <c r="AS34" s="81">
        <v>0.4</v>
      </c>
      <c r="AT34" s="118">
        <v>7.1</v>
      </c>
      <c r="AU34" s="106">
        <v>10.1</v>
      </c>
      <c r="AV34" s="71">
        <v>53.5</v>
      </c>
      <c r="AX34" s="119"/>
      <c r="AY34" s="112"/>
      <c r="AZ34" s="82">
        <v>665</v>
      </c>
      <c r="BA34" s="79" t="s">
        <v>1161</v>
      </c>
      <c r="BB34" s="79" t="s">
        <v>1162</v>
      </c>
      <c r="BD34" s="78">
        <v>105</v>
      </c>
      <c r="BE34" s="120">
        <v>99.7</v>
      </c>
      <c r="BF34" s="64" t="s">
        <v>1163</v>
      </c>
      <c r="BG34" s="60">
        <v>104.4</v>
      </c>
      <c r="BH34" s="68">
        <v>119386</v>
      </c>
      <c r="BI34" s="121"/>
      <c r="BJ34" s="112"/>
      <c r="BK34" s="122">
        <v>7.6</v>
      </c>
      <c r="BL34" s="123">
        <v>42804</v>
      </c>
      <c r="BM34" s="115" t="s">
        <v>1164</v>
      </c>
      <c r="BN34" s="115" t="s">
        <v>1165</v>
      </c>
      <c r="BP34" s="115">
        <v>2.1999999999999999E-2</v>
      </c>
      <c r="BQ34" s="84">
        <v>2E-3</v>
      </c>
      <c r="BR34" s="85" t="s">
        <v>1166</v>
      </c>
      <c r="BS34" s="85" t="s">
        <v>1167</v>
      </c>
      <c r="BT34" s="115">
        <v>27.4</v>
      </c>
      <c r="BU34" s="124">
        <v>28</v>
      </c>
      <c r="BV34" s="125">
        <v>3192</v>
      </c>
      <c r="BW34" s="80">
        <v>10</v>
      </c>
      <c r="BX34" s="80">
        <v>47</v>
      </c>
      <c r="BY34" s="78">
        <v>73.900000000000006</v>
      </c>
      <c r="BZ34" s="115">
        <v>96.78</v>
      </c>
      <c r="CA34" s="115">
        <v>63.29</v>
      </c>
      <c r="CB34" s="112"/>
      <c r="CC34" s="112"/>
      <c r="CE34" s="70">
        <v>6.6</v>
      </c>
      <c r="CF34" s="70">
        <v>0.5</v>
      </c>
      <c r="CG34" s="153" t="s">
        <v>23</v>
      </c>
      <c r="CH34" s="153" t="s">
        <v>23</v>
      </c>
      <c r="CI34" s="153" t="s">
        <v>23</v>
      </c>
      <c r="CJ34" s="126">
        <v>152.99</v>
      </c>
      <c r="CK34" s="60">
        <v>153</v>
      </c>
      <c r="CL34" s="127">
        <v>52.81</v>
      </c>
      <c r="CM34" s="139">
        <v>670.3</v>
      </c>
      <c r="CN34" s="107">
        <v>2.1</v>
      </c>
      <c r="CO34" s="58">
        <v>1297.7</v>
      </c>
      <c r="CQ34" s="108" t="s">
        <v>2321</v>
      </c>
      <c r="CR34" s="78">
        <v>556.1</v>
      </c>
      <c r="CS34" s="78">
        <v>2.7</v>
      </c>
      <c r="CT34" s="78">
        <v>102.8</v>
      </c>
      <c r="CU34" s="128" t="s">
        <v>1168</v>
      </c>
      <c r="CV34" s="128">
        <v>94.4</v>
      </c>
      <c r="CW34" s="128" t="s">
        <v>1169</v>
      </c>
      <c r="CX34" s="60" t="s">
        <v>364</v>
      </c>
      <c r="CY34" s="60">
        <v>45.3</v>
      </c>
      <c r="CZ34" s="60" t="s">
        <v>1170</v>
      </c>
      <c r="DA34" s="129">
        <v>306397</v>
      </c>
      <c r="DB34" s="129">
        <v>3750</v>
      </c>
      <c r="DC34" s="70">
        <v>54.1</v>
      </c>
      <c r="DD34" s="60" t="s">
        <v>1171</v>
      </c>
      <c r="DE34" s="60" t="s">
        <v>1172</v>
      </c>
      <c r="DF34" s="60" t="s">
        <v>1173</v>
      </c>
      <c r="DG34" s="60" t="s">
        <v>1174</v>
      </c>
      <c r="DI34" s="70">
        <v>1.9</v>
      </c>
      <c r="DJ34" s="70">
        <v>95</v>
      </c>
      <c r="DK34" s="130">
        <v>33.5</v>
      </c>
      <c r="DM34" s="80">
        <v>0</v>
      </c>
      <c r="DN34" s="80">
        <v>438</v>
      </c>
      <c r="DO34" s="70">
        <v>540</v>
      </c>
      <c r="DP34" s="131">
        <v>96.4</v>
      </c>
      <c r="DQ34" s="132">
        <v>0.7</v>
      </c>
      <c r="DR34" s="60">
        <v>0.9</v>
      </c>
      <c r="DS34" s="78"/>
      <c r="DT34" s="90">
        <v>67</v>
      </c>
      <c r="DU34" s="60">
        <v>20</v>
      </c>
      <c r="DV34" s="70">
        <v>0</v>
      </c>
      <c r="DW34" s="70">
        <v>112.8</v>
      </c>
      <c r="DX34" s="78"/>
      <c r="DY34" s="70">
        <v>106.2</v>
      </c>
      <c r="DZ34" s="70">
        <v>106.6</v>
      </c>
      <c r="EA34" s="70">
        <v>100</v>
      </c>
      <c r="EB34" s="70">
        <v>105.6</v>
      </c>
      <c r="EC34" s="86" t="s">
        <v>1166</v>
      </c>
      <c r="ED34" s="60" t="s">
        <v>1167</v>
      </c>
      <c r="EE34" s="60">
        <v>103.4</v>
      </c>
      <c r="EF34" s="60">
        <v>102.8</v>
      </c>
      <c r="EG34" s="60">
        <v>100</v>
      </c>
      <c r="EH34" s="78"/>
      <c r="EI34" s="60">
        <v>56</v>
      </c>
      <c r="EJ34" s="89">
        <v>36.200000000000003</v>
      </c>
      <c r="EK34" s="140"/>
      <c r="EL34" s="141">
        <v>263</v>
      </c>
      <c r="EM34" s="133">
        <v>8.1999999999999993</v>
      </c>
      <c r="EN34" s="142">
        <v>3819.4</v>
      </c>
      <c r="EO34" s="78"/>
      <c r="EP34" s="133" t="s">
        <v>1175</v>
      </c>
      <c r="EQ34" s="134">
        <v>492</v>
      </c>
      <c r="ER34" s="60">
        <v>1951</v>
      </c>
      <c r="ES34" s="60">
        <v>11357</v>
      </c>
      <c r="ET34" s="110" t="s">
        <v>2322</v>
      </c>
      <c r="EU34" s="110">
        <v>431</v>
      </c>
      <c r="EV34" s="78"/>
      <c r="EW34" s="135">
        <v>87.4</v>
      </c>
      <c r="EX34" s="136">
        <v>31.9</v>
      </c>
      <c r="EY34" s="137"/>
      <c r="EZ34" s="136" t="s">
        <v>303</v>
      </c>
      <c r="FA34" s="109">
        <v>24</v>
      </c>
      <c r="FB34" s="78"/>
      <c r="FC34" s="137"/>
      <c r="FD34" s="137"/>
      <c r="FE34" s="70">
        <v>40</v>
      </c>
      <c r="FF34" s="137"/>
      <c r="FG34" s="137"/>
      <c r="FH34" s="70">
        <v>13</v>
      </c>
      <c r="FI34" s="70">
        <v>213</v>
      </c>
      <c r="FJ34" s="137"/>
      <c r="FK34" s="70"/>
      <c r="FL34" s="90" t="s">
        <v>1176</v>
      </c>
      <c r="FM34" s="90" t="s">
        <v>1177</v>
      </c>
      <c r="FN34" s="90">
        <v>771</v>
      </c>
    </row>
    <row r="35" spans="1:170" ht="15.6">
      <c r="A35" s="2">
        <v>52</v>
      </c>
      <c r="B35" s="52" t="s">
        <v>304</v>
      </c>
      <c r="D35" s="63">
        <v>79.31</v>
      </c>
      <c r="E35" s="63">
        <v>20.16</v>
      </c>
      <c r="F35" s="60">
        <v>0</v>
      </c>
      <c r="G35" s="60">
        <v>0</v>
      </c>
      <c r="H35" s="112"/>
      <c r="I35" s="112"/>
      <c r="J35" s="60">
        <v>11</v>
      </c>
      <c r="K35" s="112"/>
      <c r="L35" s="112"/>
      <c r="M35" s="93" t="s">
        <v>591</v>
      </c>
      <c r="N35" s="76" t="s">
        <v>946</v>
      </c>
      <c r="O35" s="76" t="s">
        <v>489</v>
      </c>
      <c r="Q35" s="101">
        <v>9.9499999999999993</v>
      </c>
      <c r="R35" s="102">
        <v>85.16</v>
      </c>
      <c r="S35" s="101">
        <v>62.99</v>
      </c>
      <c r="T35" s="113">
        <v>52.34</v>
      </c>
      <c r="V35" s="66">
        <v>76600</v>
      </c>
      <c r="X35" s="114">
        <v>6.4</v>
      </c>
      <c r="Y35" s="114">
        <v>2115.3000000000002</v>
      </c>
      <c r="Z35" s="71">
        <v>1210</v>
      </c>
      <c r="AA35" s="80">
        <v>17.399999999999999</v>
      </c>
      <c r="AB35" s="80">
        <v>54</v>
      </c>
      <c r="AC35" s="58">
        <v>26</v>
      </c>
      <c r="AD35" s="84">
        <v>72.099999999999994</v>
      </c>
      <c r="AE35" s="84">
        <v>66.06</v>
      </c>
      <c r="AF35" s="60">
        <v>77.94</v>
      </c>
      <c r="AG35" s="60">
        <v>44675</v>
      </c>
      <c r="AH35" s="60">
        <f t="shared" si="0"/>
        <v>44.674999999999997</v>
      </c>
      <c r="AI35" s="71">
        <v>557.93499999999995</v>
      </c>
      <c r="AJ35" s="115">
        <v>1.32613</v>
      </c>
      <c r="AK35" s="70">
        <v>657</v>
      </c>
      <c r="AL35" s="146" t="s">
        <v>23</v>
      </c>
      <c r="AM35" s="147" t="s">
        <v>23</v>
      </c>
      <c r="AO35" s="116">
        <v>64.2</v>
      </c>
      <c r="AP35" s="71">
        <v>50601</v>
      </c>
      <c r="AQ35" s="117" t="s">
        <v>2323</v>
      </c>
      <c r="AR35" s="100">
        <v>81.2</v>
      </c>
      <c r="AS35" s="81">
        <v>0.1</v>
      </c>
      <c r="AT35" s="118">
        <v>1.8</v>
      </c>
      <c r="AU35" s="106">
        <v>19.899999999999999</v>
      </c>
      <c r="AV35" s="71">
        <v>34.200000000000003</v>
      </c>
      <c r="AX35" s="119"/>
      <c r="AY35" s="112"/>
      <c r="AZ35" s="82" t="s">
        <v>1178</v>
      </c>
      <c r="BA35" s="79" t="s">
        <v>1179</v>
      </c>
      <c r="BB35" s="79" t="s">
        <v>1180</v>
      </c>
      <c r="BD35" s="78">
        <v>104.7</v>
      </c>
      <c r="BE35" s="120">
        <v>103.2</v>
      </c>
      <c r="BF35" s="64" t="s">
        <v>1181</v>
      </c>
      <c r="BG35" s="60">
        <v>111</v>
      </c>
      <c r="BH35" s="68">
        <v>56526</v>
      </c>
      <c r="BI35" s="121"/>
      <c r="BJ35" s="112"/>
      <c r="BK35" s="122">
        <v>7.2</v>
      </c>
      <c r="BL35" s="123">
        <v>40630</v>
      </c>
      <c r="BM35" s="115" t="s">
        <v>1182</v>
      </c>
      <c r="BN35" s="115" t="s">
        <v>1183</v>
      </c>
      <c r="BP35" s="115">
        <v>1.859</v>
      </c>
      <c r="BQ35" s="84">
        <v>0.73499999999999999</v>
      </c>
      <c r="BR35" s="85" t="s">
        <v>1184</v>
      </c>
      <c r="BS35" s="85" t="s">
        <v>1185</v>
      </c>
      <c r="BT35" s="115">
        <v>30.3</v>
      </c>
      <c r="BU35" s="124">
        <v>35.1</v>
      </c>
      <c r="BV35" s="125">
        <v>1502</v>
      </c>
      <c r="BW35" s="80">
        <v>860</v>
      </c>
      <c r="BX35" s="80">
        <v>39</v>
      </c>
      <c r="BY35" s="78">
        <v>87.9</v>
      </c>
      <c r="BZ35" s="115">
        <v>90.83</v>
      </c>
      <c r="CA35" s="115">
        <v>74.64</v>
      </c>
      <c r="CB35" s="112"/>
      <c r="CC35" s="112"/>
      <c r="CE35" s="70">
        <v>359.1</v>
      </c>
      <c r="CF35" s="70">
        <v>20.3</v>
      </c>
      <c r="CG35" s="69">
        <v>290</v>
      </c>
      <c r="CH35" s="69">
        <v>286</v>
      </c>
      <c r="CI35" s="69">
        <v>15.9</v>
      </c>
      <c r="CJ35" s="126">
        <v>109.1</v>
      </c>
      <c r="CK35" s="60">
        <v>109.1</v>
      </c>
      <c r="CL35" s="127">
        <v>50.35</v>
      </c>
      <c r="CM35" s="127">
        <v>577.29999999999995</v>
      </c>
      <c r="CN35" s="107">
        <v>3.9</v>
      </c>
      <c r="CO35" s="58">
        <v>1012.6</v>
      </c>
      <c r="CQ35" s="108" t="s">
        <v>2324</v>
      </c>
      <c r="CR35" s="78">
        <v>6</v>
      </c>
      <c r="CS35" s="78" t="s">
        <v>1186</v>
      </c>
      <c r="CT35" s="78">
        <v>111.1</v>
      </c>
      <c r="CU35" s="128" t="s">
        <v>1187</v>
      </c>
      <c r="CV35" s="128">
        <v>136.6</v>
      </c>
      <c r="CW35" s="128" t="s">
        <v>1188</v>
      </c>
      <c r="CX35" s="60" t="s">
        <v>1189</v>
      </c>
      <c r="CY35" s="60">
        <v>21.6</v>
      </c>
      <c r="CZ35" s="60" t="s">
        <v>1190</v>
      </c>
      <c r="DA35" s="129">
        <v>356174</v>
      </c>
      <c r="DB35" s="129">
        <v>265963</v>
      </c>
      <c r="DC35" s="70">
        <v>2541.5</v>
      </c>
      <c r="DD35" s="86" t="s">
        <v>1191</v>
      </c>
      <c r="DE35" s="60" t="s">
        <v>1192</v>
      </c>
      <c r="DF35" s="60" t="s">
        <v>1193</v>
      </c>
      <c r="DG35" s="60" t="s">
        <v>1194</v>
      </c>
      <c r="DI35" s="70">
        <v>315</v>
      </c>
      <c r="DJ35" s="70">
        <v>103</v>
      </c>
      <c r="DK35" s="130">
        <v>152</v>
      </c>
      <c r="DM35" s="80">
        <v>317</v>
      </c>
      <c r="DN35" s="80">
        <v>752</v>
      </c>
      <c r="DO35" s="70">
        <v>3146</v>
      </c>
      <c r="DP35" s="131">
        <v>98.8</v>
      </c>
      <c r="DQ35" s="132">
        <v>137.69999999999999</v>
      </c>
      <c r="DR35" s="60">
        <v>70.5</v>
      </c>
      <c r="DS35" s="78"/>
      <c r="DT35" s="90">
        <v>129</v>
      </c>
      <c r="DU35" s="60">
        <v>694</v>
      </c>
      <c r="DV35" s="70">
        <v>315</v>
      </c>
      <c r="DW35" s="70">
        <v>104.2</v>
      </c>
      <c r="DX35" s="78"/>
      <c r="DY35" s="70">
        <v>108</v>
      </c>
      <c r="DZ35" s="70">
        <v>106.8</v>
      </c>
      <c r="EA35" s="70">
        <v>105.6</v>
      </c>
      <c r="EB35" s="70">
        <v>105.5</v>
      </c>
      <c r="EC35" s="86" t="s">
        <v>1184</v>
      </c>
      <c r="ED35" s="60" t="s">
        <v>1185</v>
      </c>
      <c r="EE35" s="60">
        <v>99.9</v>
      </c>
      <c r="EF35" s="60">
        <v>111.1</v>
      </c>
      <c r="EG35" s="60">
        <v>97.4</v>
      </c>
      <c r="EH35" s="78"/>
      <c r="EI35" s="60">
        <v>43.7</v>
      </c>
      <c r="EJ35" s="89">
        <v>130591.8</v>
      </c>
      <c r="EK35" s="89">
        <v>2117</v>
      </c>
      <c r="EL35" s="87">
        <v>9030</v>
      </c>
      <c r="EM35" s="133">
        <v>27.1</v>
      </c>
      <c r="EN35" s="142" t="s">
        <v>1195</v>
      </c>
      <c r="EO35" s="78"/>
      <c r="EP35" s="133" t="s">
        <v>1196</v>
      </c>
      <c r="EQ35" s="134">
        <v>42149</v>
      </c>
      <c r="ER35" s="60">
        <v>132122</v>
      </c>
      <c r="ES35" s="60">
        <v>459668</v>
      </c>
      <c r="ET35" s="110" t="s">
        <v>2325</v>
      </c>
      <c r="EU35" s="110" t="s">
        <v>2326</v>
      </c>
      <c r="EV35" s="78"/>
      <c r="EW35" s="135">
        <v>83</v>
      </c>
      <c r="EX35" s="136">
        <v>41.6</v>
      </c>
      <c r="EY35" s="137"/>
      <c r="EZ35" s="136">
        <v>3109.8</v>
      </c>
      <c r="FA35" s="109">
        <v>27.8</v>
      </c>
      <c r="FB35" s="78"/>
      <c r="FC35" s="137"/>
      <c r="FD35" s="137"/>
      <c r="FE35" s="70">
        <v>2350</v>
      </c>
      <c r="FF35" s="137"/>
      <c r="FG35" s="137"/>
      <c r="FH35" s="70">
        <v>2826</v>
      </c>
      <c r="FI35" s="70">
        <v>4395</v>
      </c>
      <c r="FJ35" s="137"/>
      <c r="FK35" s="70"/>
      <c r="FL35" s="90" t="s">
        <v>1197</v>
      </c>
      <c r="FM35" s="90" t="s">
        <v>1198</v>
      </c>
      <c r="FN35" s="90">
        <v>152</v>
      </c>
    </row>
    <row r="36" spans="1:170" ht="15.6">
      <c r="A36" s="2">
        <v>53</v>
      </c>
      <c r="B36" s="52" t="s">
        <v>305</v>
      </c>
      <c r="D36" s="63">
        <v>71.44</v>
      </c>
      <c r="E36" s="63">
        <v>27.51</v>
      </c>
      <c r="F36" s="60">
        <v>0</v>
      </c>
      <c r="G36" s="60">
        <v>0</v>
      </c>
      <c r="H36" s="112"/>
      <c r="I36" s="112"/>
      <c r="J36" s="60">
        <v>64</v>
      </c>
      <c r="K36" s="112"/>
      <c r="L36" s="112"/>
      <c r="M36" s="93" t="s">
        <v>434</v>
      </c>
      <c r="N36" s="76" t="s">
        <v>489</v>
      </c>
      <c r="O36" s="76" t="s">
        <v>489</v>
      </c>
      <c r="Q36" s="101">
        <v>9.9499999999999993</v>
      </c>
      <c r="R36" s="102">
        <v>85.16</v>
      </c>
      <c r="S36" s="101">
        <v>62.99</v>
      </c>
      <c r="T36" s="113">
        <v>53.33</v>
      </c>
      <c r="V36" s="66">
        <v>54500</v>
      </c>
      <c r="X36" s="114">
        <v>6.2</v>
      </c>
      <c r="Y36" s="114">
        <v>2115.3000000000002</v>
      </c>
      <c r="Z36" s="71">
        <v>1230</v>
      </c>
      <c r="AA36" s="80">
        <v>17.7</v>
      </c>
      <c r="AB36" s="80">
        <v>52.9</v>
      </c>
      <c r="AC36" s="58">
        <v>26.8</v>
      </c>
      <c r="AD36" s="84">
        <v>70.430000000000007</v>
      </c>
      <c r="AE36" s="84">
        <v>63.96</v>
      </c>
      <c r="AF36" s="60">
        <v>76.73</v>
      </c>
      <c r="AG36" s="60">
        <v>9212</v>
      </c>
      <c r="AH36" s="60">
        <f t="shared" si="0"/>
        <v>9.2119999999999997</v>
      </c>
      <c r="AI36" s="71">
        <v>670.69999999999993</v>
      </c>
      <c r="AJ36" s="70">
        <v>1.2569999999999999</v>
      </c>
      <c r="AK36" s="70">
        <v>778</v>
      </c>
      <c r="AL36" s="90">
        <v>14</v>
      </c>
      <c r="AM36" s="77">
        <v>58</v>
      </c>
      <c r="AO36" s="116">
        <v>59.1</v>
      </c>
      <c r="AP36" s="71">
        <v>38903</v>
      </c>
      <c r="AQ36" s="117" t="s">
        <v>2327</v>
      </c>
      <c r="AR36" s="100">
        <v>75.7</v>
      </c>
      <c r="AS36" s="81">
        <v>0.2</v>
      </c>
      <c r="AT36" s="118">
        <v>2.7</v>
      </c>
      <c r="AU36" s="106">
        <v>9.6</v>
      </c>
      <c r="AV36" s="71">
        <v>62.6</v>
      </c>
      <c r="AX36" s="119"/>
      <c r="AY36" s="112"/>
      <c r="AZ36" s="82" t="s">
        <v>1199</v>
      </c>
      <c r="BA36" s="79" t="s">
        <v>1200</v>
      </c>
      <c r="BB36" s="79" t="s">
        <v>1201</v>
      </c>
      <c r="BD36" s="78">
        <v>106.5</v>
      </c>
      <c r="BE36" s="120">
        <v>103.6</v>
      </c>
      <c r="BF36" s="64" t="s">
        <v>1202</v>
      </c>
      <c r="BG36" s="60">
        <v>111</v>
      </c>
      <c r="BH36" s="68">
        <v>53188</v>
      </c>
      <c r="BI36" s="121"/>
      <c r="BJ36" s="112"/>
      <c r="BK36" s="122">
        <v>10.8</v>
      </c>
      <c r="BL36" s="123">
        <v>32064</v>
      </c>
      <c r="BM36" s="115" t="s">
        <v>1203</v>
      </c>
      <c r="BN36" s="115" t="s">
        <v>1204</v>
      </c>
      <c r="BP36" s="115">
        <v>0.377</v>
      </c>
      <c r="BQ36" s="84">
        <v>9.7000000000000003E-2</v>
      </c>
      <c r="BR36" s="85" t="s">
        <v>1205</v>
      </c>
      <c r="BS36" s="85" t="s">
        <v>1206</v>
      </c>
      <c r="BT36" s="115">
        <v>36.700000000000003</v>
      </c>
      <c r="BU36" s="124">
        <v>40.200000000000003</v>
      </c>
      <c r="BV36" s="125">
        <v>1502</v>
      </c>
      <c r="BW36" s="80">
        <v>160</v>
      </c>
      <c r="BX36" s="80">
        <v>2</v>
      </c>
      <c r="BY36" s="78">
        <v>69</v>
      </c>
      <c r="BZ36" s="115">
        <v>72.349999999999994</v>
      </c>
      <c r="CA36" s="115">
        <v>52.75</v>
      </c>
      <c r="CB36" s="112"/>
      <c r="CC36" s="112"/>
      <c r="CE36" s="70">
        <v>67.599999999999994</v>
      </c>
      <c r="CF36" s="70">
        <v>3.9</v>
      </c>
      <c r="CG36" s="69">
        <v>172</v>
      </c>
      <c r="CH36" s="69">
        <v>172</v>
      </c>
      <c r="CI36" s="69">
        <v>1.5</v>
      </c>
      <c r="CJ36" s="126">
        <v>116.69</v>
      </c>
      <c r="CK36" s="60">
        <v>116.7</v>
      </c>
      <c r="CL36" s="127">
        <v>45.88</v>
      </c>
      <c r="CM36" s="127">
        <v>679.4</v>
      </c>
      <c r="CN36" s="107">
        <v>3.2</v>
      </c>
      <c r="CO36" s="58">
        <v>795.3</v>
      </c>
      <c r="CQ36" s="108" t="s">
        <v>2328</v>
      </c>
      <c r="CR36" s="78">
        <v>1.8</v>
      </c>
      <c r="CS36" s="78">
        <v>331.7</v>
      </c>
      <c r="CT36" s="78">
        <v>99.6</v>
      </c>
      <c r="CU36" s="128" t="s">
        <v>1207</v>
      </c>
      <c r="CV36" s="128">
        <v>116.9</v>
      </c>
      <c r="CW36" s="128" t="s">
        <v>1208</v>
      </c>
      <c r="CX36" s="60" t="s">
        <v>1209</v>
      </c>
      <c r="CY36" s="60">
        <v>28.2</v>
      </c>
      <c r="CZ36" s="60" t="s">
        <v>441</v>
      </c>
      <c r="DA36" s="129">
        <v>286702</v>
      </c>
      <c r="DB36" s="129">
        <v>41419</v>
      </c>
      <c r="DC36" s="70">
        <v>577.4</v>
      </c>
      <c r="DD36" s="86" t="s">
        <v>1210</v>
      </c>
      <c r="DE36" s="60" t="s">
        <v>1211</v>
      </c>
      <c r="DF36" s="60" t="s">
        <v>1212</v>
      </c>
      <c r="DG36" s="60" t="s">
        <v>1213</v>
      </c>
      <c r="DI36" s="70">
        <v>201</v>
      </c>
      <c r="DJ36" s="70">
        <v>92</v>
      </c>
      <c r="DK36" s="130">
        <v>116.8</v>
      </c>
      <c r="DM36" s="80">
        <v>115</v>
      </c>
      <c r="DN36" s="80" t="s">
        <v>1214</v>
      </c>
      <c r="DO36" s="70">
        <v>11617</v>
      </c>
      <c r="DP36" s="131">
        <v>98.4</v>
      </c>
      <c r="DQ36" s="132">
        <v>9.1</v>
      </c>
      <c r="DR36" s="60">
        <v>6.4</v>
      </c>
      <c r="DS36" s="78"/>
      <c r="DT36" s="90">
        <v>71</v>
      </c>
      <c r="DU36" s="60">
        <v>95</v>
      </c>
      <c r="DV36" s="70">
        <v>21</v>
      </c>
      <c r="DW36" s="70">
        <v>97.7</v>
      </c>
      <c r="DX36" s="78"/>
      <c r="DY36" s="70">
        <v>106.8</v>
      </c>
      <c r="DZ36" s="70">
        <v>106.3</v>
      </c>
      <c r="EA36" s="70">
        <v>107.9</v>
      </c>
      <c r="EB36" s="70">
        <v>105.2</v>
      </c>
      <c r="EC36" s="86" t="s">
        <v>1205</v>
      </c>
      <c r="ED36" s="60" t="s">
        <v>1206</v>
      </c>
      <c r="EE36" s="60">
        <v>109</v>
      </c>
      <c r="EF36" s="60">
        <v>99.6</v>
      </c>
      <c r="EG36" s="60">
        <v>95.7</v>
      </c>
      <c r="EH36" s="78"/>
      <c r="EI36" s="60">
        <v>48.8</v>
      </c>
      <c r="EJ36" s="89">
        <v>3147.2</v>
      </c>
      <c r="EK36" s="89">
        <v>31</v>
      </c>
      <c r="EL36" s="87">
        <v>1808</v>
      </c>
      <c r="EM36" s="133">
        <v>21.6</v>
      </c>
      <c r="EN36" s="142" t="s">
        <v>1215</v>
      </c>
      <c r="EO36" s="78"/>
      <c r="EP36" s="133" t="s">
        <v>1216</v>
      </c>
      <c r="EQ36" s="134">
        <v>4424</v>
      </c>
      <c r="ER36" s="60">
        <v>20613</v>
      </c>
      <c r="ES36" s="60">
        <v>84019</v>
      </c>
      <c r="ET36" s="110" t="s">
        <v>2329</v>
      </c>
      <c r="EU36" s="110" t="s">
        <v>440</v>
      </c>
      <c r="EV36" s="78"/>
      <c r="EW36" s="135">
        <v>76</v>
      </c>
      <c r="EX36" s="136">
        <v>39.6</v>
      </c>
      <c r="EY36" s="137"/>
      <c r="EZ36" s="136">
        <v>2353.6</v>
      </c>
      <c r="FA36" s="109">
        <v>21.7</v>
      </c>
      <c r="FB36" s="78"/>
      <c r="FC36" s="137"/>
      <c r="FD36" s="137"/>
      <c r="FE36" s="143">
        <v>284</v>
      </c>
      <c r="FF36" s="137"/>
      <c r="FG36" s="137"/>
      <c r="FH36" s="143">
        <v>550</v>
      </c>
      <c r="FI36" s="143" t="s">
        <v>402</v>
      </c>
      <c r="FJ36" s="137"/>
      <c r="FK36" s="70"/>
      <c r="FL36" s="90" t="s">
        <v>1217</v>
      </c>
      <c r="FM36" s="90" t="s">
        <v>1218</v>
      </c>
      <c r="FN36" s="90">
        <v>783</v>
      </c>
    </row>
    <row r="37" spans="1:170" ht="15.6">
      <c r="A37" s="2">
        <v>54</v>
      </c>
      <c r="B37" s="52" t="s">
        <v>306</v>
      </c>
      <c r="D37" s="65">
        <v>67.59</v>
      </c>
      <c r="E37" s="63">
        <v>31.3</v>
      </c>
      <c r="F37" s="60">
        <v>0</v>
      </c>
      <c r="G37" s="60">
        <v>0</v>
      </c>
      <c r="H37" s="112"/>
      <c r="I37" s="112"/>
      <c r="J37" s="60">
        <v>13</v>
      </c>
      <c r="K37" s="112"/>
      <c r="L37" s="112"/>
      <c r="M37" s="93" t="s">
        <v>428</v>
      </c>
      <c r="N37" s="76" t="s">
        <v>511</v>
      </c>
      <c r="O37" s="76" t="s">
        <v>489</v>
      </c>
      <c r="Q37" s="101">
        <v>9.9499999999999993</v>
      </c>
      <c r="R37" s="102">
        <v>85.16</v>
      </c>
      <c r="S37" s="101">
        <v>62.99</v>
      </c>
      <c r="T37" s="113">
        <v>51.01</v>
      </c>
      <c r="V37" s="66">
        <v>177800</v>
      </c>
      <c r="X37" s="114">
        <v>7</v>
      </c>
      <c r="Y37" s="114">
        <v>2115.3000000000002</v>
      </c>
      <c r="Z37" s="71">
        <v>1187</v>
      </c>
      <c r="AA37" s="80">
        <v>19.2</v>
      </c>
      <c r="AB37" s="80">
        <v>55.1</v>
      </c>
      <c r="AC37" s="58">
        <v>23.2</v>
      </c>
      <c r="AD37" s="84">
        <v>72.2</v>
      </c>
      <c r="AE37" s="84">
        <v>66.180000000000007</v>
      </c>
      <c r="AF37" s="60">
        <v>78.09</v>
      </c>
      <c r="AG37" s="60">
        <v>35690</v>
      </c>
      <c r="AH37" s="60">
        <f t="shared" si="0"/>
        <v>35.69</v>
      </c>
      <c r="AI37" s="71">
        <v>533.2349999999999</v>
      </c>
      <c r="AJ37" s="115">
        <v>1.47864</v>
      </c>
      <c r="AK37" s="70">
        <v>718</v>
      </c>
      <c r="AL37" s="90">
        <v>26</v>
      </c>
      <c r="AM37" s="77">
        <v>427</v>
      </c>
      <c r="AO37" s="116">
        <v>58.7</v>
      </c>
      <c r="AP37" s="71">
        <v>49936</v>
      </c>
      <c r="AQ37" s="117" t="s">
        <v>2210</v>
      </c>
      <c r="AR37" s="100">
        <v>63.4</v>
      </c>
      <c r="AS37" s="81">
        <v>0.2</v>
      </c>
      <c r="AT37" s="118">
        <v>3.3</v>
      </c>
      <c r="AU37" s="106">
        <v>21</v>
      </c>
      <c r="AV37" s="71">
        <v>39</v>
      </c>
      <c r="AX37" s="119"/>
      <c r="AY37" s="112"/>
      <c r="AZ37" s="82" t="s">
        <v>1219</v>
      </c>
      <c r="BA37" s="79" t="s">
        <v>1220</v>
      </c>
      <c r="BB37" s="79" t="s">
        <v>1221</v>
      </c>
      <c r="BD37" s="78">
        <v>107.1</v>
      </c>
      <c r="BE37" s="120">
        <v>104.2</v>
      </c>
      <c r="BF37" s="64" t="s">
        <v>1222</v>
      </c>
      <c r="BG37" s="60">
        <v>113.8</v>
      </c>
      <c r="BH37" s="68">
        <v>64189</v>
      </c>
      <c r="BI37" s="121"/>
      <c r="BJ37" s="112"/>
      <c r="BK37" s="122">
        <v>9.6</v>
      </c>
      <c r="BL37" s="123">
        <v>38573</v>
      </c>
      <c r="BM37" s="115" t="s">
        <v>1223</v>
      </c>
      <c r="BN37" s="115" t="s">
        <v>1224</v>
      </c>
      <c r="BP37" s="115">
        <v>3.016</v>
      </c>
      <c r="BQ37" s="84">
        <v>2.1179999999999999</v>
      </c>
      <c r="BR37" s="85" t="s">
        <v>1225</v>
      </c>
      <c r="BS37" s="85" t="s">
        <v>1226</v>
      </c>
      <c r="BT37" s="115">
        <v>28.8</v>
      </c>
      <c r="BU37" s="124">
        <v>41.2</v>
      </c>
      <c r="BV37" s="125">
        <v>1147</v>
      </c>
      <c r="BW37" s="80">
        <v>736</v>
      </c>
      <c r="BX37" s="80">
        <v>48</v>
      </c>
      <c r="BY37" s="78">
        <v>92.5</v>
      </c>
      <c r="BZ37" s="115">
        <v>96.63</v>
      </c>
      <c r="CA37" s="115">
        <v>73.7</v>
      </c>
      <c r="CB37" s="112"/>
      <c r="CC37" s="112"/>
      <c r="CE37" s="70">
        <v>373.4</v>
      </c>
      <c r="CF37" s="70">
        <v>21.4</v>
      </c>
      <c r="CG37" s="69">
        <v>362</v>
      </c>
      <c r="CH37" s="69">
        <v>331</v>
      </c>
      <c r="CI37" s="69">
        <v>15.8</v>
      </c>
      <c r="CJ37" s="126">
        <v>111.53</v>
      </c>
      <c r="CK37" s="60">
        <v>111.5</v>
      </c>
      <c r="CL37" s="127">
        <v>58.89</v>
      </c>
      <c r="CM37" s="127">
        <v>558.1</v>
      </c>
      <c r="CN37" s="107">
        <v>4.0999999999999996</v>
      </c>
      <c r="CO37" s="58">
        <v>810.4</v>
      </c>
      <c r="CQ37" s="108" t="s">
        <v>2330</v>
      </c>
      <c r="CR37" s="78">
        <v>131.30000000000001</v>
      </c>
      <c r="CS37" s="78">
        <v>995.2</v>
      </c>
      <c r="CT37" s="78">
        <v>86.9</v>
      </c>
      <c r="CU37" s="128" t="s">
        <v>1227</v>
      </c>
      <c r="CV37" s="128">
        <v>101.4</v>
      </c>
      <c r="CW37" s="128" t="s">
        <v>1228</v>
      </c>
      <c r="CX37" s="60" t="s">
        <v>1229</v>
      </c>
      <c r="CY37" s="60">
        <v>23.6</v>
      </c>
      <c r="CZ37" s="60" t="s">
        <v>1230</v>
      </c>
      <c r="DA37" s="129">
        <v>321502</v>
      </c>
      <c r="DB37" s="129">
        <v>276377</v>
      </c>
      <c r="DC37" s="70">
        <v>1623</v>
      </c>
      <c r="DD37" s="86" t="s">
        <v>1231</v>
      </c>
      <c r="DE37" s="60" t="s">
        <v>1232</v>
      </c>
      <c r="DF37" s="60" t="s">
        <v>1233</v>
      </c>
      <c r="DG37" s="60" t="s">
        <v>1234</v>
      </c>
      <c r="DI37" s="70">
        <v>113</v>
      </c>
      <c r="DJ37" s="70">
        <v>86</v>
      </c>
      <c r="DK37" s="130">
        <v>95.3</v>
      </c>
      <c r="DM37" s="80">
        <v>394</v>
      </c>
      <c r="DN37" s="80">
        <v>261</v>
      </c>
      <c r="DO37" s="70">
        <v>1958</v>
      </c>
      <c r="DP37" s="131">
        <v>98.5</v>
      </c>
      <c r="DQ37" s="132">
        <v>51.3</v>
      </c>
      <c r="DR37" s="60">
        <v>78.099999999999994</v>
      </c>
      <c r="DS37" s="78"/>
      <c r="DT37" s="90">
        <v>199</v>
      </c>
      <c r="DU37" s="60">
        <v>625</v>
      </c>
      <c r="DV37" s="70">
        <v>81</v>
      </c>
      <c r="DW37" s="70">
        <v>96.7</v>
      </c>
      <c r="DX37" s="78"/>
      <c r="DY37" s="70">
        <v>108.7</v>
      </c>
      <c r="DZ37" s="70">
        <v>106.7</v>
      </c>
      <c r="EA37" s="70">
        <v>109.2</v>
      </c>
      <c r="EB37" s="70">
        <v>106.1</v>
      </c>
      <c r="EC37" s="86" t="s">
        <v>1225</v>
      </c>
      <c r="ED37" s="60" t="s">
        <v>1226</v>
      </c>
      <c r="EE37" s="60">
        <v>121.4</v>
      </c>
      <c r="EF37" s="60">
        <v>86.9</v>
      </c>
      <c r="EG37" s="60">
        <v>102.3</v>
      </c>
      <c r="EH37" s="78"/>
      <c r="EI37" s="60">
        <v>43.8</v>
      </c>
      <c r="EJ37" s="89">
        <v>41612.5</v>
      </c>
      <c r="EK37" s="89">
        <v>4530</v>
      </c>
      <c r="EL37" s="87">
        <v>3784</v>
      </c>
      <c r="EM37" s="133">
        <v>21.9</v>
      </c>
      <c r="EN37" s="133" t="s">
        <v>1235</v>
      </c>
      <c r="EO37" s="78"/>
      <c r="EP37" s="133" t="s">
        <v>1236</v>
      </c>
      <c r="EQ37" s="134">
        <v>39990</v>
      </c>
      <c r="ER37" s="60">
        <v>187851</v>
      </c>
      <c r="ES37" s="60">
        <v>597997</v>
      </c>
      <c r="ET37" s="110" t="s">
        <v>2331</v>
      </c>
      <c r="EU37" s="110" t="s">
        <v>2332</v>
      </c>
      <c r="EV37" s="78"/>
      <c r="EW37" s="135">
        <v>86.5</v>
      </c>
      <c r="EX37" s="136">
        <v>41.6</v>
      </c>
      <c r="EY37" s="137"/>
      <c r="EZ37" s="136">
        <v>2192.5</v>
      </c>
      <c r="FA37" s="109">
        <v>35.1</v>
      </c>
      <c r="FB37" s="78"/>
      <c r="FC37" s="137"/>
      <c r="FD37" s="137"/>
      <c r="FE37" s="70">
        <v>2110</v>
      </c>
      <c r="FF37" s="137"/>
      <c r="FG37" s="137"/>
      <c r="FH37" s="70">
        <v>2142</v>
      </c>
      <c r="FI37" s="70">
        <v>3767</v>
      </c>
      <c r="FJ37" s="137"/>
      <c r="FK37" s="70"/>
      <c r="FL37" s="90" t="s">
        <v>1237</v>
      </c>
      <c r="FM37" s="90" t="s">
        <v>471</v>
      </c>
      <c r="FN37" s="90" t="s">
        <v>1238</v>
      </c>
    </row>
    <row r="38" spans="1:170" ht="15.6">
      <c r="A38" s="2">
        <v>55</v>
      </c>
      <c r="B38" s="52" t="s">
        <v>307</v>
      </c>
      <c r="D38" s="63">
        <v>62.09</v>
      </c>
      <c r="E38" s="63">
        <v>36.659999999999997</v>
      </c>
      <c r="F38" s="60">
        <v>0</v>
      </c>
      <c r="G38" s="60">
        <v>0</v>
      </c>
      <c r="H38" s="112"/>
      <c r="I38" s="112"/>
      <c r="J38" s="60">
        <v>21</v>
      </c>
      <c r="K38" s="112"/>
      <c r="L38" s="112"/>
      <c r="M38" s="93" t="s">
        <v>439</v>
      </c>
      <c r="N38" s="76" t="s">
        <v>592</v>
      </c>
      <c r="O38" s="76" t="s">
        <v>489</v>
      </c>
      <c r="Q38" s="101">
        <v>9.9499999999999993</v>
      </c>
      <c r="R38" s="102">
        <v>85.16</v>
      </c>
      <c r="S38" s="101">
        <v>62.99</v>
      </c>
      <c r="T38" s="113">
        <v>51.13</v>
      </c>
      <c r="V38" s="66">
        <v>141100</v>
      </c>
      <c r="X38" s="114">
        <v>6.8</v>
      </c>
      <c r="Y38" s="114">
        <v>2115.3000000000002</v>
      </c>
      <c r="Z38" s="71">
        <v>1170</v>
      </c>
      <c r="AA38" s="80">
        <v>19.7</v>
      </c>
      <c r="AB38" s="80">
        <v>53.4</v>
      </c>
      <c r="AC38" s="58">
        <v>24.2</v>
      </c>
      <c r="AD38" s="84">
        <v>71.83</v>
      </c>
      <c r="AE38" s="84">
        <v>65.650000000000006</v>
      </c>
      <c r="AF38" s="60">
        <v>78.08</v>
      </c>
      <c r="AG38" s="60">
        <v>23966</v>
      </c>
      <c r="AH38" s="60">
        <f t="shared" si="0"/>
        <v>23.966000000000001</v>
      </c>
      <c r="AI38" s="71">
        <v>506.065</v>
      </c>
      <c r="AJ38" s="115">
        <v>1.5402499999999999</v>
      </c>
      <c r="AK38" s="70">
        <v>707</v>
      </c>
      <c r="AL38" s="90">
        <v>26</v>
      </c>
      <c r="AM38" s="77">
        <v>363</v>
      </c>
      <c r="AO38" s="116">
        <v>59.9</v>
      </c>
      <c r="AP38" s="71">
        <v>40804</v>
      </c>
      <c r="AQ38" s="117" t="s">
        <v>2226</v>
      </c>
      <c r="AR38" s="100">
        <v>69.599999999999994</v>
      </c>
      <c r="AS38" s="81">
        <v>0.7</v>
      </c>
      <c r="AT38" s="118">
        <v>3.4</v>
      </c>
      <c r="AU38" s="106">
        <v>9.1999999999999993</v>
      </c>
      <c r="AV38" s="71">
        <v>48.4</v>
      </c>
      <c r="AX38" s="119"/>
      <c r="AY38" s="112"/>
      <c r="AZ38" s="82" t="s">
        <v>1239</v>
      </c>
      <c r="BA38" s="79" t="s">
        <v>1240</v>
      </c>
      <c r="BB38" s="79" t="s">
        <v>1241</v>
      </c>
      <c r="BD38" s="78">
        <v>104.5</v>
      </c>
      <c r="BE38" s="120">
        <v>104.2</v>
      </c>
      <c r="BF38" s="64" t="s">
        <v>1242</v>
      </c>
      <c r="BG38" s="60">
        <v>112.2</v>
      </c>
      <c r="BH38" s="68">
        <v>55227</v>
      </c>
      <c r="BI38" s="121"/>
      <c r="BJ38" s="112"/>
      <c r="BK38" s="122">
        <v>10.6</v>
      </c>
      <c r="BL38" s="123">
        <v>32541</v>
      </c>
      <c r="BM38" s="115" t="s">
        <v>1243</v>
      </c>
      <c r="BN38" s="115" t="s">
        <v>1244</v>
      </c>
      <c r="BP38" s="115">
        <v>0.74299999999999999</v>
      </c>
      <c r="BQ38" s="84">
        <v>0.248</v>
      </c>
      <c r="BR38" s="85" t="s">
        <v>1245</v>
      </c>
      <c r="BS38" s="85" t="s">
        <v>1246</v>
      </c>
      <c r="BT38" s="115">
        <v>28.1</v>
      </c>
      <c r="BU38" s="124">
        <v>38.799999999999997</v>
      </c>
      <c r="BV38" s="125">
        <v>1425</v>
      </c>
      <c r="BW38" s="80">
        <v>391</v>
      </c>
      <c r="BX38" s="80">
        <v>54</v>
      </c>
      <c r="BY38" s="78">
        <v>80.400000000000006</v>
      </c>
      <c r="BZ38" s="115">
        <v>93.25</v>
      </c>
      <c r="CA38" s="115">
        <v>64.88</v>
      </c>
      <c r="CB38" s="112"/>
      <c r="CC38" s="112"/>
      <c r="CE38" s="70">
        <v>243.3</v>
      </c>
      <c r="CF38" s="70">
        <v>13.7</v>
      </c>
      <c r="CG38" s="69">
        <v>405</v>
      </c>
      <c r="CH38" s="69">
        <v>320</v>
      </c>
      <c r="CI38" s="69">
        <v>9.6999999999999993</v>
      </c>
      <c r="CJ38" s="126">
        <v>121.58</v>
      </c>
      <c r="CK38" s="60">
        <v>121.6</v>
      </c>
      <c r="CL38" s="127">
        <v>52.34</v>
      </c>
      <c r="CM38" s="127">
        <v>578.1</v>
      </c>
      <c r="CN38" s="107">
        <v>4.3</v>
      </c>
      <c r="CO38" s="58">
        <v>802.9</v>
      </c>
      <c r="CQ38" s="108" t="s">
        <v>2333</v>
      </c>
      <c r="CR38" s="78">
        <v>3.1</v>
      </c>
      <c r="CS38" s="78">
        <v>587.9</v>
      </c>
      <c r="CT38" s="78">
        <v>92.5</v>
      </c>
      <c r="CU38" s="128" t="s">
        <v>1247</v>
      </c>
      <c r="CV38" s="128">
        <v>98.5</v>
      </c>
      <c r="CW38" s="128" t="s">
        <v>1248</v>
      </c>
      <c r="CX38" s="60" t="s">
        <v>1249</v>
      </c>
      <c r="CY38" s="60">
        <v>20.6</v>
      </c>
      <c r="CZ38" s="112" t="s">
        <v>361</v>
      </c>
      <c r="DA38" s="129">
        <v>263101</v>
      </c>
      <c r="DB38" s="129">
        <v>144367</v>
      </c>
      <c r="DC38" s="70">
        <v>929.8</v>
      </c>
      <c r="DD38" s="86" t="s">
        <v>1250</v>
      </c>
      <c r="DE38" s="60" t="s">
        <v>1251</v>
      </c>
      <c r="DF38" s="60" t="s">
        <v>1252</v>
      </c>
      <c r="DG38" s="60" t="s">
        <v>1253</v>
      </c>
      <c r="DI38" s="70">
        <v>100</v>
      </c>
      <c r="DJ38" s="70">
        <v>123</v>
      </c>
      <c r="DK38" s="130">
        <v>150.80000000000001</v>
      </c>
      <c r="DM38" s="80">
        <v>342</v>
      </c>
      <c r="DN38" s="80">
        <v>549</v>
      </c>
      <c r="DO38" s="70">
        <v>3965</v>
      </c>
      <c r="DP38" s="131">
        <v>99.8</v>
      </c>
      <c r="DQ38" s="132">
        <v>140.6</v>
      </c>
      <c r="DR38" s="60">
        <v>41.3</v>
      </c>
      <c r="DS38" s="78"/>
      <c r="DT38" s="90">
        <v>159</v>
      </c>
      <c r="DU38" s="60">
        <v>176</v>
      </c>
      <c r="DV38" s="70">
        <v>124</v>
      </c>
      <c r="DW38" s="70">
        <v>68.099999999999994</v>
      </c>
      <c r="DX38" s="78"/>
      <c r="DY38" s="70">
        <v>108.8</v>
      </c>
      <c r="DZ38" s="70">
        <v>103.3</v>
      </c>
      <c r="EA38" s="70">
        <v>108.8</v>
      </c>
      <c r="EB38" s="70">
        <v>104.4</v>
      </c>
      <c r="EC38" s="86" t="s">
        <v>1245</v>
      </c>
      <c r="ED38" s="60" t="s">
        <v>1246</v>
      </c>
      <c r="EE38" s="60">
        <v>106</v>
      </c>
      <c r="EF38" s="60">
        <v>92.5</v>
      </c>
      <c r="EG38" s="60">
        <v>95.6</v>
      </c>
      <c r="EH38" s="78"/>
      <c r="EI38" s="60">
        <v>48.2</v>
      </c>
      <c r="EJ38" s="89">
        <v>7667.7</v>
      </c>
      <c r="EK38" s="89">
        <v>281</v>
      </c>
      <c r="EL38" s="87">
        <v>3658</v>
      </c>
      <c r="EM38" s="133">
        <v>21.3</v>
      </c>
      <c r="EN38" s="133" t="s">
        <v>1254</v>
      </c>
      <c r="EO38" s="78"/>
      <c r="EP38" s="133" t="s">
        <v>1255</v>
      </c>
      <c r="EQ38" s="134">
        <v>14497</v>
      </c>
      <c r="ER38" s="60">
        <v>86491</v>
      </c>
      <c r="ES38" s="60">
        <v>300401</v>
      </c>
      <c r="ET38" s="110" t="s">
        <v>2334</v>
      </c>
      <c r="EU38" s="110" t="s">
        <v>2335</v>
      </c>
      <c r="EV38" s="78"/>
      <c r="EW38" s="135">
        <v>83.2</v>
      </c>
      <c r="EX38" s="136">
        <v>37.200000000000003</v>
      </c>
      <c r="EY38" s="137"/>
      <c r="EZ38" s="136">
        <v>1943.2</v>
      </c>
      <c r="FA38" s="109">
        <v>20.3</v>
      </c>
      <c r="FB38" s="78"/>
      <c r="FC38" s="137"/>
      <c r="FD38" s="137"/>
      <c r="FE38" s="70">
        <v>1404</v>
      </c>
      <c r="FF38" s="137"/>
      <c r="FG38" s="137"/>
      <c r="FH38" s="70">
        <v>1783</v>
      </c>
      <c r="FI38" s="70">
        <v>2996</v>
      </c>
      <c r="FJ38" s="137"/>
      <c r="FK38" s="70"/>
      <c r="FL38" s="90" t="s">
        <v>1256</v>
      </c>
      <c r="FM38" s="90" t="s">
        <v>1257</v>
      </c>
      <c r="FN38" s="90" t="s">
        <v>1258</v>
      </c>
    </row>
    <row r="39" spans="1:170" ht="15.6">
      <c r="A39" s="2">
        <v>56</v>
      </c>
      <c r="B39" s="52" t="s">
        <v>308</v>
      </c>
      <c r="D39" s="63">
        <v>73.599999999999994</v>
      </c>
      <c r="E39" s="63">
        <v>25.29</v>
      </c>
      <c r="F39" s="60">
        <v>0</v>
      </c>
      <c r="G39" s="60">
        <v>0</v>
      </c>
      <c r="H39" s="112"/>
      <c r="I39" s="112"/>
      <c r="J39" s="60">
        <v>29</v>
      </c>
      <c r="K39" s="112"/>
      <c r="L39" s="112"/>
      <c r="M39" s="93" t="s">
        <v>432</v>
      </c>
      <c r="N39" s="76" t="s">
        <v>531</v>
      </c>
      <c r="O39" s="76" t="s">
        <v>489</v>
      </c>
      <c r="Q39" s="101">
        <v>9.9499999999999993</v>
      </c>
      <c r="R39" s="102">
        <v>85.16</v>
      </c>
      <c r="S39" s="101">
        <v>62.99</v>
      </c>
      <c r="T39" s="113">
        <v>51.56</v>
      </c>
      <c r="V39" s="66">
        <v>123700</v>
      </c>
      <c r="X39" s="114">
        <v>6.5</v>
      </c>
      <c r="Y39" s="114">
        <v>2115.3000000000002</v>
      </c>
      <c r="Z39" s="71">
        <v>1158</v>
      </c>
      <c r="AA39" s="80">
        <v>19.3</v>
      </c>
      <c r="AB39" s="80">
        <v>53.5</v>
      </c>
      <c r="AC39" s="58">
        <v>24.3</v>
      </c>
      <c r="AD39" s="84">
        <v>71.12</v>
      </c>
      <c r="AE39" s="84">
        <v>65.14</v>
      </c>
      <c r="AF39" s="60">
        <v>77.25</v>
      </c>
      <c r="AG39" s="60">
        <v>25099</v>
      </c>
      <c r="AH39" s="60">
        <f t="shared" si="0"/>
        <v>25.099</v>
      </c>
      <c r="AI39" s="71">
        <v>559.83499999999992</v>
      </c>
      <c r="AJ39" s="115">
        <v>1.47864</v>
      </c>
      <c r="AK39" s="70">
        <v>765</v>
      </c>
      <c r="AL39" s="146" t="s">
        <v>23</v>
      </c>
      <c r="AM39" s="77">
        <v>444</v>
      </c>
      <c r="AO39" s="116">
        <v>59.4</v>
      </c>
      <c r="AP39" s="71">
        <v>36756</v>
      </c>
      <c r="AQ39" s="117" t="s">
        <v>2230</v>
      </c>
      <c r="AR39" s="100">
        <v>62.7</v>
      </c>
      <c r="AS39" s="81">
        <v>0.3</v>
      </c>
      <c r="AT39" s="118">
        <v>2.2000000000000002</v>
      </c>
      <c r="AU39" s="106">
        <v>24.9</v>
      </c>
      <c r="AV39" s="71">
        <v>47.1</v>
      </c>
      <c r="AX39" s="119"/>
      <c r="AY39" s="112"/>
      <c r="AZ39" s="82" t="s">
        <v>1259</v>
      </c>
      <c r="BA39" s="79" t="s">
        <v>1260</v>
      </c>
      <c r="BB39" s="79" t="s">
        <v>1261</v>
      </c>
      <c r="BD39" s="78">
        <v>105.4</v>
      </c>
      <c r="BE39" s="120">
        <v>102.6</v>
      </c>
      <c r="BF39" s="64" t="s">
        <v>1262</v>
      </c>
      <c r="BG39" s="60">
        <v>116.2</v>
      </c>
      <c r="BH39" s="68">
        <v>53119</v>
      </c>
      <c r="BI39" s="121"/>
      <c r="BJ39" s="112"/>
      <c r="BK39" s="144">
        <v>11</v>
      </c>
      <c r="BL39" s="123">
        <v>28738</v>
      </c>
      <c r="BM39" s="115" t="s">
        <v>1263</v>
      </c>
      <c r="BN39" s="115" t="s">
        <v>1264</v>
      </c>
      <c r="BP39" s="115">
        <v>1.1299999999999999</v>
      </c>
      <c r="BQ39" s="84">
        <v>0.33500000000000002</v>
      </c>
      <c r="BR39" s="85" t="s">
        <v>1265</v>
      </c>
      <c r="BS39" s="85" t="s">
        <v>1266</v>
      </c>
      <c r="BT39" s="115">
        <v>30.8</v>
      </c>
      <c r="BU39" s="124">
        <v>36.200000000000003</v>
      </c>
      <c r="BV39" s="125">
        <v>1194</v>
      </c>
      <c r="BW39" s="80">
        <v>494</v>
      </c>
      <c r="BX39" s="80">
        <v>36</v>
      </c>
      <c r="BY39" s="78">
        <v>89.6</v>
      </c>
      <c r="BZ39" s="115">
        <v>99.39</v>
      </c>
      <c r="CA39" s="115">
        <v>77.489999999999995</v>
      </c>
      <c r="CB39" s="112"/>
      <c r="CC39" s="112"/>
      <c r="CE39" s="70">
        <v>249.6</v>
      </c>
      <c r="CF39" s="70">
        <v>15.2</v>
      </c>
      <c r="CG39" s="69">
        <v>222</v>
      </c>
      <c r="CH39" s="69">
        <v>216</v>
      </c>
      <c r="CI39" s="69">
        <v>7.9</v>
      </c>
      <c r="CJ39" s="126">
        <v>131.15</v>
      </c>
      <c r="CK39" s="60">
        <v>131.19999999999999</v>
      </c>
      <c r="CL39" s="127">
        <v>47.43</v>
      </c>
      <c r="CM39" s="127">
        <v>621.5</v>
      </c>
      <c r="CN39" s="107">
        <v>4.2</v>
      </c>
      <c r="CO39" s="58">
        <v>934.6</v>
      </c>
      <c r="CQ39" s="108" t="s">
        <v>2333</v>
      </c>
      <c r="CR39" s="78">
        <v>859.1</v>
      </c>
      <c r="CS39" s="78">
        <v>546.9</v>
      </c>
      <c r="CT39" s="78">
        <v>95.7</v>
      </c>
      <c r="CU39" s="128" t="s">
        <v>1267</v>
      </c>
      <c r="CV39" s="128">
        <v>110.9</v>
      </c>
      <c r="CW39" s="128" t="s">
        <v>1268</v>
      </c>
      <c r="CX39" s="60" t="s">
        <v>1269</v>
      </c>
      <c r="CY39" s="60">
        <v>31.4</v>
      </c>
      <c r="CZ39" s="112" t="s">
        <v>361</v>
      </c>
      <c r="DA39" s="129">
        <v>253332</v>
      </c>
      <c r="DB39" s="129">
        <v>119966</v>
      </c>
      <c r="DC39" s="70">
        <v>1159.9000000000001</v>
      </c>
      <c r="DD39" s="86" t="s">
        <v>1270</v>
      </c>
      <c r="DE39" s="60" t="s">
        <v>1271</v>
      </c>
      <c r="DF39" s="60" t="s">
        <v>1272</v>
      </c>
      <c r="DG39" s="60" t="s">
        <v>1273</v>
      </c>
      <c r="DI39" s="70">
        <v>165</v>
      </c>
      <c r="DJ39" s="70">
        <v>106</v>
      </c>
      <c r="DK39" s="130">
        <v>73.3</v>
      </c>
      <c r="DM39" s="80">
        <v>220</v>
      </c>
      <c r="DN39" s="80">
        <v>255</v>
      </c>
      <c r="DO39" s="70">
        <v>3915</v>
      </c>
      <c r="DP39" s="131">
        <v>98.2</v>
      </c>
      <c r="DQ39" s="132">
        <v>18.2</v>
      </c>
      <c r="DR39" s="60">
        <v>28</v>
      </c>
      <c r="DS39" s="78"/>
      <c r="DT39" s="90">
        <v>366</v>
      </c>
      <c r="DU39" s="60">
        <v>846</v>
      </c>
      <c r="DV39" s="70">
        <v>99</v>
      </c>
      <c r="DW39" s="70">
        <v>133.9</v>
      </c>
      <c r="DX39" s="78"/>
      <c r="DY39" s="70">
        <v>108.7</v>
      </c>
      <c r="DZ39" s="70">
        <v>105.2</v>
      </c>
      <c r="EA39" s="70">
        <v>108.1</v>
      </c>
      <c r="EB39" s="70">
        <v>105.1</v>
      </c>
      <c r="EC39" s="86" t="s">
        <v>1265</v>
      </c>
      <c r="ED39" s="60" t="s">
        <v>1266</v>
      </c>
      <c r="EE39" s="60">
        <v>105.8</v>
      </c>
      <c r="EF39" s="60">
        <v>95.7</v>
      </c>
      <c r="EG39" s="60">
        <v>101</v>
      </c>
      <c r="EH39" s="78"/>
      <c r="EI39" s="60">
        <v>43.5</v>
      </c>
      <c r="EJ39" s="89">
        <v>1713.6</v>
      </c>
      <c r="EK39" s="89">
        <v>210</v>
      </c>
      <c r="EL39" s="87">
        <v>1806</v>
      </c>
      <c r="EM39" s="133">
        <v>13.5</v>
      </c>
      <c r="EN39" s="142" t="s">
        <v>1274</v>
      </c>
      <c r="EO39" s="78"/>
      <c r="EP39" s="133" t="s">
        <v>1275</v>
      </c>
      <c r="EQ39" s="134">
        <v>9063</v>
      </c>
      <c r="ER39" s="60">
        <v>90237</v>
      </c>
      <c r="ES39" s="60">
        <v>328844</v>
      </c>
      <c r="ET39" s="110" t="s">
        <v>2336</v>
      </c>
      <c r="EU39" s="110" t="s">
        <v>2337</v>
      </c>
      <c r="EV39" s="78"/>
      <c r="EW39" s="135">
        <v>93</v>
      </c>
      <c r="EX39" s="136">
        <v>41.7</v>
      </c>
      <c r="EY39" s="137"/>
      <c r="EZ39" s="136">
        <v>2060.5</v>
      </c>
      <c r="FA39" s="109">
        <v>22.9</v>
      </c>
      <c r="FB39" s="78"/>
      <c r="FC39" s="137"/>
      <c r="FD39" s="137"/>
      <c r="FE39" s="70">
        <v>997</v>
      </c>
      <c r="FF39" s="137"/>
      <c r="FG39" s="137"/>
      <c r="FH39" s="70">
        <v>1567</v>
      </c>
      <c r="FI39" s="70">
        <v>3940</v>
      </c>
      <c r="FJ39" s="137"/>
      <c r="FK39" s="70"/>
      <c r="FL39" s="90" t="s">
        <v>1276</v>
      </c>
      <c r="FM39" s="90" t="s">
        <v>1277</v>
      </c>
      <c r="FN39" s="90" t="s">
        <v>1278</v>
      </c>
    </row>
    <row r="40" spans="1:170" ht="15.6">
      <c r="A40" s="2">
        <v>57</v>
      </c>
      <c r="B40" s="52" t="s">
        <v>309</v>
      </c>
      <c r="D40" s="65">
        <v>79.739999999999995</v>
      </c>
      <c r="E40" s="63">
        <v>19.05</v>
      </c>
      <c r="F40" s="60">
        <v>0</v>
      </c>
      <c r="G40" s="60">
        <v>0</v>
      </c>
      <c r="H40" s="112"/>
      <c r="I40" s="112"/>
      <c r="J40" s="60">
        <v>55</v>
      </c>
      <c r="K40" s="112"/>
      <c r="L40" s="112"/>
      <c r="M40" s="93" t="s">
        <v>434</v>
      </c>
      <c r="N40" s="76" t="s">
        <v>570</v>
      </c>
      <c r="O40" s="76" t="s">
        <v>489</v>
      </c>
      <c r="Q40" s="101">
        <v>9.9499999999999993</v>
      </c>
      <c r="R40" s="102">
        <v>85.16</v>
      </c>
      <c r="S40" s="101">
        <v>62.99</v>
      </c>
      <c r="T40" s="113">
        <v>52.61</v>
      </c>
      <c r="V40" s="66">
        <v>24700</v>
      </c>
      <c r="X40" s="114">
        <v>6.3</v>
      </c>
      <c r="Y40" s="114">
        <v>2115.3000000000002</v>
      </c>
      <c r="Z40" s="71">
        <v>1198</v>
      </c>
      <c r="AA40" s="80">
        <v>16.100000000000001</v>
      </c>
      <c r="AB40" s="80">
        <v>52.7</v>
      </c>
      <c r="AC40" s="58">
        <v>27.3</v>
      </c>
      <c r="AD40" s="84">
        <v>71.650000000000006</v>
      </c>
      <c r="AE40" s="84">
        <v>65.75</v>
      </c>
      <c r="AF40" s="60">
        <v>77.53</v>
      </c>
      <c r="AG40" s="60">
        <v>10917</v>
      </c>
      <c r="AH40" s="60">
        <f t="shared" si="0"/>
        <v>10.917</v>
      </c>
      <c r="AI40" s="71">
        <v>562.97</v>
      </c>
      <c r="AJ40" s="70">
        <v>1.171</v>
      </c>
      <c r="AK40" s="70">
        <v>720</v>
      </c>
      <c r="AL40" s="90">
        <v>16</v>
      </c>
      <c r="AM40" s="77">
        <v>207</v>
      </c>
      <c r="AO40" s="116">
        <v>55.3</v>
      </c>
      <c r="AP40" s="71">
        <v>43730</v>
      </c>
      <c r="AQ40" s="117" t="s">
        <v>2338</v>
      </c>
      <c r="AR40" s="100">
        <v>64.400000000000006</v>
      </c>
      <c r="AS40" s="81">
        <v>0.1</v>
      </c>
      <c r="AT40" s="118">
        <v>2.8</v>
      </c>
      <c r="AU40" s="106">
        <v>20.3</v>
      </c>
      <c r="AV40" s="71">
        <v>48.5</v>
      </c>
      <c r="AX40" s="119"/>
      <c r="AY40" s="112"/>
      <c r="AZ40" s="82" t="s">
        <v>1279</v>
      </c>
      <c r="BA40" s="79" t="s">
        <v>1280</v>
      </c>
      <c r="BB40" s="79" t="s">
        <v>1281</v>
      </c>
      <c r="BD40" s="78">
        <v>113.8</v>
      </c>
      <c r="BE40" s="120">
        <v>102.4</v>
      </c>
      <c r="BF40" s="64" t="s">
        <v>1282</v>
      </c>
      <c r="BG40" s="60">
        <v>109.9</v>
      </c>
      <c r="BH40" s="68">
        <v>47382</v>
      </c>
      <c r="BI40" s="121"/>
      <c r="BJ40" s="112"/>
      <c r="BK40" s="122">
        <v>8.5</v>
      </c>
      <c r="BL40" s="123">
        <v>30887</v>
      </c>
      <c r="BM40" s="115" t="s">
        <v>1283</v>
      </c>
      <c r="BN40" s="115" t="s">
        <v>1284</v>
      </c>
      <c r="BP40" s="115">
        <v>0.374</v>
      </c>
      <c r="BQ40" s="84">
        <v>0.18</v>
      </c>
      <c r="BR40" s="85" t="s">
        <v>1285</v>
      </c>
      <c r="BS40" s="85" t="s">
        <v>1286</v>
      </c>
      <c r="BT40" s="115">
        <v>32.5</v>
      </c>
      <c r="BU40" s="124">
        <v>38.1</v>
      </c>
      <c r="BV40" s="125">
        <v>1956</v>
      </c>
      <c r="BW40" s="80">
        <v>184</v>
      </c>
      <c r="BX40" s="80">
        <v>24</v>
      </c>
      <c r="BY40" s="78">
        <v>81.599999999999994</v>
      </c>
      <c r="BZ40" s="115">
        <v>95.65</v>
      </c>
      <c r="CA40" s="115">
        <v>70.83</v>
      </c>
      <c r="CB40" s="112"/>
      <c r="CC40" s="112"/>
      <c r="CE40" s="70">
        <v>78.3</v>
      </c>
      <c r="CF40" s="70">
        <v>6.4</v>
      </c>
      <c r="CG40" s="69">
        <v>388</v>
      </c>
      <c r="CH40" s="69">
        <v>386</v>
      </c>
      <c r="CI40" s="69">
        <v>5.4</v>
      </c>
      <c r="CJ40" s="126">
        <v>116.27</v>
      </c>
      <c r="CK40" s="60">
        <v>116.3</v>
      </c>
      <c r="CL40" s="127">
        <v>46.31</v>
      </c>
      <c r="CM40" s="127">
        <v>570.1</v>
      </c>
      <c r="CN40" s="107">
        <v>4.3</v>
      </c>
      <c r="CO40" s="58">
        <v>1146.2</v>
      </c>
      <c r="CQ40" s="108" t="s">
        <v>2339</v>
      </c>
      <c r="CR40" s="78">
        <v>0.4</v>
      </c>
      <c r="CS40" s="78">
        <v>227.2</v>
      </c>
      <c r="CT40" s="78">
        <v>114.3</v>
      </c>
      <c r="CU40" s="128" t="s">
        <v>1287</v>
      </c>
      <c r="CV40" s="128">
        <v>88.3</v>
      </c>
      <c r="CW40" s="128" t="s">
        <v>1288</v>
      </c>
      <c r="CX40" s="60" t="s">
        <v>1289</v>
      </c>
      <c r="CY40" s="60">
        <v>24.7</v>
      </c>
      <c r="CZ40" s="112" t="s">
        <v>361</v>
      </c>
      <c r="DA40" s="129">
        <v>273475</v>
      </c>
      <c r="DB40" s="129">
        <v>47217</v>
      </c>
      <c r="DC40" s="70">
        <v>445.8</v>
      </c>
      <c r="DD40" s="86" t="s">
        <v>1290</v>
      </c>
      <c r="DE40" s="60" t="s">
        <v>1291</v>
      </c>
      <c r="DF40" s="60" t="s">
        <v>1292</v>
      </c>
      <c r="DG40" s="60" t="s">
        <v>1293</v>
      </c>
      <c r="DI40" s="70">
        <v>409</v>
      </c>
      <c r="DJ40" s="70">
        <v>97</v>
      </c>
      <c r="DK40" s="130">
        <v>94.9</v>
      </c>
      <c r="DM40" s="80">
        <v>327</v>
      </c>
      <c r="DN40" s="80">
        <v>405</v>
      </c>
      <c r="DO40" s="70">
        <v>507</v>
      </c>
      <c r="DP40" s="131">
        <v>100</v>
      </c>
      <c r="DQ40" s="132">
        <v>10.7</v>
      </c>
      <c r="DR40" s="60">
        <v>9.9</v>
      </c>
      <c r="DS40" s="78"/>
      <c r="DT40" s="90">
        <v>28</v>
      </c>
      <c r="DU40" s="60">
        <v>65</v>
      </c>
      <c r="DV40" s="70">
        <v>45</v>
      </c>
      <c r="DW40" s="70">
        <v>106</v>
      </c>
      <c r="DX40" s="78"/>
      <c r="DY40" s="70">
        <v>109</v>
      </c>
      <c r="DZ40" s="70">
        <v>105.8</v>
      </c>
      <c r="EA40" s="70">
        <v>108.1</v>
      </c>
      <c r="EB40" s="70">
        <v>105.8</v>
      </c>
      <c r="EC40" s="86" t="s">
        <v>1285</v>
      </c>
      <c r="ED40" s="60" t="s">
        <v>1286</v>
      </c>
      <c r="EE40" s="60">
        <v>109.2</v>
      </c>
      <c r="EF40" s="60">
        <v>105.5</v>
      </c>
      <c r="EG40" s="60">
        <v>102.8</v>
      </c>
      <c r="EH40" s="78"/>
      <c r="EI40" s="60">
        <v>47.2</v>
      </c>
      <c r="EJ40" s="89">
        <v>964.3</v>
      </c>
      <c r="EK40" s="89">
        <v>108</v>
      </c>
      <c r="EL40" s="141">
        <v>1496</v>
      </c>
      <c r="EM40" s="133">
        <v>18.8</v>
      </c>
      <c r="EN40" s="142" t="s">
        <v>1294</v>
      </c>
      <c r="EO40" s="78"/>
      <c r="EP40" s="133" t="s">
        <v>1295</v>
      </c>
      <c r="EQ40" s="134">
        <v>8209</v>
      </c>
      <c r="ER40" s="60">
        <v>26705</v>
      </c>
      <c r="ES40" s="60">
        <v>103740</v>
      </c>
      <c r="ET40" s="110" t="s">
        <v>2340</v>
      </c>
      <c r="EU40" s="110" t="s">
        <v>2341</v>
      </c>
      <c r="EV40" s="78"/>
      <c r="EW40" s="135">
        <v>75.5</v>
      </c>
      <c r="EX40" s="136">
        <v>35.9</v>
      </c>
      <c r="EY40" s="137"/>
      <c r="EZ40" s="136">
        <v>2054.5</v>
      </c>
      <c r="FA40" s="109">
        <v>27.5</v>
      </c>
      <c r="FB40" s="78"/>
      <c r="FC40" s="137"/>
      <c r="FD40" s="137"/>
      <c r="FE40" s="70">
        <v>649</v>
      </c>
      <c r="FF40" s="137"/>
      <c r="FG40" s="137"/>
      <c r="FH40" s="70">
        <v>256</v>
      </c>
      <c r="FI40" s="70">
        <v>872</v>
      </c>
      <c r="FJ40" s="137"/>
      <c r="FK40" s="70"/>
      <c r="FL40" s="90" t="s">
        <v>1296</v>
      </c>
      <c r="FM40" s="90" t="s">
        <v>1297</v>
      </c>
      <c r="FN40" s="90" t="s">
        <v>1298</v>
      </c>
    </row>
    <row r="41" spans="1:170" ht="15.6">
      <c r="A41" s="2">
        <v>58</v>
      </c>
      <c r="B41" s="52" t="s">
        <v>310</v>
      </c>
      <c r="D41" s="65">
        <v>85.25</v>
      </c>
      <c r="E41" s="63">
        <v>14.3</v>
      </c>
      <c r="F41" s="60">
        <v>0</v>
      </c>
      <c r="G41" s="60">
        <v>0</v>
      </c>
      <c r="H41" s="112"/>
      <c r="I41" s="112"/>
      <c r="J41" s="60">
        <v>40</v>
      </c>
      <c r="K41" s="112"/>
      <c r="L41" s="112"/>
      <c r="M41" s="93" t="s">
        <v>421</v>
      </c>
      <c r="N41" s="76" t="s">
        <v>511</v>
      </c>
      <c r="O41" s="76" t="s">
        <v>489</v>
      </c>
      <c r="Q41" s="101">
        <v>9.9499999999999993</v>
      </c>
      <c r="R41" s="102">
        <v>85.16</v>
      </c>
      <c r="S41" s="101">
        <v>62.99</v>
      </c>
      <c r="T41" s="113">
        <v>52.7</v>
      </c>
      <c r="V41" s="66">
        <v>43400</v>
      </c>
      <c r="X41" s="114">
        <v>5.8</v>
      </c>
      <c r="Y41" s="114">
        <v>2115.3000000000002</v>
      </c>
      <c r="Z41" s="71">
        <v>1197</v>
      </c>
      <c r="AA41" s="80">
        <v>15.7</v>
      </c>
      <c r="AB41" s="80">
        <v>53.6</v>
      </c>
      <c r="AC41" s="58">
        <v>27.8</v>
      </c>
      <c r="AD41" s="84">
        <v>72.63</v>
      </c>
      <c r="AE41" s="84">
        <v>66.66</v>
      </c>
      <c r="AF41" s="60">
        <v>78.55</v>
      </c>
      <c r="AG41" s="60">
        <v>18357</v>
      </c>
      <c r="AH41" s="60">
        <f t="shared" si="0"/>
        <v>18.356999999999999</v>
      </c>
      <c r="AI41" s="71">
        <v>718.57999999999993</v>
      </c>
      <c r="AJ41" s="115">
        <v>1.1978599999999999</v>
      </c>
      <c r="AK41" s="70">
        <v>705</v>
      </c>
      <c r="AL41" s="90">
        <v>24</v>
      </c>
      <c r="AM41" s="77">
        <v>264</v>
      </c>
      <c r="AO41" s="116">
        <v>58.9</v>
      </c>
      <c r="AP41" s="71">
        <v>36429</v>
      </c>
      <c r="AQ41" s="117" t="s">
        <v>2238</v>
      </c>
      <c r="AR41" s="100">
        <v>60.2</v>
      </c>
      <c r="AS41" s="81">
        <v>0.3</v>
      </c>
      <c r="AT41" s="118">
        <v>2.5</v>
      </c>
      <c r="AU41" s="106">
        <v>17.7</v>
      </c>
      <c r="AV41" s="71">
        <v>45.3</v>
      </c>
      <c r="AX41" s="119"/>
      <c r="AY41" s="112"/>
      <c r="AZ41" s="82" t="s">
        <v>1299</v>
      </c>
      <c r="BA41" s="79" t="s">
        <v>1300</v>
      </c>
      <c r="BB41" s="79" t="s">
        <v>1301</v>
      </c>
      <c r="BD41" s="78">
        <v>107.1</v>
      </c>
      <c r="BE41" s="120">
        <v>102.2</v>
      </c>
      <c r="BF41" s="64" t="s">
        <v>1302</v>
      </c>
      <c r="BG41" s="60">
        <v>111</v>
      </c>
      <c r="BH41" s="68">
        <v>48167</v>
      </c>
      <c r="BI41" s="121"/>
      <c r="BJ41" s="112"/>
      <c r="BK41" s="122">
        <v>10.199999999999999</v>
      </c>
      <c r="BL41" s="123">
        <v>29428</v>
      </c>
      <c r="BM41" s="115" t="s">
        <v>1303</v>
      </c>
      <c r="BN41" s="115" t="s">
        <v>1304</v>
      </c>
      <c r="BP41" s="115">
        <v>0.93899999999999995</v>
      </c>
      <c r="BQ41" s="84">
        <v>0.52400000000000002</v>
      </c>
      <c r="BR41" s="85" t="s">
        <v>1305</v>
      </c>
      <c r="BS41" s="85" t="s">
        <v>1306</v>
      </c>
      <c r="BT41" s="115">
        <v>34.6</v>
      </c>
      <c r="BU41" s="124">
        <v>42.2</v>
      </c>
      <c r="BV41" s="125">
        <v>1043</v>
      </c>
      <c r="BW41" s="80">
        <v>245</v>
      </c>
      <c r="BX41" s="80">
        <v>8</v>
      </c>
      <c r="BY41" s="78">
        <v>84</v>
      </c>
      <c r="BZ41" s="115">
        <v>92</v>
      </c>
      <c r="CA41" s="115">
        <v>71.209999999999994</v>
      </c>
      <c r="CB41" s="112"/>
      <c r="CC41" s="112"/>
      <c r="CE41" s="70">
        <v>135</v>
      </c>
      <c r="CF41" s="70">
        <v>8.5</v>
      </c>
      <c r="CG41" s="69">
        <v>248</v>
      </c>
      <c r="CH41" s="69">
        <v>243</v>
      </c>
      <c r="CI41" s="69">
        <v>5.8</v>
      </c>
      <c r="CJ41" s="126">
        <v>121.82</v>
      </c>
      <c r="CK41" s="60">
        <v>121.8</v>
      </c>
      <c r="CL41" s="127">
        <v>47.33</v>
      </c>
      <c r="CM41" s="127">
        <v>546.70000000000005</v>
      </c>
      <c r="CN41" s="107">
        <v>5.0999999999999996</v>
      </c>
      <c r="CO41" s="58">
        <v>763.5</v>
      </c>
      <c r="CQ41" s="108" t="s">
        <v>2342</v>
      </c>
      <c r="CR41" s="78">
        <v>3.5</v>
      </c>
      <c r="CS41" s="78">
        <v>398.1</v>
      </c>
      <c r="CT41" s="78">
        <v>107.7</v>
      </c>
      <c r="CU41" s="128" t="s">
        <v>485</v>
      </c>
      <c r="CV41" s="128">
        <v>106.2</v>
      </c>
      <c r="CW41" s="128" t="s">
        <v>1307</v>
      </c>
      <c r="CX41" s="60" t="s">
        <v>1308</v>
      </c>
      <c r="CY41" s="60">
        <v>24.7</v>
      </c>
      <c r="CZ41" s="60" t="s">
        <v>399</v>
      </c>
      <c r="DA41" s="129">
        <v>252997</v>
      </c>
      <c r="DB41" s="129">
        <v>81500</v>
      </c>
      <c r="DC41" s="70">
        <v>823.2</v>
      </c>
      <c r="DD41" s="86" t="s">
        <v>1309</v>
      </c>
      <c r="DE41" s="60" t="s">
        <v>1310</v>
      </c>
      <c r="DF41" s="60" t="s">
        <v>1311</v>
      </c>
      <c r="DG41" s="60" t="s">
        <v>1312</v>
      </c>
      <c r="DI41" s="70">
        <v>279</v>
      </c>
      <c r="DJ41" s="70">
        <v>114</v>
      </c>
      <c r="DK41" s="130">
        <v>125.3</v>
      </c>
      <c r="DM41" s="80">
        <v>175</v>
      </c>
      <c r="DN41" s="80">
        <v>521</v>
      </c>
      <c r="DO41" s="70">
        <v>3380</v>
      </c>
      <c r="DP41" s="131">
        <v>100</v>
      </c>
      <c r="DQ41" s="132">
        <v>26</v>
      </c>
      <c r="DR41" s="60">
        <v>20.100000000000001</v>
      </c>
      <c r="DS41" s="78"/>
      <c r="DT41" s="90">
        <v>38</v>
      </c>
      <c r="DU41" s="60">
        <v>199</v>
      </c>
      <c r="DV41" s="70">
        <v>98</v>
      </c>
      <c r="DW41" s="70">
        <v>111.6</v>
      </c>
      <c r="DX41" s="78"/>
      <c r="DY41" s="70">
        <v>108.9</v>
      </c>
      <c r="DZ41" s="70">
        <v>105.1</v>
      </c>
      <c r="EA41" s="70">
        <v>106</v>
      </c>
      <c r="EB41" s="70">
        <v>104.3</v>
      </c>
      <c r="EC41" s="86" t="s">
        <v>1305</v>
      </c>
      <c r="ED41" s="60" t="s">
        <v>1306</v>
      </c>
      <c r="EE41" s="60">
        <v>124</v>
      </c>
      <c r="EF41" s="60">
        <v>107.7</v>
      </c>
      <c r="EG41" s="60">
        <v>99.2</v>
      </c>
      <c r="EH41" s="78"/>
      <c r="EI41" s="60">
        <v>51.3</v>
      </c>
      <c r="EJ41" s="89">
        <v>5134.5</v>
      </c>
      <c r="EK41" s="89">
        <v>171</v>
      </c>
      <c r="EL41" s="87">
        <v>2036</v>
      </c>
      <c r="EM41" s="133">
        <v>21.8</v>
      </c>
      <c r="EN41" s="142" t="s">
        <v>1313</v>
      </c>
      <c r="EO41" s="78"/>
      <c r="EP41" s="133" t="s">
        <v>1314</v>
      </c>
      <c r="EQ41" s="134">
        <v>7143</v>
      </c>
      <c r="ER41" s="60">
        <v>55933</v>
      </c>
      <c r="ES41" s="60">
        <v>179719</v>
      </c>
      <c r="ET41" s="110" t="s">
        <v>2343</v>
      </c>
      <c r="EU41" s="110" t="s">
        <v>2344</v>
      </c>
      <c r="EV41" s="78"/>
      <c r="EW41" s="135">
        <v>82.3</v>
      </c>
      <c r="EX41" s="136">
        <v>33.1</v>
      </c>
      <c r="EY41" s="137"/>
      <c r="EZ41" s="136">
        <v>1753.8</v>
      </c>
      <c r="FA41" s="109">
        <v>22</v>
      </c>
      <c r="FB41" s="78"/>
      <c r="FC41" s="137"/>
      <c r="FD41" s="137"/>
      <c r="FE41" s="70">
        <v>786</v>
      </c>
      <c r="FF41" s="137"/>
      <c r="FG41" s="137"/>
      <c r="FH41" s="70">
        <v>1083</v>
      </c>
      <c r="FI41" s="70">
        <v>2412</v>
      </c>
      <c r="FJ41" s="137"/>
      <c r="FK41" s="70"/>
      <c r="FL41" s="90" t="s">
        <v>1315</v>
      </c>
      <c r="FM41" s="90" t="s">
        <v>1316</v>
      </c>
      <c r="FN41" s="90">
        <v>-326</v>
      </c>
    </row>
    <row r="42" spans="1:170" ht="15.6">
      <c r="A42" s="2">
        <v>59</v>
      </c>
      <c r="B42" s="52" t="s">
        <v>311</v>
      </c>
      <c r="D42" s="63">
        <v>70.75</v>
      </c>
      <c r="E42" s="63">
        <v>28.27</v>
      </c>
      <c r="F42" s="60">
        <v>0</v>
      </c>
      <c r="G42" s="60">
        <v>0</v>
      </c>
      <c r="H42" s="112"/>
      <c r="I42" s="112"/>
      <c r="J42" s="60">
        <v>19</v>
      </c>
      <c r="K42" s="112"/>
      <c r="L42" s="112"/>
      <c r="M42" s="93" t="s">
        <v>421</v>
      </c>
      <c r="N42" s="76" t="s">
        <v>531</v>
      </c>
      <c r="O42" s="76" t="s">
        <v>489</v>
      </c>
      <c r="Q42" s="101">
        <v>9.9499999999999993</v>
      </c>
      <c r="R42" s="102">
        <v>85.16</v>
      </c>
      <c r="S42" s="101">
        <v>62.99</v>
      </c>
      <c r="T42" s="113">
        <v>53.64</v>
      </c>
      <c r="V42" s="66">
        <v>160200</v>
      </c>
      <c r="X42" s="114">
        <v>6.7</v>
      </c>
      <c r="Y42" s="114">
        <v>2115.3000000000002</v>
      </c>
      <c r="Z42" s="71">
        <v>1187</v>
      </c>
      <c r="AA42" s="80">
        <v>20.2</v>
      </c>
      <c r="AB42" s="80">
        <v>53.9</v>
      </c>
      <c r="AC42" s="58">
        <v>23.4</v>
      </c>
      <c r="AD42" s="84">
        <v>70.94</v>
      </c>
      <c r="AE42" s="84">
        <v>64.63</v>
      </c>
      <c r="AF42" s="60">
        <v>77.2</v>
      </c>
      <c r="AG42" s="60">
        <v>33229</v>
      </c>
      <c r="AH42" s="60">
        <f t="shared" si="0"/>
        <v>33.228999999999999</v>
      </c>
      <c r="AI42" s="71">
        <v>636.5</v>
      </c>
      <c r="AJ42" s="115">
        <v>1.5564100000000001</v>
      </c>
      <c r="AK42" s="70">
        <v>721</v>
      </c>
      <c r="AL42" s="146" t="s">
        <v>23</v>
      </c>
      <c r="AM42" s="147" t="s">
        <v>23</v>
      </c>
      <c r="AO42" s="116">
        <v>57.6</v>
      </c>
      <c r="AP42" s="71">
        <v>45639</v>
      </c>
      <c r="AQ42" s="117" t="s">
        <v>2304</v>
      </c>
      <c r="AR42" s="100">
        <v>73.3</v>
      </c>
      <c r="AS42" s="81">
        <v>0.2</v>
      </c>
      <c r="AT42" s="118">
        <v>3.4</v>
      </c>
      <c r="AU42" s="106">
        <v>15.4</v>
      </c>
      <c r="AV42" s="71">
        <v>49.1</v>
      </c>
      <c r="AX42" s="119"/>
      <c r="AY42" s="112"/>
      <c r="AZ42" s="82" t="s">
        <v>1317</v>
      </c>
      <c r="BA42" s="79" t="s">
        <v>1318</v>
      </c>
      <c r="BB42" s="79" t="s">
        <v>1319</v>
      </c>
      <c r="BD42" s="78">
        <v>107.9</v>
      </c>
      <c r="BE42" s="120">
        <v>102.5</v>
      </c>
      <c r="BF42" s="64" t="s">
        <v>1320</v>
      </c>
      <c r="BG42" s="60">
        <v>110.8</v>
      </c>
      <c r="BH42" s="68">
        <v>62393</v>
      </c>
      <c r="BI42" s="121"/>
      <c r="BJ42" s="112"/>
      <c r="BK42" s="122">
        <v>9.9</v>
      </c>
      <c r="BL42" s="123">
        <v>35068</v>
      </c>
      <c r="BM42" s="115" t="s">
        <v>1321</v>
      </c>
      <c r="BN42" s="115" t="s">
        <v>1322</v>
      </c>
      <c r="BP42" s="115">
        <v>1.9279999999999999</v>
      </c>
      <c r="BQ42" s="84">
        <v>0.68100000000000005</v>
      </c>
      <c r="BR42" s="85" t="s">
        <v>1323</v>
      </c>
      <c r="BS42" s="85" t="s">
        <v>1324</v>
      </c>
      <c r="BT42" s="115">
        <v>28</v>
      </c>
      <c r="BU42" s="124">
        <v>36.700000000000003</v>
      </c>
      <c r="BV42" s="125">
        <v>1386</v>
      </c>
      <c r="BW42" s="80">
        <v>419</v>
      </c>
      <c r="BX42" s="80">
        <v>55</v>
      </c>
      <c r="BY42" s="78">
        <v>87.1</v>
      </c>
      <c r="BZ42" s="115">
        <v>79.58</v>
      </c>
      <c r="CA42" s="115">
        <v>73.09</v>
      </c>
      <c r="CB42" s="112"/>
      <c r="CC42" s="112"/>
      <c r="CE42" s="70">
        <v>340.8</v>
      </c>
      <c r="CF42" s="70">
        <v>17.899999999999999</v>
      </c>
      <c r="CG42" s="69">
        <v>217</v>
      </c>
      <c r="CH42" s="69">
        <v>214</v>
      </c>
      <c r="CI42" s="69">
        <v>9.5</v>
      </c>
      <c r="CJ42" s="126">
        <v>132.02000000000001</v>
      </c>
      <c r="CK42" s="60">
        <v>132</v>
      </c>
      <c r="CL42" s="127">
        <v>49.64</v>
      </c>
      <c r="CM42" s="127">
        <v>644.20000000000005</v>
      </c>
      <c r="CN42" s="107">
        <v>4.5</v>
      </c>
      <c r="CO42" s="58">
        <v>921.5</v>
      </c>
      <c r="CQ42" s="108" t="s">
        <v>2345</v>
      </c>
      <c r="CR42" s="78">
        <v>633.29999999999995</v>
      </c>
      <c r="CS42" s="78" t="s">
        <v>1325</v>
      </c>
      <c r="CT42" s="78">
        <v>91.5</v>
      </c>
      <c r="CU42" s="128" t="s">
        <v>1326</v>
      </c>
      <c r="CV42" s="128">
        <v>115.8</v>
      </c>
      <c r="CW42" s="128" t="s">
        <v>1327</v>
      </c>
      <c r="CX42" s="60" t="s">
        <v>1328</v>
      </c>
      <c r="CY42" s="60">
        <v>21.5</v>
      </c>
      <c r="CZ42" s="112" t="s">
        <v>361</v>
      </c>
      <c r="DA42" s="129">
        <v>280885</v>
      </c>
      <c r="DB42" s="129">
        <v>242795</v>
      </c>
      <c r="DC42" s="70">
        <v>2086.8000000000002</v>
      </c>
      <c r="DD42" s="86" t="s">
        <v>1329</v>
      </c>
      <c r="DE42" s="60" t="s">
        <v>1330</v>
      </c>
      <c r="DF42" s="60" t="s">
        <v>1331</v>
      </c>
      <c r="DG42" s="60" t="s">
        <v>1332</v>
      </c>
      <c r="DI42" s="70">
        <v>147</v>
      </c>
      <c r="DJ42" s="70">
        <v>86</v>
      </c>
      <c r="DK42" s="130">
        <v>82.2</v>
      </c>
      <c r="DM42" s="80">
        <v>349</v>
      </c>
      <c r="DN42" s="80">
        <v>396</v>
      </c>
      <c r="DO42" s="70">
        <v>4039</v>
      </c>
      <c r="DP42" s="131">
        <v>99</v>
      </c>
      <c r="DQ42" s="132">
        <v>216.4</v>
      </c>
      <c r="DR42" s="60">
        <v>86.8</v>
      </c>
      <c r="DS42" s="78"/>
      <c r="DT42" s="90">
        <v>286</v>
      </c>
      <c r="DU42" s="60" t="s">
        <v>377</v>
      </c>
      <c r="DV42" s="70">
        <v>124</v>
      </c>
      <c r="DW42" s="70">
        <v>112.7</v>
      </c>
      <c r="DX42" s="78"/>
      <c r="DY42" s="70">
        <v>107.5</v>
      </c>
      <c r="DZ42" s="70">
        <v>107.4</v>
      </c>
      <c r="EA42" s="70">
        <v>108.6</v>
      </c>
      <c r="EB42" s="70">
        <v>105.7</v>
      </c>
      <c r="EC42" s="86" t="s">
        <v>1323</v>
      </c>
      <c r="ED42" s="60" t="s">
        <v>1324</v>
      </c>
      <c r="EE42" s="60">
        <v>77.400000000000006</v>
      </c>
      <c r="EF42" s="60">
        <v>91.5</v>
      </c>
      <c r="EG42" s="60">
        <v>97.2</v>
      </c>
      <c r="EH42" s="78"/>
      <c r="EI42" s="60">
        <v>57.6</v>
      </c>
      <c r="EJ42" s="89">
        <v>27309.7</v>
      </c>
      <c r="EK42" s="89">
        <v>818</v>
      </c>
      <c r="EL42" s="87">
        <v>16504</v>
      </c>
      <c r="EM42" s="133">
        <v>28.5</v>
      </c>
      <c r="EN42" s="142" t="s">
        <v>1333</v>
      </c>
      <c r="EO42" s="78"/>
      <c r="EP42" s="133" t="s">
        <v>1334</v>
      </c>
      <c r="EQ42" s="134">
        <v>31638</v>
      </c>
      <c r="ER42" s="60">
        <v>130853</v>
      </c>
      <c r="ES42" s="60">
        <v>454136</v>
      </c>
      <c r="ET42" s="110" t="s">
        <v>2346</v>
      </c>
      <c r="EU42" s="110" t="s">
        <v>2347</v>
      </c>
      <c r="EV42" s="78"/>
      <c r="EW42" s="135">
        <v>87</v>
      </c>
      <c r="EX42" s="136">
        <v>41.7</v>
      </c>
      <c r="EY42" s="137"/>
      <c r="EZ42" s="136">
        <v>2023.6</v>
      </c>
      <c r="FA42" s="109">
        <v>24.5</v>
      </c>
      <c r="FB42" s="78"/>
      <c r="FC42" s="137"/>
      <c r="FD42" s="137"/>
      <c r="FE42" s="70">
        <v>1359</v>
      </c>
      <c r="FF42" s="137"/>
      <c r="FG42" s="137"/>
      <c r="FH42" s="70">
        <v>2619</v>
      </c>
      <c r="FI42" s="70">
        <v>6312</v>
      </c>
      <c r="FJ42" s="137"/>
      <c r="FK42" s="70"/>
      <c r="FL42" s="90" t="s">
        <v>1335</v>
      </c>
      <c r="FM42" s="90" t="s">
        <v>1336</v>
      </c>
      <c r="FN42" s="90" t="s">
        <v>1337</v>
      </c>
    </row>
    <row r="43" spans="1:170" ht="15.6">
      <c r="A43" s="2">
        <v>25</v>
      </c>
      <c r="B43" s="52" t="s">
        <v>312</v>
      </c>
      <c r="D43" s="63">
        <v>78.86</v>
      </c>
      <c r="E43" s="63">
        <v>20.239999999999998</v>
      </c>
      <c r="F43" s="60">
        <v>0</v>
      </c>
      <c r="G43" s="60">
        <v>0</v>
      </c>
      <c r="H43" s="112"/>
      <c r="I43" s="112"/>
      <c r="J43" s="60">
        <v>26</v>
      </c>
      <c r="K43" s="112"/>
      <c r="L43" s="112"/>
      <c r="M43" s="93" t="s">
        <v>926</v>
      </c>
      <c r="N43" s="76" t="s">
        <v>488</v>
      </c>
      <c r="O43" s="76" t="s">
        <v>489</v>
      </c>
      <c r="Q43" s="101">
        <v>9.9499999999999993</v>
      </c>
      <c r="R43" s="102">
        <v>85.16</v>
      </c>
      <c r="S43" s="101">
        <v>62.990000000000101</v>
      </c>
      <c r="T43" s="113">
        <v>53.94</v>
      </c>
      <c r="V43" s="66">
        <v>164700</v>
      </c>
      <c r="X43" s="114">
        <v>8.1999999999999993</v>
      </c>
      <c r="Y43" s="114">
        <v>2115.3000000000002</v>
      </c>
      <c r="Z43" s="71">
        <v>1141</v>
      </c>
      <c r="AA43" s="80">
        <v>17.5</v>
      </c>
      <c r="AB43" s="80">
        <v>57</v>
      </c>
      <c r="AC43" s="58">
        <v>22.9</v>
      </c>
      <c r="AD43" s="84">
        <v>70.06</v>
      </c>
      <c r="AE43" s="84">
        <v>64.239999999999995</v>
      </c>
      <c r="AF43" s="60">
        <v>76.25</v>
      </c>
      <c r="AG43" s="60">
        <v>25457</v>
      </c>
      <c r="AH43" s="60">
        <f t="shared" si="0"/>
        <v>25.457000000000001</v>
      </c>
      <c r="AI43" s="71">
        <v>578.64499999999998</v>
      </c>
      <c r="AJ43" s="115">
        <v>1.4412700000000001</v>
      </c>
      <c r="AK43" s="70">
        <v>701</v>
      </c>
      <c r="AL43" s="90">
        <v>3</v>
      </c>
      <c r="AM43" s="77">
        <v>27</v>
      </c>
      <c r="AO43" s="116">
        <v>62.6</v>
      </c>
      <c r="AP43" s="71">
        <v>54494</v>
      </c>
      <c r="AQ43" s="117" t="s">
        <v>2230</v>
      </c>
      <c r="AR43" s="100">
        <v>60.9</v>
      </c>
      <c r="AS43" s="81">
        <v>0.1</v>
      </c>
      <c r="AT43" s="118">
        <v>2.6</v>
      </c>
      <c r="AU43" s="106">
        <v>7.1</v>
      </c>
      <c r="AV43" s="71">
        <v>45</v>
      </c>
      <c r="AX43" s="119"/>
      <c r="AY43" s="112"/>
      <c r="AZ43" s="82" t="s">
        <v>1338</v>
      </c>
      <c r="BA43" s="79" t="s">
        <v>1339</v>
      </c>
      <c r="BB43" s="79" t="s">
        <v>1340</v>
      </c>
      <c r="BD43" s="78">
        <v>101.3</v>
      </c>
      <c r="BE43" s="120">
        <v>102.8</v>
      </c>
      <c r="BF43" s="64" t="s">
        <v>1341</v>
      </c>
      <c r="BG43" s="60">
        <v>109</v>
      </c>
      <c r="BH43" s="68">
        <v>73960</v>
      </c>
      <c r="BI43" s="121"/>
      <c r="BJ43" s="112"/>
      <c r="BK43" s="122">
        <v>10.199999999999999</v>
      </c>
      <c r="BL43" s="123">
        <v>44081</v>
      </c>
      <c r="BM43" s="115" t="s">
        <v>1342</v>
      </c>
      <c r="BN43" s="115" t="s">
        <v>1343</v>
      </c>
      <c r="BP43" s="115">
        <v>1.2090000000000001</v>
      </c>
      <c r="BQ43" s="84">
        <v>0.64600000000000002</v>
      </c>
      <c r="BR43" s="85" t="s">
        <v>1344</v>
      </c>
      <c r="BS43" s="85" t="s">
        <v>1345</v>
      </c>
      <c r="BT43" s="115">
        <v>26</v>
      </c>
      <c r="BU43" s="124">
        <v>31.5</v>
      </c>
      <c r="BV43" s="125">
        <v>1822</v>
      </c>
      <c r="BW43" s="80">
        <v>325</v>
      </c>
      <c r="BX43" s="80">
        <v>68</v>
      </c>
      <c r="BY43" s="78">
        <v>79.3</v>
      </c>
      <c r="BZ43" s="115">
        <v>82</v>
      </c>
      <c r="CA43" s="115">
        <v>59.13</v>
      </c>
      <c r="CB43" s="112"/>
      <c r="CC43" s="112"/>
      <c r="CE43" s="70">
        <v>218.9</v>
      </c>
      <c r="CF43" s="70">
        <v>11.8</v>
      </c>
      <c r="CG43" s="69">
        <v>249</v>
      </c>
      <c r="CH43" s="69">
        <v>248</v>
      </c>
      <c r="CI43" s="69">
        <v>7.6</v>
      </c>
      <c r="CJ43" s="126">
        <v>108.83</v>
      </c>
      <c r="CK43" s="60">
        <v>108.8</v>
      </c>
      <c r="CL43" s="127">
        <v>53.54</v>
      </c>
      <c r="CM43" s="127">
        <v>678.4</v>
      </c>
      <c r="CN43" s="107">
        <v>5</v>
      </c>
      <c r="CO43" s="58">
        <v>888.1</v>
      </c>
      <c r="CQ43" s="108" t="s">
        <v>2348</v>
      </c>
      <c r="CR43" s="78">
        <v>29.8</v>
      </c>
      <c r="CS43" s="78">
        <v>325.2</v>
      </c>
      <c r="CT43" s="78">
        <v>87</v>
      </c>
      <c r="CU43" s="128" t="s">
        <v>1346</v>
      </c>
      <c r="CV43" s="128">
        <v>115</v>
      </c>
      <c r="CW43" s="128" t="s">
        <v>1347</v>
      </c>
      <c r="CX43" s="60" t="s">
        <v>1348</v>
      </c>
      <c r="CY43" s="60">
        <v>36.799999999999997</v>
      </c>
      <c r="CZ43" s="60" t="s">
        <v>1349</v>
      </c>
      <c r="DA43" s="129">
        <v>356548</v>
      </c>
      <c r="DB43" s="129">
        <v>210225</v>
      </c>
      <c r="DC43" s="70">
        <v>1802.7</v>
      </c>
      <c r="DD43" s="86" t="s">
        <v>1350</v>
      </c>
      <c r="DE43" s="60" t="s">
        <v>1351</v>
      </c>
      <c r="DF43" s="60" t="s">
        <v>1352</v>
      </c>
      <c r="DG43" s="60" t="s">
        <v>1353</v>
      </c>
      <c r="DI43" s="70">
        <v>94</v>
      </c>
      <c r="DJ43" s="70">
        <v>85</v>
      </c>
      <c r="DK43" s="130">
        <v>127.1</v>
      </c>
      <c r="DM43" s="80">
        <v>318</v>
      </c>
      <c r="DN43" s="80">
        <v>235</v>
      </c>
      <c r="DO43" s="70">
        <v>3005</v>
      </c>
      <c r="DP43" s="131">
        <v>98.7</v>
      </c>
      <c r="DQ43" s="132">
        <v>15.1</v>
      </c>
      <c r="DR43" s="60">
        <v>54</v>
      </c>
      <c r="DS43" s="78"/>
      <c r="DT43" s="90">
        <v>204</v>
      </c>
      <c r="DU43" s="60">
        <v>436</v>
      </c>
      <c r="DV43" s="70">
        <v>238</v>
      </c>
      <c r="DW43" s="70">
        <v>97.3</v>
      </c>
      <c r="DX43" s="78"/>
      <c r="DY43" s="70">
        <v>108.8</v>
      </c>
      <c r="DZ43" s="70">
        <v>110.3</v>
      </c>
      <c r="EA43" s="70">
        <v>109.1</v>
      </c>
      <c r="EB43" s="70">
        <v>108.3</v>
      </c>
      <c r="EC43" s="86" t="s">
        <v>1344</v>
      </c>
      <c r="ED43" s="60" t="s">
        <v>1345</v>
      </c>
      <c r="EE43" s="60">
        <v>119.5</v>
      </c>
      <c r="EF43" s="60">
        <v>87</v>
      </c>
      <c r="EG43" s="60">
        <v>101.5</v>
      </c>
      <c r="EH43" s="78"/>
      <c r="EI43" s="60">
        <v>27.7</v>
      </c>
      <c r="EJ43" s="89">
        <v>10116.299999999999</v>
      </c>
      <c r="EK43" s="89">
        <v>1300</v>
      </c>
      <c r="EL43" s="87">
        <v>1426</v>
      </c>
      <c r="EM43" s="133">
        <v>17.600000000000001</v>
      </c>
      <c r="EN43" s="133" t="s">
        <v>1354</v>
      </c>
      <c r="EO43" s="78"/>
      <c r="EP43" s="133" t="s">
        <v>1355</v>
      </c>
      <c r="EQ43" s="134">
        <v>36437</v>
      </c>
      <c r="ER43" s="60">
        <v>125524</v>
      </c>
      <c r="ES43" s="60">
        <v>395543</v>
      </c>
      <c r="ET43" s="110" t="s">
        <v>2349</v>
      </c>
      <c r="EU43" s="110" t="s">
        <v>2350</v>
      </c>
      <c r="EV43" s="78"/>
      <c r="EW43" s="135">
        <v>87.9</v>
      </c>
      <c r="EX43" s="136">
        <v>39.700000000000003</v>
      </c>
      <c r="EY43" s="137"/>
      <c r="EZ43" s="136">
        <v>1893.6</v>
      </c>
      <c r="FA43" s="109">
        <v>17.2</v>
      </c>
      <c r="FB43" s="78"/>
      <c r="FC43" s="137"/>
      <c r="FD43" s="137"/>
      <c r="FE43" s="70">
        <v>1202</v>
      </c>
      <c r="FF43" s="137"/>
      <c r="FG43" s="137"/>
      <c r="FH43" s="70">
        <v>2005</v>
      </c>
      <c r="FI43" s="70">
        <v>3529</v>
      </c>
      <c r="FJ43" s="137"/>
      <c r="FK43" s="70"/>
      <c r="FL43" s="90" t="s">
        <v>1356</v>
      </c>
      <c r="FM43" s="90" t="s">
        <v>1357</v>
      </c>
      <c r="FN43" s="90" t="s">
        <v>1358</v>
      </c>
    </row>
    <row r="44" spans="1:170" ht="15.6">
      <c r="A44" s="2">
        <v>60</v>
      </c>
      <c r="B44" s="52" t="s">
        <v>313</v>
      </c>
      <c r="D44" s="63">
        <v>78.739999999999995</v>
      </c>
      <c r="E44" s="63">
        <v>20.54</v>
      </c>
      <c r="F44" s="60">
        <v>0</v>
      </c>
      <c r="G44" s="60">
        <v>0</v>
      </c>
      <c r="H44" s="112"/>
      <c r="I44" s="112"/>
      <c r="J44" s="60">
        <v>74</v>
      </c>
      <c r="K44" s="112"/>
      <c r="L44" s="112"/>
      <c r="M44" s="93" t="s">
        <v>591</v>
      </c>
      <c r="N44" s="76" t="s">
        <v>489</v>
      </c>
      <c r="O44" s="76" t="s">
        <v>489</v>
      </c>
      <c r="Q44" s="101">
        <v>9.9499999999999993</v>
      </c>
      <c r="R44" s="102">
        <v>85.16</v>
      </c>
      <c r="S44" s="101">
        <v>62.990000000000101</v>
      </c>
      <c r="T44" s="113">
        <v>53.14</v>
      </c>
      <c r="V44" s="66">
        <v>55400</v>
      </c>
      <c r="X44" s="114">
        <v>6.6</v>
      </c>
      <c r="Y44" s="114">
        <v>2115.3000000000002</v>
      </c>
      <c r="Z44" s="71">
        <v>1209</v>
      </c>
      <c r="AA44" s="80">
        <v>16.399999999999999</v>
      </c>
      <c r="AB44" s="80">
        <v>53.1</v>
      </c>
      <c r="AC44" s="58">
        <v>27.8</v>
      </c>
      <c r="AD44" s="84">
        <v>70</v>
      </c>
      <c r="AE44" s="84">
        <v>63.64</v>
      </c>
      <c r="AF44" s="60">
        <v>76.52</v>
      </c>
      <c r="AG44" s="60">
        <v>9890</v>
      </c>
      <c r="AH44" s="60">
        <f t="shared" si="0"/>
        <v>9.89</v>
      </c>
      <c r="AI44" s="71">
        <v>704.2349999999999</v>
      </c>
      <c r="AJ44" s="70">
        <v>1.3049999999999999</v>
      </c>
      <c r="AK44" s="70">
        <v>750</v>
      </c>
      <c r="AL44" s="90">
        <v>17</v>
      </c>
      <c r="AM44" s="77">
        <v>60</v>
      </c>
      <c r="AO44" s="116">
        <v>59.9</v>
      </c>
      <c r="AP44" s="71">
        <v>39898</v>
      </c>
      <c r="AQ44" s="117" t="s">
        <v>2238</v>
      </c>
      <c r="AR44" s="100">
        <v>69.7</v>
      </c>
      <c r="AS44" s="81">
        <v>0.1</v>
      </c>
      <c r="AT44" s="118">
        <v>3.6</v>
      </c>
      <c r="AU44" s="106">
        <v>21</v>
      </c>
      <c r="AV44" s="71">
        <v>43.7</v>
      </c>
      <c r="AX44" s="119"/>
      <c r="AY44" s="112"/>
      <c r="AZ44" s="82" t="s">
        <v>1359</v>
      </c>
      <c r="BA44" s="79" t="s">
        <v>1360</v>
      </c>
      <c r="BB44" s="79" t="s">
        <v>1361</v>
      </c>
      <c r="BD44" s="78">
        <v>106.8</v>
      </c>
      <c r="BE44" s="120">
        <v>103.2</v>
      </c>
      <c r="BF44" s="64" t="s">
        <v>1362</v>
      </c>
      <c r="BG44" s="60">
        <v>109.3</v>
      </c>
      <c r="BH44" s="68">
        <v>44853</v>
      </c>
      <c r="BI44" s="121"/>
      <c r="BJ44" s="112"/>
      <c r="BK44" s="122">
        <v>12.5</v>
      </c>
      <c r="BL44" s="123">
        <v>32386</v>
      </c>
      <c r="BM44" s="115" t="s">
        <v>1363</v>
      </c>
      <c r="BN44" s="115" t="s">
        <v>1364</v>
      </c>
      <c r="BP44" s="115">
        <v>0.379</v>
      </c>
      <c r="BQ44" s="84">
        <v>0.13800000000000001</v>
      </c>
      <c r="BR44" s="85" t="s">
        <v>1365</v>
      </c>
      <c r="BS44" s="85" t="s">
        <v>1366</v>
      </c>
      <c r="BT44" s="115">
        <v>37.9</v>
      </c>
      <c r="BU44" s="124">
        <v>41.4</v>
      </c>
      <c r="BV44" s="125">
        <v>1213</v>
      </c>
      <c r="BW44" s="80">
        <v>82</v>
      </c>
      <c r="BX44" s="80">
        <v>1</v>
      </c>
      <c r="BY44" s="78">
        <v>63.2</v>
      </c>
      <c r="BZ44" s="115">
        <v>69.66</v>
      </c>
      <c r="CA44" s="115">
        <v>47.04</v>
      </c>
      <c r="CB44" s="112"/>
      <c r="CC44" s="112"/>
      <c r="CE44" s="70">
        <v>69.099999999999994</v>
      </c>
      <c r="CF44" s="70">
        <v>4.5</v>
      </c>
      <c r="CG44" s="69">
        <v>192</v>
      </c>
      <c r="CH44" s="69">
        <v>187</v>
      </c>
      <c r="CI44" s="69">
        <v>1.9</v>
      </c>
      <c r="CJ44" s="126">
        <v>107.34</v>
      </c>
      <c r="CK44" s="60">
        <v>107.3</v>
      </c>
      <c r="CL44" s="127">
        <v>34.5</v>
      </c>
      <c r="CM44" s="127">
        <v>697</v>
      </c>
      <c r="CN44" s="107">
        <v>4.5999999999999996</v>
      </c>
      <c r="CO44" s="58">
        <v>755.1</v>
      </c>
      <c r="CQ44" s="108" t="s">
        <v>2351</v>
      </c>
      <c r="CR44" s="78">
        <v>2.2000000000000002</v>
      </c>
      <c r="CS44" s="78">
        <v>186.1</v>
      </c>
      <c r="CT44" s="78">
        <v>98.7</v>
      </c>
      <c r="CU44" s="128" t="s">
        <v>1367</v>
      </c>
      <c r="CV44" s="128">
        <v>100.5</v>
      </c>
      <c r="CW44" s="128" t="s">
        <v>1368</v>
      </c>
      <c r="CX44" s="60" t="s">
        <v>1369</v>
      </c>
      <c r="CY44" s="60">
        <v>34.4</v>
      </c>
      <c r="CZ44" s="112" t="s">
        <v>361</v>
      </c>
      <c r="DA44" s="129">
        <v>297168</v>
      </c>
      <c r="DB44" s="129">
        <v>37132</v>
      </c>
      <c r="DC44" s="70">
        <v>530.20000000000005</v>
      </c>
      <c r="DD44" s="86" t="s">
        <v>1370</v>
      </c>
      <c r="DE44" s="60" t="s">
        <v>1371</v>
      </c>
      <c r="DF44" s="60" t="s">
        <v>1372</v>
      </c>
      <c r="DG44" s="60" t="s">
        <v>1373</v>
      </c>
      <c r="DI44" s="70">
        <v>313</v>
      </c>
      <c r="DJ44" s="70">
        <v>144</v>
      </c>
      <c r="DK44" s="130">
        <v>117.5</v>
      </c>
      <c r="DM44" s="80">
        <v>204</v>
      </c>
      <c r="DN44" s="80" t="s">
        <v>1374</v>
      </c>
      <c r="DO44" s="70">
        <v>912</v>
      </c>
      <c r="DP44" s="131">
        <v>99.9</v>
      </c>
      <c r="DQ44" s="132">
        <v>21.5</v>
      </c>
      <c r="DR44" s="60">
        <v>9.8000000000000007</v>
      </c>
      <c r="DS44" s="78"/>
      <c r="DT44" s="90">
        <v>43</v>
      </c>
      <c r="DU44" s="60">
        <v>68</v>
      </c>
      <c r="DV44" s="70">
        <v>34</v>
      </c>
      <c r="DW44" s="70">
        <v>88.3</v>
      </c>
      <c r="DX44" s="78"/>
      <c r="DY44" s="70">
        <v>107.8</v>
      </c>
      <c r="DZ44" s="70">
        <v>104.9</v>
      </c>
      <c r="EA44" s="70">
        <v>104.6</v>
      </c>
      <c r="EB44" s="70">
        <v>105.6</v>
      </c>
      <c r="EC44" s="86" t="s">
        <v>1365</v>
      </c>
      <c r="ED44" s="60" t="s">
        <v>1366</v>
      </c>
      <c r="EE44" s="60">
        <v>118.9</v>
      </c>
      <c r="EF44" s="60">
        <v>98.7</v>
      </c>
      <c r="EG44" s="60">
        <v>91.6</v>
      </c>
      <c r="EH44" s="78"/>
      <c r="EI44" s="60">
        <v>53.8</v>
      </c>
      <c r="EJ44" s="89">
        <v>261.7</v>
      </c>
      <c r="EK44" s="89">
        <v>29</v>
      </c>
      <c r="EL44" s="87">
        <v>1503</v>
      </c>
      <c r="EM44" s="133">
        <v>16.899999999999999</v>
      </c>
      <c r="EN44" s="133" t="s">
        <v>1375</v>
      </c>
      <c r="EO44" s="78"/>
      <c r="EP44" s="133" t="s">
        <v>1376</v>
      </c>
      <c r="EQ44" s="134">
        <v>3328</v>
      </c>
      <c r="ER44" s="60">
        <v>18973</v>
      </c>
      <c r="ES44" s="60">
        <v>81299</v>
      </c>
      <c r="ET44" s="110" t="s">
        <v>2352</v>
      </c>
      <c r="EU44" s="110" t="s">
        <v>403</v>
      </c>
      <c r="EV44" s="78"/>
      <c r="EW44" s="135">
        <v>85.4</v>
      </c>
      <c r="EX44" s="136">
        <v>36</v>
      </c>
      <c r="EY44" s="137"/>
      <c r="EZ44" s="136">
        <v>2059.6</v>
      </c>
      <c r="FA44" s="109">
        <v>25.1</v>
      </c>
      <c r="FB44" s="78"/>
      <c r="FC44" s="137"/>
      <c r="FD44" s="137"/>
      <c r="FE44" s="70">
        <v>274</v>
      </c>
      <c r="FF44" s="137"/>
      <c r="FG44" s="137"/>
      <c r="FH44" s="70">
        <v>520</v>
      </c>
      <c r="FI44" s="70">
        <v>1235</v>
      </c>
      <c r="FJ44" s="137"/>
      <c r="FK44" s="70"/>
      <c r="FL44" s="90" t="s">
        <v>1377</v>
      </c>
      <c r="FM44" s="90" t="s">
        <v>1378</v>
      </c>
      <c r="FN44" s="90">
        <v>-801</v>
      </c>
    </row>
    <row r="45" spans="1:170" ht="15.6">
      <c r="A45" s="2">
        <v>1</v>
      </c>
      <c r="B45" s="52" t="s">
        <v>314</v>
      </c>
      <c r="D45" s="63">
        <v>84.55</v>
      </c>
      <c r="E45" s="63">
        <v>14.66</v>
      </c>
      <c r="F45" s="60">
        <v>0</v>
      </c>
      <c r="G45" s="60">
        <v>0</v>
      </c>
      <c r="H45" s="112"/>
      <c r="I45" s="112"/>
      <c r="J45" s="60">
        <v>78</v>
      </c>
      <c r="K45" s="112"/>
      <c r="L45" s="112"/>
      <c r="M45" s="93" t="s">
        <v>591</v>
      </c>
      <c r="N45" s="93" t="s">
        <v>511</v>
      </c>
      <c r="O45" s="93" t="s">
        <v>489</v>
      </c>
      <c r="Q45" s="101">
        <v>9.9499999999999993</v>
      </c>
      <c r="R45" s="102">
        <v>85.16</v>
      </c>
      <c r="S45" s="101">
        <v>62.990000000000101</v>
      </c>
      <c r="T45" s="113">
        <v>57.52</v>
      </c>
      <c r="V45" s="66">
        <v>7800</v>
      </c>
      <c r="X45" s="114">
        <v>4.8</v>
      </c>
      <c r="Y45" s="114">
        <v>2115.3000000000002</v>
      </c>
      <c r="Z45" s="71">
        <v>1139</v>
      </c>
      <c r="AA45" s="80">
        <v>19.8</v>
      </c>
      <c r="AB45" s="80">
        <v>55.4</v>
      </c>
      <c r="AC45" s="58">
        <v>22.4</v>
      </c>
      <c r="AD45" s="84">
        <v>75.36</v>
      </c>
      <c r="AE45" s="84">
        <v>70.64</v>
      </c>
      <c r="AF45" s="60">
        <v>79.94</v>
      </c>
      <c r="AG45" s="60">
        <v>5272</v>
      </c>
      <c r="AH45" s="60">
        <f t="shared" si="0"/>
        <v>5.2720000000000002</v>
      </c>
      <c r="AI45" s="71">
        <v>419.61499999999995</v>
      </c>
      <c r="AJ45" s="115">
        <v>1.3230999999999999</v>
      </c>
      <c r="AK45" s="70">
        <v>919</v>
      </c>
      <c r="AL45" s="90">
        <v>3</v>
      </c>
      <c r="AM45" s="77">
        <v>48</v>
      </c>
      <c r="AO45" s="116">
        <v>49.1</v>
      </c>
      <c r="AP45" s="71">
        <v>42684</v>
      </c>
      <c r="AQ45" s="117" t="s">
        <v>2353</v>
      </c>
      <c r="AR45" s="100">
        <v>17.899999999999999</v>
      </c>
      <c r="AS45" s="81">
        <v>0.2</v>
      </c>
      <c r="AT45" s="118">
        <v>3.6</v>
      </c>
      <c r="AU45" s="106">
        <v>33.6</v>
      </c>
      <c r="AV45" s="71">
        <v>37.1</v>
      </c>
      <c r="AX45" s="119"/>
      <c r="AY45" s="112"/>
      <c r="AZ45" s="82" t="s">
        <v>1379</v>
      </c>
      <c r="BA45" s="79" t="s">
        <v>1380</v>
      </c>
      <c r="BB45" s="79" t="s">
        <v>1381</v>
      </c>
      <c r="BD45" s="78">
        <v>111.4</v>
      </c>
      <c r="BE45" s="120">
        <v>102.5</v>
      </c>
      <c r="BF45" s="64" t="s">
        <v>1382</v>
      </c>
      <c r="BG45" s="60">
        <v>110.1</v>
      </c>
      <c r="BH45" s="68">
        <v>46431</v>
      </c>
      <c r="BI45" s="121"/>
      <c r="BJ45" s="112"/>
      <c r="BK45" s="122">
        <v>11.1</v>
      </c>
      <c r="BL45" s="123">
        <v>36734</v>
      </c>
      <c r="BM45" s="115" t="s">
        <v>1383</v>
      </c>
      <c r="BN45" s="115" t="s">
        <v>1384</v>
      </c>
      <c r="BP45" s="115">
        <v>0.56399999999999995</v>
      </c>
      <c r="BQ45" s="84">
        <v>0.18099999999999999</v>
      </c>
      <c r="BR45" s="85" t="s">
        <v>1385</v>
      </c>
      <c r="BS45" s="85" t="s">
        <v>1386</v>
      </c>
      <c r="BT45" s="115">
        <v>26.9</v>
      </c>
      <c r="BU45" s="124">
        <v>33.1</v>
      </c>
      <c r="BV45" s="125">
        <v>932</v>
      </c>
      <c r="BW45" s="80">
        <v>75</v>
      </c>
      <c r="BX45" s="80">
        <v>63</v>
      </c>
      <c r="BY45" s="78">
        <v>94</v>
      </c>
      <c r="BZ45" s="115">
        <v>97.05</v>
      </c>
      <c r="CA45" s="115">
        <v>88.6</v>
      </c>
      <c r="CB45" s="112"/>
      <c r="CC45" s="112"/>
      <c r="CE45" s="70">
        <v>61.7</v>
      </c>
      <c r="CF45" s="70">
        <v>3.6</v>
      </c>
      <c r="CG45" s="69">
        <v>302</v>
      </c>
      <c r="CH45" s="69">
        <v>302</v>
      </c>
      <c r="CI45" s="69">
        <v>3.2</v>
      </c>
      <c r="CJ45" s="126">
        <v>157.12</v>
      </c>
      <c r="CK45" s="60">
        <v>157.1</v>
      </c>
      <c r="CL45" s="127">
        <v>36.840000000000003</v>
      </c>
      <c r="CM45" s="127">
        <v>367.2</v>
      </c>
      <c r="CN45" s="107">
        <v>3.2</v>
      </c>
      <c r="CO45" s="58">
        <v>620.79999999999995</v>
      </c>
      <c r="CQ45" s="108" t="s">
        <v>2354</v>
      </c>
      <c r="CR45" s="78">
        <v>2.7</v>
      </c>
      <c r="CS45" s="78">
        <v>88.1</v>
      </c>
      <c r="CT45" s="78">
        <v>101.6</v>
      </c>
      <c r="CU45" s="128" t="s">
        <v>1387</v>
      </c>
      <c r="CV45" s="128">
        <v>122.4</v>
      </c>
      <c r="CW45" s="128" t="s">
        <v>374</v>
      </c>
      <c r="CX45" s="60" t="s">
        <v>1388</v>
      </c>
      <c r="CY45" s="60">
        <v>19.600000000000001</v>
      </c>
      <c r="CZ45" s="60" t="s">
        <v>1389</v>
      </c>
      <c r="DA45" s="129">
        <v>331206</v>
      </c>
      <c r="DB45" s="129">
        <v>25547</v>
      </c>
      <c r="DC45" s="70">
        <v>223.4</v>
      </c>
      <c r="DD45" s="86" t="s">
        <v>1390</v>
      </c>
      <c r="DE45" s="60" t="s">
        <v>1391</v>
      </c>
      <c r="DF45" s="60" t="s">
        <v>1392</v>
      </c>
      <c r="DG45" s="60" t="s">
        <v>1393</v>
      </c>
      <c r="DI45" s="70">
        <v>579</v>
      </c>
      <c r="DJ45" s="70">
        <v>79</v>
      </c>
      <c r="DK45" s="130">
        <v>87.9</v>
      </c>
      <c r="DM45" s="80">
        <v>181</v>
      </c>
      <c r="DN45" s="80">
        <v>287</v>
      </c>
      <c r="DO45" s="70">
        <v>1694</v>
      </c>
      <c r="DP45" s="131">
        <v>99.9</v>
      </c>
      <c r="DQ45" s="132">
        <v>5.5</v>
      </c>
      <c r="DR45" s="60">
        <v>2.5</v>
      </c>
      <c r="DS45" s="78"/>
      <c r="DT45" s="90">
        <v>19</v>
      </c>
      <c r="DU45" s="60">
        <v>148</v>
      </c>
      <c r="DV45" s="70">
        <v>23</v>
      </c>
      <c r="DW45" s="70">
        <v>102.7</v>
      </c>
      <c r="DX45" s="78"/>
      <c r="DY45" s="70">
        <v>110.6</v>
      </c>
      <c r="DZ45" s="70">
        <v>105.6</v>
      </c>
      <c r="EA45" s="70">
        <v>106.5</v>
      </c>
      <c r="EB45" s="70">
        <v>106.2</v>
      </c>
      <c r="EC45" s="86" t="s">
        <v>1385</v>
      </c>
      <c r="ED45" s="60" t="s">
        <v>1386</v>
      </c>
      <c r="EE45" s="60">
        <v>109.1</v>
      </c>
      <c r="EF45" s="60">
        <v>101.6</v>
      </c>
      <c r="EG45" s="60">
        <v>100.3</v>
      </c>
      <c r="EH45" s="78"/>
      <c r="EI45" s="60">
        <v>20.3</v>
      </c>
      <c r="EJ45" s="89">
        <v>292.89999999999998</v>
      </c>
      <c r="EK45" s="89">
        <v>56</v>
      </c>
      <c r="EL45" s="87">
        <v>407</v>
      </c>
      <c r="EM45" s="133">
        <v>19.8</v>
      </c>
      <c r="EN45" s="133" t="s">
        <v>1394</v>
      </c>
      <c r="EO45" s="78"/>
      <c r="EP45" s="133" t="s">
        <v>1395</v>
      </c>
      <c r="EQ45" s="134">
        <v>1080</v>
      </c>
      <c r="ER45" s="60">
        <v>19472</v>
      </c>
      <c r="ES45" s="60">
        <v>66705</v>
      </c>
      <c r="ET45" s="110" t="s">
        <v>2355</v>
      </c>
      <c r="EU45" s="110">
        <v>964</v>
      </c>
      <c r="EV45" s="78"/>
      <c r="EW45" s="135">
        <v>89.6</v>
      </c>
      <c r="EX45" s="136">
        <v>39.4</v>
      </c>
      <c r="EY45" s="137"/>
      <c r="EZ45" s="136">
        <v>2059.6</v>
      </c>
      <c r="FA45" s="109">
        <v>7.9</v>
      </c>
      <c r="FB45" s="78"/>
      <c r="FC45" s="137"/>
      <c r="FD45" s="137"/>
      <c r="FE45" s="143">
        <v>243</v>
      </c>
      <c r="FF45" s="137"/>
      <c r="FG45" s="137"/>
      <c r="FH45" s="143">
        <v>178</v>
      </c>
      <c r="FI45" s="143">
        <v>401</v>
      </c>
      <c r="FJ45" s="137"/>
      <c r="FK45" s="70"/>
      <c r="FL45" s="90" t="s">
        <v>1396</v>
      </c>
      <c r="FM45" s="90" t="s">
        <v>1397</v>
      </c>
      <c r="FN45" s="90" t="s">
        <v>1398</v>
      </c>
    </row>
    <row r="46" spans="1:170" ht="15.6">
      <c r="A46" s="2">
        <v>4</v>
      </c>
      <c r="B46" s="52" t="s">
        <v>315</v>
      </c>
      <c r="D46" s="63">
        <v>66.16</v>
      </c>
      <c r="E46" s="63">
        <v>32.83</v>
      </c>
      <c r="F46" s="60">
        <v>0</v>
      </c>
      <c r="G46" s="60">
        <v>0</v>
      </c>
      <c r="H46" s="112"/>
      <c r="I46" s="112"/>
      <c r="J46" s="60">
        <v>76</v>
      </c>
      <c r="K46" s="112"/>
      <c r="L46" s="112"/>
      <c r="M46" s="93" t="s">
        <v>1399</v>
      </c>
      <c r="N46" s="93" t="s">
        <v>592</v>
      </c>
      <c r="O46" s="93" t="s">
        <v>592</v>
      </c>
      <c r="Q46" s="101">
        <v>9.9499999999999993</v>
      </c>
      <c r="R46" s="102">
        <v>85.16</v>
      </c>
      <c r="S46" s="101">
        <v>62.990000000000101</v>
      </c>
      <c r="T46" s="113">
        <v>54.91</v>
      </c>
      <c r="V46" s="66">
        <v>92900</v>
      </c>
      <c r="X46" s="114">
        <v>7.7</v>
      </c>
      <c r="Y46" s="114">
        <v>2115.3000000000002</v>
      </c>
      <c r="Z46" s="71">
        <v>1124</v>
      </c>
      <c r="AA46" s="80">
        <v>27.1</v>
      </c>
      <c r="AB46" s="80">
        <v>53.5</v>
      </c>
      <c r="AC46" s="58">
        <v>17.3</v>
      </c>
      <c r="AD46" s="84">
        <v>69.39</v>
      </c>
      <c r="AE46" s="84">
        <v>62.27</v>
      </c>
      <c r="AF46" s="60">
        <v>77.06</v>
      </c>
      <c r="AG46" s="60">
        <v>2235</v>
      </c>
      <c r="AH46" s="60">
        <f t="shared" si="0"/>
        <v>2.2349999999999999</v>
      </c>
      <c r="AI46" s="71">
        <v>570.38</v>
      </c>
      <c r="AJ46" s="115">
        <v>2.0907</v>
      </c>
      <c r="AK46" s="70">
        <v>807</v>
      </c>
      <c r="AL46" s="146" t="s">
        <v>23</v>
      </c>
      <c r="AM46" s="77">
        <v>91</v>
      </c>
      <c r="AO46" s="116">
        <v>53.6</v>
      </c>
      <c r="AP46" s="71">
        <v>34817</v>
      </c>
      <c r="AQ46" s="117" t="s">
        <v>2356</v>
      </c>
      <c r="AR46" s="100">
        <v>61.7</v>
      </c>
      <c r="AS46" s="81">
        <v>1.3</v>
      </c>
      <c r="AT46" s="118">
        <v>10.3</v>
      </c>
      <c r="AU46" s="106">
        <v>13.6</v>
      </c>
      <c r="AV46" s="71">
        <v>36.6</v>
      </c>
      <c r="AX46" s="119"/>
      <c r="AY46" s="112"/>
      <c r="AZ46" s="82" t="s">
        <v>1400</v>
      </c>
      <c r="BA46" s="79" t="s">
        <v>1401</v>
      </c>
      <c r="BB46" s="79" t="s">
        <v>1402</v>
      </c>
      <c r="BD46" s="78">
        <v>111.2</v>
      </c>
      <c r="BE46" s="120">
        <v>101.6</v>
      </c>
      <c r="BF46" s="64" t="s">
        <v>1403</v>
      </c>
      <c r="BG46" s="60">
        <v>112.7</v>
      </c>
      <c r="BH46" s="68">
        <v>52450</v>
      </c>
      <c r="BI46" s="121"/>
      <c r="BJ46" s="112"/>
      <c r="BK46" s="122">
        <v>16.5</v>
      </c>
      <c r="BL46" s="123">
        <v>26868</v>
      </c>
      <c r="BM46" s="115" t="s">
        <v>1404</v>
      </c>
      <c r="BN46" s="115" t="s">
        <v>1405</v>
      </c>
      <c r="BP46" s="115">
        <v>0.19</v>
      </c>
      <c r="BQ46" s="84">
        <v>1.2999999999999999E-2</v>
      </c>
      <c r="BR46" s="85" t="s">
        <v>1406</v>
      </c>
      <c r="BS46" s="85" t="s">
        <v>1407</v>
      </c>
      <c r="BT46" s="115">
        <v>25.2</v>
      </c>
      <c r="BU46" s="124">
        <v>32.700000000000003</v>
      </c>
      <c r="BV46" s="125">
        <v>1878</v>
      </c>
      <c r="BW46" s="80">
        <v>67</v>
      </c>
      <c r="BX46" s="80">
        <v>72</v>
      </c>
      <c r="BY46" s="78">
        <v>59</v>
      </c>
      <c r="BZ46" s="115">
        <v>70.13</v>
      </c>
      <c r="CA46" s="115">
        <v>40.9</v>
      </c>
      <c r="CB46" s="112"/>
      <c r="CC46" s="112"/>
      <c r="CE46" s="70">
        <v>39.5</v>
      </c>
      <c r="CF46" s="70">
        <v>3.3</v>
      </c>
      <c r="CG46" s="69">
        <v>133</v>
      </c>
      <c r="CH46" s="69">
        <v>133</v>
      </c>
      <c r="CI46" s="69">
        <v>0.4</v>
      </c>
      <c r="CJ46" s="126">
        <v>133.72999999999999</v>
      </c>
      <c r="CK46" s="60">
        <v>133.69999999999999</v>
      </c>
      <c r="CL46" s="127">
        <v>45.74</v>
      </c>
      <c r="CM46" s="127">
        <v>641.9</v>
      </c>
      <c r="CN46" s="107">
        <v>6.7</v>
      </c>
      <c r="CO46" s="58">
        <v>921.1</v>
      </c>
      <c r="CQ46" s="108" t="s">
        <v>2357</v>
      </c>
      <c r="CR46" s="78">
        <v>1.7</v>
      </c>
      <c r="CS46" s="78">
        <v>6.7</v>
      </c>
      <c r="CT46" s="78">
        <v>95.4</v>
      </c>
      <c r="CU46" s="128" t="s">
        <v>1408</v>
      </c>
      <c r="CV46" s="128">
        <v>129.19999999999999</v>
      </c>
      <c r="CW46" s="128" t="s">
        <v>454</v>
      </c>
      <c r="CX46" s="60" t="s">
        <v>1409</v>
      </c>
      <c r="CY46" s="71">
        <v>29.1</v>
      </c>
      <c r="CZ46" s="112" t="s">
        <v>361</v>
      </c>
      <c r="DA46" s="129">
        <v>226861</v>
      </c>
      <c r="DB46" s="129">
        <v>12999</v>
      </c>
      <c r="DC46" s="70">
        <v>166.2</v>
      </c>
      <c r="DD46" s="60" t="s">
        <v>1410</v>
      </c>
      <c r="DE46" s="60" t="s">
        <v>1411</v>
      </c>
      <c r="DF46" s="60" t="s">
        <v>1412</v>
      </c>
      <c r="DG46" s="60" t="s">
        <v>1413</v>
      </c>
      <c r="DI46" s="70">
        <v>50</v>
      </c>
      <c r="DJ46" s="70">
        <v>74</v>
      </c>
      <c r="DK46" s="130">
        <v>159.4</v>
      </c>
      <c r="DM46" s="80">
        <v>135</v>
      </c>
      <c r="DN46" s="80">
        <v>345</v>
      </c>
      <c r="DO46" s="70">
        <v>359</v>
      </c>
      <c r="DP46" s="131">
        <v>98</v>
      </c>
      <c r="DQ46" s="132">
        <v>19</v>
      </c>
      <c r="DR46" s="60">
        <v>1</v>
      </c>
      <c r="DS46" s="78"/>
      <c r="DT46" s="90">
        <v>10</v>
      </c>
      <c r="DU46" s="60">
        <v>7</v>
      </c>
      <c r="DV46" s="70">
        <v>0.3</v>
      </c>
      <c r="DW46" s="70">
        <v>149.1</v>
      </c>
      <c r="DX46" s="78"/>
      <c r="DY46" s="70">
        <v>109.1</v>
      </c>
      <c r="DZ46" s="70">
        <v>105</v>
      </c>
      <c r="EA46" s="70">
        <v>110</v>
      </c>
      <c r="EB46" s="70">
        <v>105.1</v>
      </c>
      <c r="EC46" s="86" t="s">
        <v>1406</v>
      </c>
      <c r="ED46" s="60" t="s">
        <v>1407</v>
      </c>
      <c r="EE46" s="60">
        <v>100</v>
      </c>
      <c r="EF46" s="60">
        <v>95.4</v>
      </c>
      <c r="EG46" s="60">
        <v>107.4</v>
      </c>
      <c r="EH46" s="78"/>
      <c r="EI46" s="60">
        <v>35.5</v>
      </c>
      <c r="EJ46" s="89">
        <v>97</v>
      </c>
      <c r="EK46" s="89">
        <v>30</v>
      </c>
      <c r="EL46" s="87">
        <v>279</v>
      </c>
      <c r="EM46" s="133">
        <v>11.5</v>
      </c>
      <c r="EN46" s="133">
        <v>593.70000000000005</v>
      </c>
      <c r="EO46" s="78"/>
      <c r="EP46" s="133" t="s">
        <v>1414</v>
      </c>
      <c r="EQ46" s="134">
        <v>340</v>
      </c>
      <c r="ER46" s="60">
        <v>6956</v>
      </c>
      <c r="ES46" s="60">
        <v>30517</v>
      </c>
      <c r="ET46" s="110" t="s">
        <v>2358</v>
      </c>
      <c r="EU46" s="110">
        <v>167</v>
      </c>
      <c r="EV46" s="78"/>
      <c r="EW46" s="135">
        <v>89.3</v>
      </c>
      <c r="EX46" s="136">
        <v>35.799999999999997</v>
      </c>
      <c r="EY46" s="137"/>
      <c r="EZ46" s="136">
        <v>1717.2</v>
      </c>
      <c r="FA46" s="109">
        <v>13.6</v>
      </c>
      <c r="FB46" s="78"/>
      <c r="FC46" s="137"/>
      <c r="FD46" s="137"/>
      <c r="FE46" s="70">
        <v>234</v>
      </c>
      <c r="FF46" s="137"/>
      <c r="FG46" s="137"/>
      <c r="FH46" s="70">
        <v>321</v>
      </c>
      <c r="FI46" s="70">
        <v>1197</v>
      </c>
      <c r="FJ46" s="137"/>
      <c r="FK46" s="70"/>
      <c r="FL46" s="90" t="s">
        <v>1415</v>
      </c>
      <c r="FM46" s="90" t="s">
        <v>1416</v>
      </c>
      <c r="FN46" s="90">
        <v>-439</v>
      </c>
    </row>
    <row r="47" spans="1:170" ht="15.6">
      <c r="A47" s="2">
        <v>2</v>
      </c>
      <c r="B47" s="52" t="s">
        <v>316</v>
      </c>
      <c r="D47" s="65">
        <v>88.68</v>
      </c>
      <c r="E47" s="63">
        <v>10.6</v>
      </c>
      <c r="F47" s="60">
        <v>0</v>
      </c>
      <c r="G47" s="60">
        <v>0</v>
      </c>
      <c r="H47" s="112"/>
      <c r="I47" s="112"/>
      <c r="J47" s="60">
        <v>8</v>
      </c>
      <c r="K47" s="112"/>
      <c r="L47" s="112"/>
      <c r="M47" s="93" t="s">
        <v>697</v>
      </c>
      <c r="N47" s="93" t="s">
        <v>592</v>
      </c>
      <c r="O47" s="93" t="s">
        <v>489</v>
      </c>
      <c r="Q47" s="101">
        <v>9.9499999999999993</v>
      </c>
      <c r="R47" s="102">
        <v>85.16</v>
      </c>
      <c r="S47" s="101">
        <v>62.990000000000101</v>
      </c>
      <c r="T47" s="113">
        <v>50.52</v>
      </c>
      <c r="V47" s="66">
        <v>142900</v>
      </c>
      <c r="X47" s="114">
        <v>5.8</v>
      </c>
      <c r="Y47" s="114">
        <v>2115.3000000000002</v>
      </c>
      <c r="Z47" s="71">
        <v>1116</v>
      </c>
      <c r="AA47" s="80">
        <v>19.600000000000001</v>
      </c>
      <c r="AB47" s="80">
        <v>53.3</v>
      </c>
      <c r="AC47" s="58">
        <v>23</v>
      </c>
      <c r="AD47" s="84">
        <v>73.17</v>
      </c>
      <c r="AE47" s="84">
        <v>67.67</v>
      </c>
      <c r="AF47" s="60">
        <v>78.83</v>
      </c>
      <c r="AG47" s="60">
        <v>47545</v>
      </c>
      <c r="AH47" s="60">
        <f t="shared" si="0"/>
        <v>47.545000000000002</v>
      </c>
      <c r="AI47" s="71">
        <v>653.125</v>
      </c>
      <c r="AJ47" s="115">
        <v>1.4200600000000001</v>
      </c>
      <c r="AK47" s="70">
        <v>709</v>
      </c>
      <c r="AL47" s="90">
        <v>14</v>
      </c>
      <c r="AM47" s="77">
        <v>818</v>
      </c>
      <c r="AO47" s="116">
        <v>57.4</v>
      </c>
      <c r="AP47" s="71">
        <v>40022</v>
      </c>
      <c r="AQ47" s="117" t="s">
        <v>2327</v>
      </c>
      <c r="AR47" s="100">
        <v>66.099999999999994</v>
      </c>
      <c r="AS47" s="81">
        <v>0.3</v>
      </c>
      <c r="AT47" s="118">
        <v>2.1</v>
      </c>
      <c r="AU47" s="106">
        <v>18.8</v>
      </c>
      <c r="AV47" s="71">
        <v>56.1</v>
      </c>
      <c r="AX47" s="119"/>
      <c r="AY47" s="112"/>
      <c r="AZ47" s="82" t="s">
        <v>1417</v>
      </c>
      <c r="BA47" s="79" t="s">
        <v>1418</v>
      </c>
      <c r="BB47" s="79" t="s">
        <v>1419</v>
      </c>
      <c r="BD47" s="78">
        <v>104.9</v>
      </c>
      <c r="BE47" s="120">
        <v>103.8</v>
      </c>
      <c r="BF47" s="64" t="s">
        <v>1420</v>
      </c>
      <c r="BG47" s="60">
        <v>110.5</v>
      </c>
      <c r="BH47" s="68">
        <v>56974</v>
      </c>
      <c r="BI47" s="121"/>
      <c r="BJ47" s="112"/>
      <c r="BK47" s="122">
        <v>9.5</v>
      </c>
      <c r="BL47" s="123">
        <v>35226</v>
      </c>
      <c r="BM47" s="115" t="s">
        <v>1421</v>
      </c>
      <c r="BN47" s="115" t="s">
        <v>1422</v>
      </c>
      <c r="BP47" s="115">
        <v>3.3159999999999998</v>
      </c>
      <c r="BQ47" s="84">
        <v>1.256</v>
      </c>
      <c r="BR47" s="85" t="s">
        <v>1423</v>
      </c>
      <c r="BS47" s="85" t="s">
        <v>1424</v>
      </c>
      <c r="BT47" s="115">
        <v>29.6</v>
      </c>
      <c r="BU47" s="124">
        <v>27.8</v>
      </c>
      <c r="BV47" s="125">
        <v>1752</v>
      </c>
      <c r="BW47" s="80">
        <v>588</v>
      </c>
      <c r="BX47" s="80">
        <v>44</v>
      </c>
      <c r="BY47" s="78">
        <v>84.2</v>
      </c>
      <c r="BZ47" s="115">
        <v>92.14</v>
      </c>
      <c r="CA47" s="115">
        <v>73.44</v>
      </c>
      <c r="CB47" s="112"/>
      <c r="CC47" s="112"/>
      <c r="CE47" s="70">
        <v>523.70000000000005</v>
      </c>
      <c r="CF47" s="70">
        <v>31.9</v>
      </c>
      <c r="CG47" s="69">
        <v>258</v>
      </c>
      <c r="CH47" s="69">
        <v>249</v>
      </c>
      <c r="CI47" s="69">
        <v>17.899999999999999</v>
      </c>
      <c r="CJ47" s="126">
        <v>135.55000000000001</v>
      </c>
      <c r="CK47" s="60">
        <v>135.5</v>
      </c>
      <c r="CL47" s="127">
        <v>44.37</v>
      </c>
      <c r="CM47" s="127">
        <v>529.9</v>
      </c>
      <c r="CN47" s="107">
        <v>3.9</v>
      </c>
      <c r="CO47" s="58">
        <v>1022.5</v>
      </c>
      <c r="CQ47" s="108" t="s">
        <v>2359</v>
      </c>
      <c r="CR47" s="78">
        <v>442.4</v>
      </c>
      <c r="CS47" s="78" t="s">
        <v>1425</v>
      </c>
      <c r="CT47" s="78">
        <v>88.8</v>
      </c>
      <c r="CU47" s="128" t="s">
        <v>1426</v>
      </c>
      <c r="CV47" s="128">
        <v>107.6</v>
      </c>
      <c r="CW47" s="128" t="s">
        <v>1427</v>
      </c>
      <c r="CX47" s="60" t="s">
        <v>447</v>
      </c>
      <c r="CY47" s="60">
        <v>26.4</v>
      </c>
      <c r="CZ47" s="112" t="s">
        <v>361</v>
      </c>
      <c r="DA47" s="129">
        <v>314035</v>
      </c>
      <c r="DB47" s="129">
        <v>316753</v>
      </c>
      <c r="DC47" s="70">
        <v>3169.5</v>
      </c>
      <c r="DD47" s="86" t="s">
        <v>1428</v>
      </c>
      <c r="DE47" s="60" t="s">
        <v>1429</v>
      </c>
      <c r="DF47" s="60" t="s">
        <v>1430</v>
      </c>
      <c r="DG47" s="60" t="s">
        <v>1431</v>
      </c>
      <c r="DI47" s="70">
        <v>325</v>
      </c>
      <c r="DJ47" s="70">
        <v>98</v>
      </c>
      <c r="DK47" s="130">
        <v>88.8</v>
      </c>
      <c r="DM47" s="80">
        <v>257</v>
      </c>
      <c r="DN47" s="80">
        <v>295</v>
      </c>
      <c r="DO47" s="70">
        <v>9953</v>
      </c>
      <c r="DP47" s="131">
        <v>96.8</v>
      </c>
      <c r="DQ47" s="132">
        <v>83</v>
      </c>
      <c r="DR47" s="60">
        <v>68.3</v>
      </c>
      <c r="DS47" s="78"/>
      <c r="DT47" s="90">
        <v>447</v>
      </c>
      <c r="DU47" s="60">
        <v>740</v>
      </c>
      <c r="DV47" s="70">
        <v>170</v>
      </c>
      <c r="DW47" s="70">
        <v>90.5</v>
      </c>
      <c r="DX47" s="78"/>
      <c r="DY47" s="70">
        <v>108</v>
      </c>
      <c r="DZ47" s="70">
        <v>106.7</v>
      </c>
      <c r="EA47" s="70">
        <v>105.6</v>
      </c>
      <c r="EB47" s="70">
        <v>104.6</v>
      </c>
      <c r="EC47" s="86" t="s">
        <v>1423</v>
      </c>
      <c r="ED47" s="60" t="s">
        <v>1424</v>
      </c>
      <c r="EE47" s="60">
        <v>95.7</v>
      </c>
      <c r="EF47" s="60">
        <v>88.8</v>
      </c>
      <c r="EG47" s="60">
        <v>93.9</v>
      </c>
      <c r="EH47" s="78"/>
      <c r="EI47" s="60">
        <v>56.1</v>
      </c>
      <c r="EJ47" s="89">
        <v>15569.2</v>
      </c>
      <c r="EK47" s="89">
        <v>1332</v>
      </c>
      <c r="EL47" s="87">
        <v>8352</v>
      </c>
      <c r="EM47" s="133">
        <v>26.5</v>
      </c>
      <c r="EN47" s="133" t="s">
        <v>1432</v>
      </c>
      <c r="EO47" s="78"/>
      <c r="EP47" s="133" t="s">
        <v>1433</v>
      </c>
      <c r="EQ47" s="134">
        <v>28602</v>
      </c>
      <c r="ER47" s="60">
        <v>267567</v>
      </c>
      <c r="ES47" s="60">
        <v>745699</v>
      </c>
      <c r="ET47" s="110" t="s">
        <v>2360</v>
      </c>
      <c r="EU47" s="110" t="s">
        <v>2361</v>
      </c>
      <c r="EV47" s="78"/>
      <c r="EW47" s="135">
        <v>89.8</v>
      </c>
      <c r="EX47" s="136">
        <v>35.1</v>
      </c>
      <c r="EY47" s="137"/>
      <c r="EZ47" s="136">
        <v>1778.6</v>
      </c>
      <c r="FA47" s="109">
        <v>23.4</v>
      </c>
      <c r="FB47" s="78"/>
      <c r="FC47" s="137"/>
      <c r="FD47" s="137"/>
      <c r="FE47" s="70">
        <v>2357</v>
      </c>
      <c r="FF47" s="137"/>
      <c r="FG47" s="137"/>
      <c r="FH47" s="70">
        <v>2404</v>
      </c>
      <c r="FI47" s="70">
        <v>8367</v>
      </c>
      <c r="FJ47" s="137"/>
      <c r="FK47" s="70"/>
      <c r="FL47" s="90" t="s">
        <v>1434</v>
      </c>
      <c r="FM47" s="90" t="s">
        <v>1435</v>
      </c>
      <c r="FN47" s="90">
        <v>-926</v>
      </c>
    </row>
    <row r="48" spans="1:170" ht="15.6">
      <c r="A48" s="2">
        <v>3</v>
      </c>
      <c r="B48" s="52" t="s">
        <v>317</v>
      </c>
      <c r="D48" s="63">
        <v>71.95</v>
      </c>
      <c r="E48" s="63">
        <v>26.49</v>
      </c>
      <c r="F48" s="60">
        <v>0</v>
      </c>
      <c r="G48" s="60">
        <v>0</v>
      </c>
      <c r="H48" s="112"/>
      <c r="I48" s="112"/>
      <c r="J48" s="60">
        <v>61</v>
      </c>
      <c r="K48" s="112"/>
      <c r="L48" s="112"/>
      <c r="M48" s="93" t="s">
        <v>780</v>
      </c>
      <c r="N48" s="93" t="s">
        <v>570</v>
      </c>
      <c r="O48" s="93" t="s">
        <v>489</v>
      </c>
      <c r="Q48" s="101">
        <v>9.9499999999999993</v>
      </c>
      <c r="R48" s="102">
        <v>85.16</v>
      </c>
      <c r="S48" s="101">
        <v>62.990000000000101</v>
      </c>
      <c r="T48" s="113">
        <v>54.35</v>
      </c>
      <c r="V48" s="66">
        <v>351300</v>
      </c>
      <c r="X48" s="114">
        <v>6</v>
      </c>
      <c r="Y48" s="114">
        <v>2115.3000000000002</v>
      </c>
      <c r="Z48" s="71">
        <v>1136</v>
      </c>
      <c r="AA48" s="80">
        <v>23.9</v>
      </c>
      <c r="AB48" s="80">
        <v>55.2</v>
      </c>
      <c r="AC48" s="58">
        <v>18.8</v>
      </c>
      <c r="AD48" s="84">
        <v>69.540000000000006</v>
      </c>
      <c r="AE48" s="84">
        <v>62.88</v>
      </c>
      <c r="AF48" s="60">
        <v>76.52</v>
      </c>
      <c r="AG48" s="60">
        <v>11424</v>
      </c>
      <c r="AH48" s="60">
        <f t="shared" si="0"/>
        <v>11.423999999999999</v>
      </c>
      <c r="AI48" s="71">
        <v>535.70499999999993</v>
      </c>
      <c r="AJ48" s="115">
        <v>1.7008399999999999</v>
      </c>
      <c r="AK48" s="70">
        <v>921</v>
      </c>
      <c r="AL48" s="90">
        <v>16</v>
      </c>
      <c r="AM48" s="77">
        <v>247</v>
      </c>
      <c r="AO48" s="116">
        <v>53.4</v>
      </c>
      <c r="AP48" s="71">
        <v>38412</v>
      </c>
      <c r="AQ48" s="117" t="s">
        <v>2362</v>
      </c>
      <c r="AR48" s="100">
        <v>56.5</v>
      </c>
      <c r="AS48" s="81">
        <v>0.2</v>
      </c>
      <c r="AT48" s="118">
        <v>6.8</v>
      </c>
      <c r="AU48" s="106">
        <v>12.7</v>
      </c>
      <c r="AV48" s="71">
        <v>40.9</v>
      </c>
      <c r="AX48" s="119"/>
      <c r="AY48" s="112"/>
      <c r="AZ48" s="82" t="s">
        <v>1436</v>
      </c>
      <c r="BA48" s="79" t="s">
        <v>1437</v>
      </c>
      <c r="BB48" s="79" t="s">
        <v>1438</v>
      </c>
      <c r="BD48" s="78">
        <v>102.5</v>
      </c>
      <c r="BE48" s="120">
        <v>103.1</v>
      </c>
      <c r="BF48" s="64" t="s">
        <v>1439</v>
      </c>
      <c r="BG48" s="60">
        <v>108.3</v>
      </c>
      <c r="BH48" s="68">
        <v>61565</v>
      </c>
      <c r="BI48" s="121"/>
      <c r="BJ48" s="112"/>
      <c r="BK48" s="122">
        <v>17.3</v>
      </c>
      <c r="BL48" s="123">
        <v>31290</v>
      </c>
      <c r="BM48" s="115" t="s">
        <v>1440</v>
      </c>
      <c r="BN48" s="115" t="s">
        <v>1441</v>
      </c>
      <c r="BP48" s="115">
        <v>0.47</v>
      </c>
      <c r="BQ48" s="84">
        <v>0.16700000000000001</v>
      </c>
      <c r="BR48" s="85" t="s">
        <v>1442</v>
      </c>
      <c r="BS48" s="85" t="s">
        <v>1443</v>
      </c>
      <c r="BT48" s="115">
        <v>22.9</v>
      </c>
      <c r="BU48" s="124">
        <v>48.4</v>
      </c>
      <c r="BV48" s="125">
        <v>2759</v>
      </c>
      <c r="BW48" s="80">
        <v>358</v>
      </c>
      <c r="BX48" s="80">
        <v>78</v>
      </c>
      <c r="BY48" s="78">
        <v>55</v>
      </c>
      <c r="BZ48" s="115">
        <v>56.37</v>
      </c>
      <c r="CA48" s="115">
        <v>45.29</v>
      </c>
      <c r="CB48" s="112"/>
      <c r="CC48" s="112"/>
      <c r="CE48" s="70">
        <v>151.80000000000001</v>
      </c>
      <c r="CF48" s="70">
        <v>8.8000000000000007</v>
      </c>
      <c r="CG48" s="69">
        <v>214</v>
      </c>
      <c r="CH48" s="69">
        <v>209</v>
      </c>
      <c r="CI48" s="69">
        <v>3.4</v>
      </c>
      <c r="CJ48" s="126">
        <v>123.51</v>
      </c>
      <c r="CK48" s="60">
        <v>123.5</v>
      </c>
      <c r="CL48" s="127">
        <v>43.82</v>
      </c>
      <c r="CM48" s="127">
        <v>682.6</v>
      </c>
      <c r="CN48" s="107">
        <v>4.4000000000000004</v>
      </c>
      <c r="CO48" s="58">
        <v>722.5</v>
      </c>
      <c r="CQ48" s="108" t="s">
        <v>2363</v>
      </c>
      <c r="CR48" s="78">
        <v>89.4</v>
      </c>
      <c r="CS48" s="78">
        <v>137</v>
      </c>
      <c r="CT48" s="78">
        <v>103.1</v>
      </c>
      <c r="CU48" s="128" t="s">
        <v>1444</v>
      </c>
      <c r="CV48" s="128">
        <v>123.5</v>
      </c>
      <c r="CW48" s="128" t="s">
        <v>1445</v>
      </c>
      <c r="CX48" s="60" t="s">
        <v>1446</v>
      </c>
      <c r="CY48" s="60">
        <v>31.5</v>
      </c>
      <c r="CZ48" s="60" t="s">
        <v>1447</v>
      </c>
      <c r="DA48" s="129">
        <v>276981</v>
      </c>
      <c r="DB48" s="129">
        <v>61265</v>
      </c>
      <c r="DC48" s="70">
        <v>764.9</v>
      </c>
      <c r="DD48" s="86" t="s">
        <v>1448</v>
      </c>
      <c r="DE48" s="60" t="s">
        <v>1449</v>
      </c>
      <c r="DF48" s="60" t="s">
        <v>1450</v>
      </c>
      <c r="DG48" s="60" t="s">
        <v>362</v>
      </c>
      <c r="DI48" s="70">
        <v>27</v>
      </c>
      <c r="DJ48" s="70">
        <v>127</v>
      </c>
      <c r="DK48" s="130">
        <v>110.2</v>
      </c>
      <c r="DM48" s="80">
        <v>263</v>
      </c>
      <c r="DN48" s="80">
        <v>401</v>
      </c>
      <c r="DO48" s="70">
        <v>1753</v>
      </c>
      <c r="DP48" s="131">
        <v>97.9</v>
      </c>
      <c r="DQ48" s="132">
        <v>7.6</v>
      </c>
      <c r="DR48" s="60">
        <v>5.3</v>
      </c>
      <c r="DS48" s="78"/>
      <c r="DT48" s="90">
        <v>108</v>
      </c>
      <c r="DU48" s="60">
        <v>543</v>
      </c>
      <c r="DV48" s="70">
        <v>26</v>
      </c>
      <c r="DW48" s="69" t="s">
        <v>369</v>
      </c>
      <c r="DX48" s="78"/>
      <c r="DY48" s="70">
        <v>109</v>
      </c>
      <c r="DZ48" s="70">
        <v>109.6</v>
      </c>
      <c r="EA48" s="70">
        <v>107.6</v>
      </c>
      <c r="EB48" s="70">
        <v>107.2</v>
      </c>
      <c r="EC48" s="86" t="s">
        <v>1442</v>
      </c>
      <c r="ED48" s="60" t="s">
        <v>1443</v>
      </c>
      <c r="EE48" s="60">
        <v>114.1</v>
      </c>
      <c r="EF48" s="60">
        <v>103.1</v>
      </c>
      <c r="EG48" s="60">
        <v>101.6</v>
      </c>
      <c r="EH48" s="78"/>
      <c r="EI48" s="60">
        <v>24.3</v>
      </c>
      <c r="EJ48" s="89">
        <v>1291.8</v>
      </c>
      <c r="EK48" s="92">
        <v>421</v>
      </c>
      <c r="EL48" s="87">
        <v>705</v>
      </c>
      <c r="EM48" s="133">
        <v>14.7</v>
      </c>
      <c r="EN48" s="133" t="s">
        <v>1451</v>
      </c>
      <c r="EO48" s="78"/>
      <c r="EP48" s="133" t="s">
        <v>1452</v>
      </c>
      <c r="EQ48" s="134">
        <v>3193</v>
      </c>
      <c r="ER48" s="60">
        <v>50709</v>
      </c>
      <c r="ES48" s="60">
        <v>159440</v>
      </c>
      <c r="ET48" s="110" t="s">
        <v>2364</v>
      </c>
      <c r="EU48" s="110" t="s">
        <v>2365</v>
      </c>
      <c r="EV48" s="78"/>
      <c r="EW48" s="135">
        <v>90.4</v>
      </c>
      <c r="EX48" s="136">
        <v>32.799999999999997</v>
      </c>
      <c r="EY48" s="137"/>
      <c r="EZ48" s="136">
        <v>1661</v>
      </c>
      <c r="FA48" s="109">
        <v>15.4</v>
      </c>
      <c r="FB48" s="78"/>
      <c r="FC48" s="137"/>
      <c r="FD48" s="137"/>
      <c r="FE48" s="143">
        <v>589</v>
      </c>
      <c r="FF48" s="137"/>
      <c r="FG48" s="137"/>
      <c r="FH48" s="143" t="s">
        <v>461</v>
      </c>
      <c r="FI48" s="143" t="s">
        <v>1453</v>
      </c>
      <c r="FJ48" s="137"/>
      <c r="FK48" s="70"/>
      <c r="FL48" s="90" t="s">
        <v>1454</v>
      </c>
      <c r="FM48" s="90" t="s">
        <v>1455</v>
      </c>
      <c r="FN48" s="90" t="s">
        <v>1456</v>
      </c>
    </row>
    <row r="49" spans="1:170" ht="15.6">
      <c r="A49" s="2">
        <v>5</v>
      </c>
      <c r="B49" s="52" t="s">
        <v>318</v>
      </c>
      <c r="D49" s="63">
        <v>90.34</v>
      </c>
      <c r="E49" s="63">
        <v>9.3699999999999992</v>
      </c>
      <c r="F49" s="60">
        <v>0</v>
      </c>
      <c r="G49" s="60">
        <v>0</v>
      </c>
      <c r="H49" s="112"/>
      <c r="I49" s="112"/>
      <c r="J49" s="60">
        <v>15</v>
      </c>
      <c r="K49" s="112"/>
      <c r="L49" s="112"/>
      <c r="M49" s="93" t="s">
        <v>428</v>
      </c>
      <c r="N49" s="93" t="s">
        <v>592</v>
      </c>
      <c r="O49" s="93" t="s">
        <v>489</v>
      </c>
      <c r="Q49" s="101">
        <v>9.9499999999999993</v>
      </c>
      <c r="R49" s="102">
        <v>85.16</v>
      </c>
      <c r="S49" s="101">
        <v>62.990000000000101</v>
      </c>
      <c r="T49" s="113">
        <v>57.64</v>
      </c>
      <c r="V49" s="66">
        <v>50300</v>
      </c>
      <c r="X49" s="114">
        <v>2.2000000000000002</v>
      </c>
      <c r="Y49" s="114">
        <v>2115.3000000000002</v>
      </c>
      <c r="Z49" s="71">
        <v>1023</v>
      </c>
      <c r="AA49" s="80">
        <v>25.1</v>
      </c>
      <c r="AB49" s="80">
        <v>59.4</v>
      </c>
      <c r="AC49" s="58">
        <v>13.6</v>
      </c>
      <c r="AD49" s="84">
        <v>79.87</v>
      </c>
      <c r="AE49" s="84">
        <v>77.31</v>
      </c>
      <c r="AF49" s="60">
        <v>82.55</v>
      </c>
      <c r="AG49" s="60">
        <v>14605</v>
      </c>
      <c r="AH49" s="60">
        <f t="shared" si="0"/>
        <v>14.605</v>
      </c>
      <c r="AI49" s="71">
        <v>188.76499999999999</v>
      </c>
      <c r="AJ49" s="70">
        <v>1.7450000000000001</v>
      </c>
      <c r="AK49" s="70">
        <v>2828</v>
      </c>
      <c r="AL49" s="90">
        <v>7</v>
      </c>
      <c r="AM49" s="77">
        <v>701</v>
      </c>
      <c r="AO49" s="116">
        <v>53.1</v>
      </c>
      <c r="AP49" s="71">
        <v>39686</v>
      </c>
      <c r="AQ49" s="117" t="s">
        <v>2366</v>
      </c>
      <c r="AR49" s="100">
        <v>43.5</v>
      </c>
      <c r="AS49" s="81">
        <v>6.4</v>
      </c>
      <c r="AT49" s="118">
        <v>12</v>
      </c>
      <c r="AU49" s="106">
        <v>18.2</v>
      </c>
      <c r="AV49" s="71">
        <v>20.5</v>
      </c>
      <c r="AX49" s="119"/>
      <c r="AY49" s="112"/>
      <c r="AZ49" s="82" t="s">
        <v>1457</v>
      </c>
      <c r="BA49" s="79" t="s">
        <v>1458</v>
      </c>
      <c r="BB49" s="79" t="s">
        <v>1459</v>
      </c>
      <c r="BD49" s="78">
        <v>100.5</v>
      </c>
      <c r="BE49" s="120">
        <v>102.7</v>
      </c>
      <c r="BF49" s="64" t="s">
        <v>1460</v>
      </c>
      <c r="BG49" s="60">
        <v>105.2</v>
      </c>
      <c r="BH49" s="68">
        <v>39054</v>
      </c>
      <c r="BI49" s="121"/>
      <c r="BJ49" s="112"/>
      <c r="BK49" s="122">
        <v>12.8</v>
      </c>
      <c r="BL49" s="123">
        <v>32046</v>
      </c>
      <c r="BM49" s="115" t="s">
        <v>1461</v>
      </c>
      <c r="BN49" s="115" t="s">
        <v>1462</v>
      </c>
      <c r="BP49" s="115">
        <v>1.617</v>
      </c>
      <c r="BQ49" s="84">
        <v>0.53400000000000003</v>
      </c>
      <c r="BR49" s="85" t="s">
        <v>1463</v>
      </c>
      <c r="BS49" s="85" t="s">
        <v>1464</v>
      </c>
      <c r="BT49" s="115">
        <v>21.9</v>
      </c>
      <c r="BU49" s="124">
        <v>36.5</v>
      </c>
      <c r="BV49" s="125">
        <v>1501</v>
      </c>
      <c r="BW49" s="80">
        <v>367</v>
      </c>
      <c r="BX49" s="80">
        <v>82</v>
      </c>
      <c r="BY49" s="78">
        <v>69.7</v>
      </c>
      <c r="BZ49" s="115">
        <v>74.34</v>
      </c>
      <c r="CA49" s="115">
        <v>58.46</v>
      </c>
      <c r="CB49" s="112"/>
      <c r="CC49" s="112"/>
      <c r="CE49" s="70">
        <v>479.9</v>
      </c>
      <c r="CF49" s="70">
        <v>40.200000000000003</v>
      </c>
      <c r="CG49" s="69">
        <v>165</v>
      </c>
      <c r="CH49" s="69">
        <v>149</v>
      </c>
      <c r="CI49" s="69">
        <v>9.9</v>
      </c>
      <c r="CJ49" s="126">
        <v>156.24</v>
      </c>
      <c r="CK49" s="60">
        <v>156.19999999999999</v>
      </c>
      <c r="CL49" s="127">
        <v>40.119999999999997</v>
      </c>
      <c r="CM49" s="127">
        <v>175.7</v>
      </c>
      <c r="CN49" s="107">
        <v>5.5</v>
      </c>
      <c r="CO49" s="58">
        <v>794.6</v>
      </c>
      <c r="CQ49" s="108" t="s">
        <v>2367</v>
      </c>
      <c r="CR49" s="78">
        <v>4.8</v>
      </c>
      <c r="CS49" s="78">
        <v>56.9</v>
      </c>
      <c r="CT49" s="78">
        <v>105.9</v>
      </c>
      <c r="CU49" s="128" t="s">
        <v>1465</v>
      </c>
      <c r="CV49" s="128">
        <v>107.2</v>
      </c>
      <c r="CW49" s="128" t="s">
        <v>1466</v>
      </c>
      <c r="CX49" s="60" t="s">
        <v>1467</v>
      </c>
      <c r="CY49" s="60">
        <v>28.3</v>
      </c>
      <c r="CZ49" s="60" t="s">
        <v>1468</v>
      </c>
      <c r="DA49" s="129">
        <v>256815</v>
      </c>
      <c r="DB49" s="129">
        <v>186769</v>
      </c>
      <c r="DC49" s="70">
        <v>464.7</v>
      </c>
      <c r="DD49" s="86" t="s">
        <v>359</v>
      </c>
      <c r="DE49" s="60" t="s">
        <v>1469</v>
      </c>
      <c r="DF49" s="60" t="s">
        <v>1470</v>
      </c>
      <c r="DG49" s="60" t="s">
        <v>1471</v>
      </c>
      <c r="DI49" s="70">
        <v>477</v>
      </c>
      <c r="DJ49" s="70">
        <v>97</v>
      </c>
      <c r="DK49" s="130">
        <v>52.1</v>
      </c>
      <c r="DM49" s="80">
        <v>122</v>
      </c>
      <c r="DN49" s="80">
        <v>183</v>
      </c>
      <c r="DO49" s="70">
        <v>1876</v>
      </c>
      <c r="DP49" s="131">
        <v>97.4</v>
      </c>
      <c r="DQ49" s="132">
        <v>45.9</v>
      </c>
      <c r="DR49" s="60">
        <v>41.2</v>
      </c>
      <c r="DS49" s="78"/>
      <c r="DT49" s="90">
        <v>12</v>
      </c>
      <c r="DU49" s="60" t="s">
        <v>472</v>
      </c>
      <c r="DV49" s="70">
        <v>74</v>
      </c>
      <c r="DW49" s="70">
        <v>95</v>
      </c>
      <c r="DX49" s="78"/>
      <c r="DY49" s="70">
        <v>111.9</v>
      </c>
      <c r="DZ49" s="70">
        <v>107</v>
      </c>
      <c r="EA49" s="70">
        <v>105.6</v>
      </c>
      <c r="EB49" s="70">
        <v>106</v>
      </c>
      <c r="EC49" s="86" t="s">
        <v>1463</v>
      </c>
      <c r="ED49" s="60" t="s">
        <v>1464</v>
      </c>
      <c r="EE49" s="60">
        <v>254.8</v>
      </c>
      <c r="EF49" s="60">
        <v>105.9</v>
      </c>
      <c r="EG49" s="60">
        <v>101.4</v>
      </c>
      <c r="EH49" s="78"/>
      <c r="EI49" s="60">
        <v>20.8</v>
      </c>
      <c r="EJ49" s="89">
        <v>1166.3</v>
      </c>
      <c r="EK49" s="89">
        <v>483</v>
      </c>
      <c r="EL49" s="87">
        <v>619</v>
      </c>
      <c r="EM49" s="133">
        <v>8.8000000000000007</v>
      </c>
      <c r="EN49" s="133">
        <v>1731.6</v>
      </c>
      <c r="EO49" s="78"/>
      <c r="EP49" s="133" t="s">
        <v>1472</v>
      </c>
      <c r="EQ49" s="134">
        <v>1621</v>
      </c>
      <c r="ER49" s="60">
        <v>45755</v>
      </c>
      <c r="ES49" s="60">
        <v>125835</v>
      </c>
      <c r="ET49" s="110" t="s">
        <v>2368</v>
      </c>
      <c r="EU49" s="110">
        <v>947</v>
      </c>
      <c r="EV49" s="78"/>
      <c r="EW49" s="135">
        <v>91.6</v>
      </c>
      <c r="EX49" s="136">
        <v>25</v>
      </c>
      <c r="EY49" s="137"/>
      <c r="EZ49" s="136">
        <v>1077.9000000000001</v>
      </c>
      <c r="FA49" s="109">
        <v>6.6</v>
      </c>
      <c r="FB49" s="78"/>
      <c r="FC49" s="137"/>
      <c r="FD49" s="137"/>
      <c r="FE49" s="70">
        <v>2326</v>
      </c>
      <c r="FF49" s="137"/>
      <c r="FG49" s="137"/>
      <c r="FH49" s="70">
        <v>1708</v>
      </c>
      <c r="FI49" s="70">
        <v>560</v>
      </c>
      <c r="FJ49" s="137"/>
      <c r="FK49" s="70"/>
      <c r="FL49" s="90" t="s">
        <v>1473</v>
      </c>
      <c r="FM49" s="90" t="s">
        <v>1474</v>
      </c>
      <c r="FN49" s="90" t="s">
        <v>1475</v>
      </c>
    </row>
    <row r="50" spans="1:170" ht="15.6">
      <c r="A50" s="2">
        <v>6</v>
      </c>
      <c r="B50" s="52" t="s">
        <v>319</v>
      </c>
      <c r="D50" s="63">
        <v>85.89</v>
      </c>
      <c r="E50" s="63">
        <v>12.93</v>
      </c>
      <c r="F50" s="60">
        <v>0</v>
      </c>
      <c r="G50" s="60">
        <v>0</v>
      </c>
      <c r="H50" s="112"/>
      <c r="I50" s="112"/>
      <c r="J50" s="60">
        <v>79</v>
      </c>
      <c r="K50" s="112"/>
      <c r="L50" s="112"/>
      <c r="M50" s="93" t="s">
        <v>439</v>
      </c>
      <c r="N50" s="93" t="s">
        <v>1399</v>
      </c>
      <c r="O50" s="93" t="s">
        <v>489</v>
      </c>
      <c r="Q50" s="101">
        <v>9.9499999999999993</v>
      </c>
      <c r="R50" s="102">
        <v>85.16</v>
      </c>
      <c r="S50" s="101">
        <v>62.990000000000101</v>
      </c>
      <c r="T50" s="113">
        <v>52.81</v>
      </c>
      <c r="V50" s="66">
        <v>3100</v>
      </c>
      <c r="X50" s="114">
        <v>1.9</v>
      </c>
      <c r="Y50" s="114">
        <v>2115.3000000000002</v>
      </c>
      <c r="Z50" s="71">
        <v>1007</v>
      </c>
      <c r="AA50" s="80">
        <v>27.9</v>
      </c>
      <c r="AB50" s="80">
        <v>61</v>
      </c>
      <c r="AC50" s="58">
        <v>9.4</v>
      </c>
      <c r="AD50" s="84">
        <v>79.2</v>
      </c>
      <c r="AE50" s="84">
        <v>77.81</v>
      </c>
      <c r="AF50" s="60">
        <v>80.83</v>
      </c>
      <c r="AG50" s="60">
        <v>1705</v>
      </c>
      <c r="AH50" s="60">
        <f t="shared" si="0"/>
        <v>1.7050000000000001</v>
      </c>
      <c r="AI50" s="71">
        <v>145.44499999999999</v>
      </c>
      <c r="AJ50" s="70">
        <v>1.806</v>
      </c>
      <c r="AK50" s="70">
        <v>3528</v>
      </c>
      <c r="AL50" s="146" t="s">
        <v>23</v>
      </c>
      <c r="AM50" s="77">
        <v>36</v>
      </c>
      <c r="AO50" s="116">
        <v>53.8</v>
      </c>
      <c r="AP50" s="71">
        <v>24414</v>
      </c>
      <c r="AQ50" s="117" t="s">
        <v>2369</v>
      </c>
      <c r="AR50" s="100">
        <v>64.400000000000006</v>
      </c>
      <c r="AS50" s="81">
        <v>125.9</v>
      </c>
      <c r="AT50" s="118">
        <v>25.8</v>
      </c>
      <c r="AU50" s="106">
        <v>22</v>
      </c>
      <c r="AV50" s="71">
        <v>40.1</v>
      </c>
      <c r="AX50" s="119"/>
      <c r="AY50" s="112"/>
      <c r="AZ50" s="82" t="s">
        <v>1476</v>
      </c>
      <c r="BA50" s="79" t="s">
        <v>1477</v>
      </c>
      <c r="BB50" s="79" t="s">
        <v>1478</v>
      </c>
      <c r="BD50" s="78">
        <v>99.9</v>
      </c>
      <c r="BE50" s="120">
        <v>96.2</v>
      </c>
      <c r="BF50" s="64" t="s">
        <v>1479</v>
      </c>
      <c r="BG50" s="60">
        <v>101.4</v>
      </c>
      <c r="BH50" s="68">
        <v>35825</v>
      </c>
      <c r="BI50" s="121"/>
      <c r="BJ50" s="112"/>
      <c r="BK50" s="122">
        <v>27.7</v>
      </c>
      <c r="BL50" s="123">
        <v>14491</v>
      </c>
      <c r="BM50" s="115" t="s">
        <v>1480</v>
      </c>
      <c r="BN50" s="115" t="s">
        <v>1481</v>
      </c>
      <c r="BP50" s="115">
        <v>0.16300000000000001</v>
      </c>
      <c r="BQ50" s="84">
        <v>0.06</v>
      </c>
      <c r="BR50" s="85" t="s">
        <v>1482</v>
      </c>
      <c r="BS50" s="85" t="s">
        <v>1483</v>
      </c>
      <c r="BT50" s="115">
        <v>16</v>
      </c>
      <c r="BU50" s="124">
        <v>50</v>
      </c>
      <c r="BV50" s="125">
        <v>1535</v>
      </c>
      <c r="BW50" s="80">
        <v>138</v>
      </c>
      <c r="BX50" s="80">
        <v>86</v>
      </c>
      <c r="BY50" s="78">
        <v>97.6</v>
      </c>
      <c r="BZ50" s="115">
        <v>98.74</v>
      </c>
      <c r="CA50" s="115">
        <v>91.36</v>
      </c>
      <c r="CB50" s="112"/>
      <c r="CC50" s="112"/>
      <c r="CE50" s="70">
        <v>86.2</v>
      </c>
      <c r="CF50" s="70">
        <v>6.3</v>
      </c>
      <c r="CG50" s="69">
        <v>147</v>
      </c>
      <c r="CH50" s="69">
        <v>139</v>
      </c>
      <c r="CI50" s="69">
        <v>1.6</v>
      </c>
      <c r="CJ50" s="126">
        <v>225.6</v>
      </c>
      <c r="CK50" s="60">
        <v>225.6</v>
      </c>
      <c r="CL50" s="127">
        <v>47.99</v>
      </c>
      <c r="CM50" s="127">
        <v>151.5</v>
      </c>
      <c r="CN50" s="107">
        <v>4.8</v>
      </c>
      <c r="CO50" s="58">
        <v>522</v>
      </c>
      <c r="CQ50" s="108" t="s">
        <v>2370</v>
      </c>
      <c r="CR50" s="78">
        <v>1.7</v>
      </c>
      <c r="CS50" s="78">
        <v>6.3</v>
      </c>
      <c r="CT50" s="78">
        <v>100.8</v>
      </c>
      <c r="CU50" s="128" t="s">
        <v>1484</v>
      </c>
      <c r="CV50" s="128">
        <v>105.5</v>
      </c>
      <c r="CW50" s="128" t="s">
        <v>1485</v>
      </c>
      <c r="CX50" s="60" t="s">
        <v>1486</v>
      </c>
      <c r="CY50" s="60">
        <v>18.600000000000001</v>
      </c>
      <c r="CZ50" s="60" t="s">
        <v>1487</v>
      </c>
      <c r="DA50" s="129">
        <v>92894</v>
      </c>
      <c r="DB50" s="129">
        <v>11617</v>
      </c>
      <c r="DC50" s="70">
        <v>30.7</v>
      </c>
      <c r="DD50" s="60" t="s">
        <v>1488</v>
      </c>
      <c r="DE50" s="60" t="s">
        <v>1489</v>
      </c>
      <c r="DF50" s="60" t="s">
        <v>1490</v>
      </c>
      <c r="DG50" s="60" t="s">
        <v>442</v>
      </c>
      <c r="DI50" s="70">
        <v>1024</v>
      </c>
      <c r="DJ50" s="70">
        <v>22</v>
      </c>
      <c r="DK50" s="130">
        <v>37.299999999999997</v>
      </c>
      <c r="DM50" s="80">
        <v>218</v>
      </c>
      <c r="DN50" s="80">
        <v>693</v>
      </c>
      <c r="DO50" s="70">
        <v>2172</v>
      </c>
      <c r="DP50" s="131">
        <v>97</v>
      </c>
      <c r="DQ50" s="132">
        <v>1.9</v>
      </c>
      <c r="DR50" s="60">
        <v>0.4</v>
      </c>
      <c r="DS50" s="78"/>
      <c r="DT50" s="90">
        <v>3</v>
      </c>
      <c r="DU50" s="60">
        <v>126</v>
      </c>
      <c r="DV50" s="70">
        <v>0.6</v>
      </c>
      <c r="DW50" s="70">
        <v>79.7</v>
      </c>
      <c r="DX50" s="78"/>
      <c r="DY50" s="70">
        <v>108.7</v>
      </c>
      <c r="DZ50" s="70">
        <v>107.5</v>
      </c>
      <c r="EA50" s="70">
        <v>102.2</v>
      </c>
      <c r="EB50" s="70">
        <v>105.7</v>
      </c>
      <c r="EC50" s="86" t="s">
        <v>1482</v>
      </c>
      <c r="ED50" s="60" t="s">
        <v>1483</v>
      </c>
      <c r="EE50" s="60">
        <v>100</v>
      </c>
      <c r="EF50" s="60">
        <v>100.8</v>
      </c>
      <c r="EG50" s="60">
        <v>106.7</v>
      </c>
      <c r="EH50" s="78"/>
      <c r="EI50" s="60">
        <v>19.600000000000001</v>
      </c>
      <c r="EJ50" s="89">
        <v>84.4</v>
      </c>
      <c r="EK50" s="89">
        <v>47</v>
      </c>
      <c r="EL50" s="87">
        <v>104</v>
      </c>
      <c r="EM50" s="133">
        <v>13</v>
      </c>
      <c r="EN50" s="149"/>
      <c r="EO50" s="78"/>
      <c r="EP50" s="133" t="s">
        <v>1491</v>
      </c>
      <c r="EQ50" s="134">
        <v>402</v>
      </c>
      <c r="ER50" s="60">
        <v>2127</v>
      </c>
      <c r="ES50" s="60">
        <v>11367</v>
      </c>
      <c r="ET50" s="110" t="s">
        <v>2371</v>
      </c>
      <c r="EU50" s="110">
        <v>310</v>
      </c>
      <c r="EV50" s="78"/>
      <c r="EW50" s="135">
        <v>85.7</v>
      </c>
      <c r="EX50" s="136">
        <v>19.899999999999999</v>
      </c>
      <c r="EY50" s="137"/>
      <c r="EZ50" s="136">
        <v>1152.2</v>
      </c>
      <c r="FA50" s="109">
        <v>2.5</v>
      </c>
      <c r="FB50" s="78"/>
      <c r="FC50" s="137"/>
      <c r="FD50" s="137"/>
      <c r="FE50" s="70">
        <v>245</v>
      </c>
      <c r="FF50" s="137"/>
      <c r="FG50" s="137"/>
      <c r="FH50" s="70">
        <v>377</v>
      </c>
      <c r="FI50" s="70">
        <v>97</v>
      </c>
      <c r="FJ50" s="137"/>
      <c r="FK50" s="70"/>
      <c r="FL50" s="90" t="s">
        <v>1492</v>
      </c>
      <c r="FM50" s="90" t="s">
        <v>1493</v>
      </c>
      <c r="FN50" s="90" t="s">
        <v>1494</v>
      </c>
    </row>
    <row r="51" spans="1:170" ht="15.6">
      <c r="A51" s="2">
        <v>8</v>
      </c>
      <c r="B51" s="52" t="s">
        <v>320</v>
      </c>
      <c r="D51" s="63">
        <v>84</v>
      </c>
      <c r="E51" s="63">
        <v>14.95</v>
      </c>
      <c r="F51" s="60">
        <v>0</v>
      </c>
      <c r="G51" s="60">
        <v>0</v>
      </c>
      <c r="H51" s="112"/>
      <c r="I51" s="112"/>
      <c r="J51" s="60">
        <v>80</v>
      </c>
      <c r="K51" s="112"/>
      <c r="L51" s="112"/>
      <c r="M51" s="93" t="s">
        <v>1141</v>
      </c>
      <c r="N51" s="93" t="s">
        <v>592</v>
      </c>
      <c r="O51" s="93" t="s">
        <v>489</v>
      </c>
      <c r="Q51" s="101">
        <v>9.9499999999999993</v>
      </c>
      <c r="R51" s="102">
        <v>85.16</v>
      </c>
      <c r="S51" s="101">
        <v>62.990000000000101</v>
      </c>
      <c r="T51" s="113">
        <v>53.41</v>
      </c>
      <c r="V51" s="66">
        <v>74700</v>
      </c>
      <c r="X51" s="114">
        <v>4.5</v>
      </c>
      <c r="Y51" s="114">
        <v>2115.3000000000002</v>
      </c>
      <c r="Z51" s="71">
        <v>1058</v>
      </c>
      <c r="AA51" s="80">
        <v>21.6</v>
      </c>
      <c r="AB51" s="80">
        <v>54</v>
      </c>
      <c r="AC51" s="58">
        <v>21.3</v>
      </c>
      <c r="AD51" s="84">
        <v>74.53</v>
      </c>
      <c r="AE51" s="84">
        <v>69.44</v>
      </c>
      <c r="AF51" s="60">
        <v>79.599999999999994</v>
      </c>
      <c r="AG51" s="60">
        <v>2517</v>
      </c>
      <c r="AH51" s="60">
        <f t="shared" si="0"/>
        <v>2.5169999999999999</v>
      </c>
      <c r="AI51" s="71">
        <v>414.86499999999995</v>
      </c>
      <c r="AJ51" s="70">
        <v>1.4430000000000001</v>
      </c>
      <c r="AK51" s="70">
        <v>1249</v>
      </c>
      <c r="AL51" s="90">
        <v>2</v>
      </c>
      <c r="AM51" s="77">
        <v>111</v>
      </c>
      <c r="AO51" s="116">
        <v>59.4</v>
      </c>
      <c r="AP51" s="71">
        <v>28635</v>
      </c>
      <c r="AQ51" s="117" t="s">
        <v>2372</v>
      </c>
      <c r="AR51" s="100">
        <v>65.599999999999994</v>
      </c>
      <c r="AS51" s="81">
        <v>0.8</v>
      </c>
      <c r="AT51" s="118">
        <v>6.4</v>
      </c>
      <c r="AU51" s="106">
        <v>33.6</v>
      </c>
      <c r="AV51" s="71">
        <v>36.799999999999997</v>
      </c>
      <c r="AX51" s="119"/>
      <c r="AY51" s="112"/>
      <c r="AZ51" s="82" t="s">
        <v>1495</v>
      </c>
      <c r="BA51" s="79" t="s">
        <v>1496</v>
      </c>
      <c r="BB51" s="79" t="s">
        <v>1497</v>
      </c>
      <c r="BD51" s="78">
        <v>115.6</v>
      </c>
      <c r="BE51" s="120">
        <v>105.5</v>
      </c>
      <c r="BF51" s="64" t="s">
        <v>1498</v>
      </c>
      <c r="BG51" s="60">
        <v>111.3</v>
      </c>
      <c r="BH51" s="68">
        <v>42151</v>
      </c>
      <c r="BI51" s="121"/>
      <c r="BJ51" s="112"/>
      <c r="BK51" s="122">
        <v>18.8</v>
      </c>
      <c r="BL51" s="123">
        <v>26174</v>
      </c>
      <c r="BM51" s="115" t="s">
        <v>1499</v>
      </c>
      <c r="BN51" s="115" t="s">
        <v>1500</v>
      </c>
      <c r="BP51" s="115">
        <v>0.14199999999999999</v>
      </c>
      <c r="BQ51" s="84">
        <v>4.2000000000000003E-2</v>
      </c>
      <c r="BR51" s="85" t="s">
        <v>1501</v>
      </c>
      <c r="BS51" s="85" t="s">
        <v>1502</v>
      </c>
      <c r="BT51" s="115">
        <v>26.9</v>
      </c>
      <c r="BU51" s="124">
        <v>36.700000000000003</v>
      </c>
      <c r="BV51" s="125">
        <v>1219</v>
      </c>
      <c r="BW51" s="80">
        <v>78</v>
      </c>
      <c r="BX51" s="80">
        <v>64</v>
      </c>
      <c r="BY51" s="78">
        <v>61.7</v>
      </c>
      <c r="BZ51" s="115">
        <v>95.53</v>
      </c>
      <c r="CA51" s="115">
        <v>52.03</v>
      </c>
      <c r="CB51" s="112"/>
      <c r="CC51" s="112"/>
      <c r="CE51" s="70">
        <v>33.799999999999997</v>
      </c>
      <c r="CF51" s="70">
        <v>3.2</v>
      </c>
      <c r="CG51" s="69">
        <v>328</v>
      </c>
      <c r="CH51" s="69">
        <v>287</v>
      </c>
      <c r="CI51" s="69">
        <v>1.5</v>
      </c>
      <c r="CJ51" s="126">
        <v>133.72</v>
      </c>
      <c r="CK51" s="60">
        <v>133.69999999999999</v>
      </c>
      <c r="CL51" s="127">
        <v>48.47</v>
      </c>
      <c r="CM51" s="127">
        <v>407.5</v>
      </c>
      <c r="CN51" s="107">
        <v>4.5999999999999996</v>
      </c>
      <c r="CO51" s="58">
        <v>668.2</v>
      </c>
      <c r="CQ51" s="108" t="s">
        <v>2373</v>
      </c>
      <c r="CR51" s="137" t="s">
        <v>23</v>
      </c>
      <c r="CS51" s="78">
        <v>1.2</v>
      </c>
      <c r="CT51" s="78">
        <v>104.8</v>
      </c>
      <c r="CU51" s="128" t="s">
        <v>1503</v>
      </c>
      <c r="CV51" s="128">
        <v>80</v>
      </c>
      <c r="CW51" s="128" t="s">
        <v>1177</v>
      </c>
      <c r="CX51" s="60" t="s">
        <v>1504</v>
      </c>
      <c r="CY51" s="60">
        <v>41.2</v>
      </c>
      <c r="CZ51" s="60" t="s">
        <v>1505</v>
      </c>
      <c r="DA51" s="129">
        <v>225137</v>
      </c>
      <c r="DB51" s="129">
        <v>9129</v>
      </c>
      <c r="DC51" s="70">
        <v>141.30000000000001</v>
      </c>
      <c r="DD51" s="60" t="s">
        <v>1506</v>
      </c>
      <c r="DE51" s="60" t="s">
        <v>1507</v>
      </c>
      <c r="DF51" s="60" t="s">
        <v>1508</v>
      </c>
      <c r="DG51" s="60" t="s">
        <v>379</v>
      </c>
      <c r="DI51" s="70">
        <v>51</v>
      </c>
      <c r="DJ51" s="70">
        <v>91</v>
      </c>
      <c r="DK51" s="130">
        <v>200.7</v>
      </c>
      <c r="DM51" s="80">
        <v>245</v>
      </c>
      <c r="DN51" s="80">
        <v>190</v>
      </c>
      <c r="DO51" s="70">
        <v>8462</v>
      </c>
      <c r="DP51" s="131">
        <v>97.6</v>
      </c>
      <c r="DQ51" s="132">
        <v>2.2000000000000002</v>
      </c>
      <c r="DR51" s="60">
        <v>2.8</v>
      </c>
      <c r="DS51" s="78"/>
      <c r="DT51" s="90">
        <v>5</v>
      </c>
      <c r="DU51" s="60">
        <v>334</v>
      </c>
      <c r="DV51" s="70">
        <v>11</v>
      </c>
      <c r="DW51" s="70">
        <v>103.4</v>
      </c>
      <c r="DX51" s="78"/>
      <c r="DY51" s="70">
        <v>109.1</v>
      </c>
      <c r="DZ51" s="70">
        <v>105</v>
      </c>
      <c r="EA51" s="70">
        <v>104.1</v>
      </c>
      <c r="EB51" s="70">
        <v>105.5</v>
      </c>
      <c r="EC51" s="86" t="s">
        <v>1501</v>
      </c>
      <c r="ED51" s="60" t="s">
        <v>1502</v>
      </c>
      <c r="EE51" s="60">
        <v>100.7</v>
      </c>
      <c r="EF51" s="60">
        <v>104.8</v>
      </c>
      <c r="EG51" s="60">
        <v>108.8</v>
      </c>
      <c r="EH51" s="78"/>
      <c r="EI51" s="60">
        <v>35.5</v>
      </c>
      <c r="EJ51" s="89">
        <v>137.80000000000001</v>
      </c>
      <c r="EK51" s="89">
        <v>46</v>
      </c>
      <c r="EL51" s="87">
        <v>133</v>
      </c>
      <c r="EM51" s="133">
        <v>11.8</v>
      </c>
      <c r="EN51" s="149"/>
      <c r="EO51" s="78"/>
      <c r="EP51" s="133" t="s">
        <v>467</v>
      </c>
      <c r="EQ51" s="134">
        <v>467</v>
      </c>
      <c r="ER51" s="60">
        <v>20023</v>
      </c>
      <c r="ES51" s="60">
        <v>54649</v>
      </c>
      <c r="ET51" s="110" t="s">
        <v>2374</v>
      </c>
      <c r="EU51" s="110">
        <v>284</v>
      </c>
      <c r="EV51" s="78"/>
      <c r="EW51" s="135">
        <v>93.5</v>
      </c>
      <c r="EX51" s="136">
        <v>31.6</v>
      </c>
      <c r="EY51" s="137"/>
      <c r="EZ51" s="136">
        <v>1250.5999999999999</v>
      </c>
      <c r="FA51" s="109">
        <v>13.9</v>
      </c>
      <c r="FB51" s="78"/>
      <c r="FC51" s="137"/>
      <c r="FD51" s="137"/>
      <c r="FE51" s="70">
        <v>210</v>
      </c>
      <c r="FF51" s="137"/>
      <c r="FG51" s="137"/>
      <c r="FH51" s="70">
        <v>153</v>
      </c>
      <c r="FI51" s="70">
        <v>487</v>
      </c>
      <c r="FJ51" s="137"/>
      <c r="FK51" s="70"/>
      <c r="FL51" s="90" t="s">
        <v>1509</v>
      </c>
      <c r="FM51" s="90" t="s">
        <v>1510</v>
      </c>
      <c r="FN51" s="90" t="s">
        <v>1511</v>
      </c>
    </row>
    <row r="52" spans="1:170" ht="15.6">
      <c r="A52" s="2">
        <v>10</v>
      </c>
      <c r="B52" s="52" t="s">
        <v>321</v>
      </c>
      <c r="D52" s="63">
        <v>70.459999999999994</v>
      </c>
      <c r="E52" s="63">
        <v>28.58</v>
      </c>
      <c r="F52" s="60">
        <v>0</v>
      </c>
      <c r="G52" s="60">
        <v>0</v>
      </c>
      <c r="H52" s="112"/>
      <c r="I52" s="112"/>
      <c r="J52" s="60">
        <v>62</v>
      </c>
      <c r="K52" s="112"/>
      <c r="L52" s="112"/>
      <c r="M52" s="93" t="s">
        <v>439</v>
      </c>
      <c r="N52" s="93" t="s">
        <v>511</v>
      </c>
      <c r="O52" s="93" t="s">
        <v>592</v>
      </c>
      <c r="Q52" s="101">
        <v>9.9499999999999993</v>
      </c>
      <c r="R52" s="102">
        <v>85.16</v>
      </c>
      <c r="S52" s="101">
        <v>62.990000000000101</v>
      </c>
      <c r="T52" s="113">
        <v>52.52</v>
      </c>
      <c r="V52" s="66">
        <v>180500</v>
      </c>
      <c r="X52" s="114">
        <v>7.5</v>
      </c>
      <c r="Y52" s="114">
        <v>2115.3000000000002</v>
      </c>
      <c r="Z52" s="71">
        <v>1233</v>
      </c>
      <c r="AA52" s="80">
        <v>17.600000000000001</v>
      </c>
      <c r="AB52" s="80">
        <v>53</v>
      </c>
      <c r="AC52" s="58">
        <v>27.1</v>
      </c>
      <c r="AD52" s="84">
        <v>69.75</v>
      </c>
      <c r="AE52" s="84">
        <v>63.09</v>
      </c>
      <c r="AF52" s="60">
        <v>76.53</v>
      </c>
      <c r="AG52" s="60">
        <v>8681</v>
      </c>
      <c r="AH52" s="60">
        <f t="shared" si="0"/>
        <v>8.6809999999999992</v>
      </c>
      <c r="AI52" s="71">
        <v>715.92</v>
      </c>
      <c r="AJ52" s="70">
        <v>1.534</v>
      </c>
      <c r="AK52" s="70">
        <v>702</v>
      </c>
      <c r="AL52" s="90">
        <v>16</v>
      </c>
      <c r="AM52" s="77">
        <v>70</v>
      </c>
      <c r="AO52" s="116">
        <v>55</v>
      </c>
      <c r="AP52" s="71">
        <v>53068</v>
      </c>
      <c r="AQ52" s="117" t="s">
        <v>2375</v>
      </c>
      <c r="AR52" s="100">
        <v>76</v>
      </c>
      <c r="AS52" s="81">
        <v>0.4</v>
      </c>
      <c r="AT52" s="118">
        <v>5.7</v>
      </c>
      <c r="AU52" s="106">
        <v>9.6999999999999993</v>
      </c>
      <c r="AV52" s="71">
        <v>47.4</v>
      </c>
      <c r="AX52" s="119"/>
      <c r="AY52" s="112"/>
      <c r="AZ52" s="82" t="s">
        <v>1512</v>
      </c>
      <c r="BA52" s="79" t="s">
        <v>1513</v>
      </c>
      <c r="BB52" s="79" t="s">
        <v>1514</v>
      </c>
      <c r="BD52" s="78">
        <v>107.9</v>
      </c>
      <c r="BE52" s="120">
        <v>102.4</v>
      </c>
      <c r="BF52" s="64" t="s">
        <v>1515</v>
      </c>
      <c r="BG52" s="60">
        <v>108.2</v>
      </c>
      <c r="BH52" s="68">
        <v>64779</v>
      </c>
      <c r="BI52" s="121"/>
      <c r="BJ52" s="112"/>
      <c r="BK52" s="122">
        <v>10.199999999999999</v>
      </c>
      <c r="BL52" s="123">
        <v>43443</v>
      </c>
      <c r="BM52" s="115" t="s">
        <v>1516</v>
      </c>
      <c r="BN52" s="115" t="s">
        <v>1517</v>
      </c>
      <c r="BP52" s="115">
        <v>0.312</v>
      </c>
      <c r="BQ52" s="84">
        <v>0.13600000000000001</v>
      </c>
      <c r="BR52" s="85" t="s">
        <v>1518</v>
      </c>
      <c r="BS52" s="85" t="s">
        <v>1519</v>
      </c>
      <c r="BT52" s="115">
        <v>33.799999999999997</v>
      </c>
      <c r="BU52" s="124">
        <v>34.6</v>
      </c>
      <c r="BV52" s="125">
        <v>1905</v>
      </c>
      <c r="BW52" s="80">
        <v>203</v>
      </c>
      <c r="BX52" s="80">
        <v>14</v>
      </c>
      <c r="BY52" s="78">
        <v>77.8</v>
      </c>
      <c r="BZ52" s="115">
        <v>78.86</v>
      </c>
      <c r="CA52" s="115">
        <v>55.38</v>
      </c>
      <c r="CB52" s="112"/>
      <c r="CC52" s="112"/>
      <c r="CE52" s="70">
        <v>71.900000000000006</v>
      </c>
      <c r="CF52" s="70">
        <v>4.9000000000000004</v>
      </c>
      <c r="CG52" s="69">
        <v>209</v>
      </c>
      <c r="CH52" s="69">
        <v>209</v>
      </c>
      <c r="CI52" s="69">
        <v>1.8</v>
      </c>
      <c r="CJ52" s="126">
        <v>118.52</v>
      </c>
      <c r="CK52" s="60">
        <v>118.5</v>
      </c>
      <c r="CL52" s="127">
        <v>59.9</v>
      </c>
      <c r="CM52" s="127">
        <v>773.4</v>
      </c>
      <c r="CN52" s="107">
        <v>3.1</v>
      </c>
      <c r="CO52" s="58">
        <v>1505.9</v>
      </c>
      <c r="CQ52" s="108" t="s">
        <v>2376</v>
      </c>
      <c r="CR52" s="78">
        <v>103.9</v>
      </c>
      <c r="CS52" s="78">
        <v>149.30000000000001</v>
      </c>
      <c r="CT52" s="78">
        <v>99.9</v>
      </c>
      <c r="CU52" s="128" t="s">
        <v>1520</v>
      </c>
      <c r="CV52" s="128">
        <v>95.7</v>
      </c>
      <c r="CW52" s="128" t="s">
        <v>1521</v>
      </c>
      <c r="CX52" s="60" t="s">
        <v>398</v>
      </c>
      <c r="CY52" s="60">
        <v>43.6</v>
      </c>
      <c r="CZ52" s="60" t="s">
        <v>380</v>
      </c>
      <c r="DA52" s="129">
        <v>352275</v>
      </c>
      <c r="DB52" s="129">
        <v>55540</v>
      </c>
      <c r="DC52" s="70">
        <v>848.3</v>
      </c>
      <c r="DD52" s="86" t="s">
        <v>1522</v>
      </c>
      <c r="DE52" s="60" t="s">
        <v>1523</v>
      </c>
      <c r="DF52" s="60" t="s">
        <v>1524</v>
      </c>
      <c r="DG52" s="60" t="s">
        <v>1525</v>
      </c>
      <c r="DI52" s="70">
        <v>48</v>
      </c>
      <c r="DJ52" s="70">
        <v>91</v>
      </c>
      <c r="DK52" s="130">
        <v>109.5</v>
      </c>
      <c r="DM52" s="80">
        <v>375</v>
      </c>
      <c r="DN52" s="80" t="s">
        <v>1526</v>
      </c>
      <c r="DO52" s="70">
        <v>3579</v>
      </c>
      <c r="DP52" s="131">
        <v>97.2</v>
      </c>
      <c r="DQ52" s="132">
        <v>78</v>
      </c>
      <c r="DR52" s="60">
        <v>18</v>
      </c>
      <c r="DS52" s="78"/>
      <c r="DT52" s="90">
        <v>135</v>
      </c>
      <c r="DU52" s="60">
        <v>183</v>
      </c>
      <c r="DV52" s="70">
        <v>137</v>
      </c>
      <c r="DW52" s="70">
        <v>111.9</v>
      </c>
      <c r="DX52" s="78"/>
      <c r="DY52" s="70">
        <v>109.6</v>
      </c>
      <c r="DZ52" s="70">
        <v>103.7</v>
      </c>
      <c r="EA52" s="70">
        <v>109.8</v>
      </c>
      <c r="EB52" s="70">
        <v>104.8</v>
      </c>
      <c r="EC52" s="86" t="s">
        <v>1518</v>
      </c>
      <c r="ED52" s="60" t="s">
        <v>1519</v>
      </c>
      <c r="EE52" s="60">
        <v>117.3</v>
      </c>
      <c r="EF52" s="60">
        <v>99.9</v>
      </c>
      <c r="EG52" s="60">
        <v>97</v>
      </c>
      <c r="EH52" s="78"/>
      <c r="EI52" s="60">
        <v>38.6</v>
      </c>
      <c r="EJ52" s="89">
        <v>1653.6</v>
      </c>
      <c r="EK52" s="89">
        <v>311</v>
      </c>
      <c r="EL52" s="141">
        <v>1021</v>
      </c>
      <c r="EM52" s="133">
        <v>9.6999999999999993</v>
      </c>
      <c r="EN52" s="142" t="s">
        <v>1527</v>
      </c>
      <c r="EO52" s="78"/>
      <c r="EP52" s="133" t="s">
        <v>1528</v>
      </c>
      <c r="EQ52" s="134">
        <v>5133</v>
      </c>
      <c r="ER52" s="60">
        <v>25139</v>
      </c>
      <c r="ES52" s="60">
        <v>113604</v>
      </c>
      <c r="ET52" s="110" t="s">
        <v>2377</v>
      </c>
      <c r="EU52" s="110" t="s">
        <v>381</v>
      </c>
      <c r="EV52" s="78"/>
      <c r="EW52" s="135">
        <v>84</v>
      </c>
      <c r="EX52" s="136">
        <v>36.9</v>
      </c>
      <c r="EY52" s="137"/>
      <c r="EZ52" s="136">
        <v>2231.8000000000002</v>
      </c>
      <c r="FA52" s="109">
        <v>40.200000000000003</v>
      </c>
      <c r="FB52" s="78"/>
      <c r="FC52" s="137"/>
      <c r="FD52" s="137"/>
      <c r="FE52" s="70">
        <v>360</v>
      </c>
      <c r="FF52" s="137"/>
      <c r="FG52" s="137"/>
      <c r="FH52" s="70">
        <v>303</v>
      </c>
      <c r="FI52" s="70">
        <v>1709</v>
      </c>
      <c r="FJ52" s="137"/>
      <c r="FK52" s="70"/>
      <c r="FL52" s="90" t="s">
        <v>1529</v>
      </c>
      <c r="FM52" s="90" t="s">
        <v>1530</v>
      </c>
      <c r="FN52" s="90">
        <v>415</v>
      </c>
    </row>
    <row r="53" spans="1:170" ht="15.6">
      <c r="A53" s="2">
        <v>11</v>
      </c>
      <c r="B53" s="52" t="s">
        <v>322</v>
      </c>
      <c r="D53" s="63">
        <v>65.08</v>
      </c>
      <c r="E53" s="63">
        <v>33.94</v>
      </c>
      <c r="F53" s="60">
        <v>0</v>
      </c>
      <c r="G53" s="60">
        <v>0</v>
      </c>
      <c r="H53" s="112"/>
      <c r="I53" s="112"/>
      <c r="J53" s="60">
        <v>66</v>
      </c>
      <c r="K53" s="112"/>
      <c r="L53" s="112"/>
      <c r="M53" s="93" t="s">
        <v>434</v>
      </c>
      <c r="N53" s="93" t="s">
        <v>592</v>
      </c>
      <c r="O53" s="93" t="s">
        <v>489</v>
      </c>
      <c r="Q53" s="101">
        <v>9.9499999999999993</v>
      </c>
      <c r="R53" s="102">
        <v>85.16</v>
      </c>
      <c r="S53" s="101">
        <v>62.990000000000101</v>
      </c>
      <c r="T53" s="113">
        <v>50.51</v>
      </c>
      <c r="V53" s="66">
        <v>416800</v>
      </c>
      <c r="X53" s="114">
        <v>6.3</v>
      </c>
      <c r="Y53" s="114">
        <v>2115.3000000000002</v>
      </c>
      <c r="Z53" s="71">
        <v>1166</v>
      </c>
      <c r="AA53" s="80">
        <v>17.2</v>
      </c>
      <c r="AB53" s="80">
        <v>55.7</v>
      </c>
      <c r="AC53" s="58">
        <v>23</v>
      </c>
      <c r="AD53" s="84">
        <v>70.430000000000007</v>
      </c>
      <c r="AE53" s="84">
        <v>64.41</v>
      </c>
      <c r="AF53" s="60">
        <v>76.52</v>
      </c>
      <c r="AG53" s="60">
        <v>9694</v>
      </c>
      <c r="AH53" s="60">
        <f t="shared" si="0"/>
        <v>9.6940000000000008</v>
      </c>
      <c r="AI53" s="71">
        <v>609.32999999999993</v>
      </c>
      <c r="AJ53" s="70">
        <v>1.5640000000000001</v>
      </c>
      <c r="AK53" s="70">
        <v>831</v>
      </c>
      <c r="AL53" s="90">
        <v>14</v>
      </c>
      <c r="AM53" s="77">
        <v>143</v>
      </c>
      <c r="AO53" s="116">
        <v>56.7</v>
      </c>
      <c r="AP53" s="71">
        <v>56152</v>
      </c>
      <c r="AQ53" s="117" t="s">
        <v>2297</v>
      </c>
      <c r="AR53" s="100">
        <v>76.2</v>
      </c>
      <c r="AS53" s="81">
        <v>0.4</v>
      </c>
      <c r="AT53" s="118">
        <v>5.5</v>
      </c>
      <c r="AU53" s="106">
        <v>17.3</v>
      </c>
      <c r="AV53" s="71">
        <v>50.9</v>
      </c>
      <c r="AX53" s="119"/>
      <c r="AY53" s="112"/>
      <c r="AZ53" s="82" t="s">
        <v>1531</v>
      </c>
      <c r="BA53" s="79" t="s">
        <v>1532</v>
      </c>
      <c r="BB53" s="79" t="s">
        <v>1533</v>
      </c>
      <c r="BD53" s="78">
        <v>103.4</v>
      </c>
      <c r="BE53" s="120">
        <v>102.4</v>
      </c>
      <c r="BF53" s="64" t="s">
        <v>1534</v>
      </c>
      <c r="BG53" s="60">
        <v>106.6</v>
      </c>
      <c r="BH53" s="68">
        <v>77601</v>
      </c>
      <c r="BI53" s="121"/>
      <c r="BJ53" s="112"/>
      <c r="BK53" s="122">
        <v>11.5</v>
      </c>
      <c r="BL53" s="123">
        <v>39531</v>
      </c>
      <c r="BM53" s="115" t="s">
        <v>1535</v>
      </c>
      <c r="BN53" s="115" t="s">
        <v>1536</v>
      </c>
      <c r="BP53" s="115">
        <v>0.217</v>
      </c>
      <c r="BQ53" s="84">
        <v>7.9000000000000001E-2</v>
      </c>
      <c r="BR53" s="85" t="s">
        <v>1537</v>
      </c>
      <c r="BS53" s="85" t="s">
        <v>1538</v>
      </c>
      <c r="BT53" s="115">
        <v>33.1</v>
      </c>
      <c r="BU53" s="124">
        <v>36.4</v>
      </c>
      <c r="BV53" s="125">
        <v>2920</v>
      </c>
      <c r="BW53" s="80">
        <v>222</v>
      </c>
      <c r="BX53" s="80">
        <v>20</v>
      </c>
      <c r="BY53" s="78">
        <v>79.7</v>
      </c>
      <c r="BZ53" s="115">
        <v>82.88</v>
      </c>
      <c r="CA53" s="115">
        <v>67.099999999999994</v>
      </c>
      <c r="CB53" s="112"/>
      <c r="CC53" s="112"/>
      <c r="CE53" s="70">
        <v>101.9</v>
      </c>
      <c r="CF53" s="70">
        <v>6.7</v>
      </c>
      <c r="CG53" s="69">
        <v>182</v>
      </c>
      <c r="CH53" s="69">
        <v>182</v>
      </c>
      <c r="CI53" s="69">
        <v>2</v>
      </c>
      <c r="CJ53" s="126">
        <v>97.35</v>
      </c>
      <c r="CK53" s="60">
        <v>97.4</v>
      </c>
      <c r="CL53" s="127">
        <v>53.73</v>
      </c>
      <c r="CM53" s="127">
        <v>700.4</v>
      </c>
      <c r="CN53" s="107">
        <v>4.9000000000000004</v>
      </c>
      <c r="CO53" s="58">
        <v>1149.3</v>
      </c>
      <c r="CQ53" s="108" t="s">
        <v>2378</v>
      </c>
      <c r="CR53" s="78">
        <v>639.1</v>
      </c>
      <c r="CS53" s="78">
        <v>202.5</v>
      </c>
      <c r="CT53" s="78">
        <v>94.6</v>
      </c>
      <c r="CU53" s="128" t="s">
        <v>1539</v>
      </c>
      <c r="CV53" s="128">
        <v>98.5</v>
      </c>
      <c r="CW53" s="128" t="s">
        <v>1540</v>
      </c>
      <c r="CX53" s="60" t="s">
        <v>1541</v>
      </c>
      <c r="CY53" s="60">
        <v>32.299999999999997</v>
      </c>
      <c r="CZ53" s="60" t="s">
        <v>366</v>
      </c>
      <c r="DA53" s="129">
        <v>287859</v>
      </c>
      <c r="DB53" s="129">
        <v>63300</v>
      </c>
      <c r="DC53" s="70">
        <v>1065.9000000000001</v>
      </c>
      <c r="DD53" s="86" t="s">
        <v>1542</v>
      </c>
      <c r="DE53" s="60" t="s">
        <v>1543</v>
      </c>
      <c r="DF53" s="60" t="s">
        <v>1544</v>
      </c>
      <c r="DG53" s="60" t="s">
        <v>1545</v>
      </c>
      <c r="DI53" s="70">
        <v>17</v>
      </c>
      <c r="DJ53" s="70">
        <v>96</v>
      </c>
      <c r="DK53" s="130">
        <v>118.9</v>
      </c>
      <c r="DM53" s="80">
        <v>279</v>
      </c>
      <c r="DN53" s="80">
        <v>446</v>
      </c>
      <c r="DO53" s="70">
        <v>4073</v>
      </c>
      <c r="DP53" s="131">
        <v>98.1</v>
      </c>
      <c r="DQ53" s="132">
        <v>16.600000000000001</v>
      </c>
      <c r="DR53" s="60">
        <v>19.100000000000001</v>
      </c>
      <c r="DS53" s="78"/>
      <c r="DT53" s="90">
        <v>344</v>
      </c>
      <c r="DU53" s="60">
        <v>449</v>
      </c>
      <c r="DV53" s="70">
        <v>177</v>
      </c>
      <c r="DW53" s="70">
        <v>98.1</v>
      </c>
      <c r="DX53" s="78"/>
      <c r="DY53" s="70">
        <v>107.9</v>
      </c>
      <c r="DZ53" s="70">
        <v>107.1</v>
      </c>
      <c r="EA53" s="70">
        <v>106.8</v>
      </c>
      <c r="EB53" s="70">
        <v>104.8</v>
      </c>
      <c r="EC53" s="86" t="s">
        <v>1537</v>
      </c>
      <c r="ED53" s="60" t="s">
        <v>1538</v>
      </c>
      <c r="EE53" s="60">
        <v>177.2</v>
      </c>
      <c r="EF53" s="60">
        <v>94.6</v>
      </c>
      <c r="EG53" s="60">
        <v>98.6</v>
      </c>
      <c r="EH53" s="78"/>
      <c r="EI53" s="60">
        <v>33.299999999999997</v>
      </c>
      <c r="EJ53" s="89">
        <v>3677.1</v>
      </c>
      <c r="EK53" s="89">
        <v>467</v>
      </c>
      <c r="EL53" s="141">
        <v>1567</v>
      </c>
      <c r="EM53" s="133">
        <v>17.100000000000001</v>
      </c>
      <c r="EN53" s="142" t="s">
        <v>1546</v>
      </c>
      <c r="EO53" s="78"/>
      <c r="EP53" s="133" t="s">
        <v>1547</v>
      </c>
      <c r="EQ53" s="134">
        <v>7561</v>
      </c>
      <c r="ER53" s="60">
        <v>36806</v>
      </c>
      <c r="ES53" s="60">
        <v>170725</v>
      </c>
      <c r="ET53" s="110" t="s">
        <v>2379</v>
      </c>
      <c r="EU53" s="110" t="s">
        <v>2380</v>
      </c>
      <c r="EV53" s="78"/>
      <c r="EW53" s="135">
        <v>83.2</v>
      </c>
      <c r="EX53" s="136">
        <v>33.5</v>
      </c>
      <c r="EY53" s="137"/>
      <c r="EZ53" s="136">
        <v>2097.6</v>
      </c>
      <c r="FA53" s="109">
        <v>25.7</v>
      </c>
      <c r="FB53" s="78"/>
      <c r="FC53" s="137"/>
      <c r="FD53" s="137"/>
      <c r="FE53" s="70">
        <v>368</v>
      </c>
      <c r="FF53" s="137"/>
      <c r="FG53" s="137"/>
      <c r="FH53" s="70">
        <v>487</v>
      </c>
      <c r="FI53" s="70">
        <v>3336</v>
      </c>
      <c r="FJ53" s="137"/>
      <c r="FK53" s="70"/>
      <c r="FL53" s="90" t="s">
        <v>1548</v>
      </c>
      <c r="FM53" s="90" t="s">
        <v>1549</v>
      </c>
      <c r="FN53" s="90" t="s">
        <v>1550</v>
      </c>
    </row>
    <row r="54" spans="1:170" ht="15.6">
      <c r="A54" s="2">
        <v>91</v>
      </c>
      <c r="B54" s="52" t="s">
        <v>323</v>
      </c>
      <c r="D54" s="65">
        <v>90.07</v>
      </c>
      <c r="E54" s="63">
        <v>9.08</v>
      </c>
      <c r="F54" s="60">
        <v>0</v>
      </c>
      <c r="G54" s="60">
        <v>0</v>
      </c>
      <c r="H54" s="112"/>
      <c r="I54" s="112"/>
      <c r="J54" s="60">
        <v>31</v>
      </c>
      <c r="K54" s="112"/>
      <c r="L54" s="112"/>
      <c r="M54" s="93" t="s">
        <v>1551</v>
      </c>
      <c r="N54" s="93" t="s">
        <v>488</v>
      </c>
      <c r="O54" s="93" t="s">
        <v>489</v>
      </c>
      <c r="Q54" s="101">
        <v>9.9499999999999993</v>
      </c>
      <c r="R54" s="102">
        <v>85.16</v>
      </c>
      <c r="S54" s="101">
        <v>62.990000000000101</v>
      </c>
      <c r="T54" s="113">
        <v>58.9</v>
      </c>
      <c r="V54" s="66">
        <v>26100</v>
      </c>
      <c r="X54" s="114">
        <v>6.6</v>
      </c>
      <c r="Y54" s="114">
        <v>2115.3000000000002</v>
      </c>
      <c r="Z54" s="71">
        <v>1158</v>
      </c>
      <c r="AA54" s="80">
        <v>18.3</v>
      </c>
      <c r="AB54" s="80">
        <v>53.7</v>
      </c>
      <c r="AC54" s="58">
        <v>25.1</v>
      </c>
      <c r="AD54" s="84">
        <v>72.760000000000005</v>
      </c>
      <c r="AE54" s="84">
        <v>67.5</v>
      </c>
      <c r="AF54" s="60">
        <v>77.959999999999994</v>
      </c>
      <c r="AG54" s="60">
        <v>26254</v>
      </c>
      <c r="AH54" s="60">
        <f t="shared" si="0"/>
        <v>26.254000000000001</v>
      </c>
      <c r="AI54" s="71">
        <v>553.94500000000005</v>
      </c>
      <c r="AJ54" s="115">
        <v>1.4503600000000001</v>
      </c>
      <c r="AK54" s="70">
        <v>626</v>
      </c>
      <c r="AL54" s="90">
        <v>4</v>
      </c>
      <c r="AM54" s="77">
        <v>250</v>
      </c>
      <c r="AO54" s="116">
        <v>57.7</v>
      </c>
      <c r="AP54" s="71">
        <v>32875</v>
      </c>
      <c r="AQ54" s="117" t="s">
        <v>2226</v>
      </c>
      <c r="AR54" s="100">
        <v>58.6</v>
      </c>
      <c r="AS54" s="81">
        <v>0.4</v>
      </c>
      <c r="AT54" s="118">
        <v>2.6</v>
      </c>
      <c r="AU54" s="106">
        <v>25.7</v>
      </c>
      <c r="AV54" s="71">
        <v>38.1</v>
      </c>
      <c r="AX54" s="119"/>
      <c r="AY54" s="112"/>
      <c r="AZ54" s="82" t="s">
        <v>1552</v>
      </c>
      <c r="BA54" s="79" t="s">
        <v>1553</v>
      </c>
      <c r="BB54" s="79" t="s">
        <v>1554</v>
      </c>
      <c r="BD54" s="78">
        <v>102.6</v>
      </c>
      <c r="BE54" s="120">
        <v>100.4</v>
      </c>
      <c r="BF54" s="64" t="s">
        <v>1555</v>
      </c>
      <c r="BG54" s="60">
        <v>105.5</v>
      </c>
      <c r="BH54" s="68">
        <v>47325</v>
      </c>
      <c r="BI54" s="121"/>
      <c r="BJ54" s="112"/>
      <c r="BK54" s="122">
        <v>13.8</v>
      </c>
      <c r="BL54" s="123">
        <v>27509</v>
      </c>
      <c r="BM54" s="115" t="s">
        <v>1556</v>
      </c>
      <c r="BN54" s="115" t="s">
        <v>1557</v>
      </c>
      <c r="BP54" s="115">
        <v>1.22</v>
      </c>
      <c r="BQ54" s="84">
        <v>0.316</v>
      </c>
      <c r="BR54" s="85" t="s">
        <v>1558</v>
      </c>
      <c r="BS54" s="85" t="s">
        <v>1559</v>
      </c>
      <c r="BT54" s="115">
        <v>21.4</v>
      </c>
      <c r="BU54" s="124">
        <v>42</v>
      </c>
      <c r="BV54" s="125">
        <v>268</v>
      </c>
      <c r="BW54" s="80">
        <v>343</v>
      </c>
      <c r="BX54" s="80">
        <v>84</v>
      </c>
      <c r="BY54" s="78">
        <v>91.9</v>
      </c>
      <c r="BZ54" s="115">
        <v>86.51</v>
      </c>
      <c r="CA54" s="115">
        <v>79.2</v>
      </c>
      <c r="CB54" s="112"/>
      <c r="CC54" s="112"/>
      <c r="CE54" s="70">
        <v>229.1</v>
      </c>
      <c r="CF54" s="70">
        <v>14.5</v>
      </c>
      <c r="CG54" s="69">
        <v>171</v>
      </c>
      <c r="CH54" s="69">
        <v>164</v>
      </c>
      <c r="CI54" s="69">
        <v>6.5</v>
      </c>
      <c r="CJ54" s="126">
        <v>117.15</v>
      </c>
      <c r="CK54" s="60">
        <v>117.2</v>
      </c>
      <c r="CL54" s="127">
        <v>46.78</v>
      </c>
      <c r="CM54" s="127">
        <v>509.8</v>
      </c>
      <c r="CN54" s="107">
        <v>5.3</v>
      </c>
      <c r="CO54" s="58">
        <v>584.5</v>
      </c>
      <c r="CQ54" s="108" t="s">
        <v>2381</v>
      </c>
      <c r="CR54" s="78">
        <v>6</v>
      </c>
      <c r="CS54" s="78">
        <v>145.69999999999999</v>
      </c>
      <c r="CT54" s="78">
        <v>95.9</v>
      </c>
      <c r="CU54" s="128" t="s">
        <v>1560</v>
      </c>
      <c r="CV54" s="128">
        <v>117</v>
      </c>
      <c r="CW54" s="128" t="s">
        <v>1561</v>
      </c>
      <c r="CX54" s="60" t="s">
        <v>1562</v>
      </c>
      <c r="CY54" s="60">
        <v>38.5</v>
      </c>
      <c r="CZ54" s="60" t="s">
        <v>1563</v>
      </c>
      <c r="DA54" s="129">
        <v>213722</v>
      </c>
      <c r="DB54" s="129">
        <v>146625</v>
      </c>
      <c r="DC54" s="70">
        <v>1382.8</v>
      </c>
      <c r="DD54" s="86" t="s">
        <v>1564</v>
      </c>
      <c r="DE54" s="60" t="s">
        <v>1565</v>
      </c>
      <c r="DF54" s="60" t="s">
        <v>1566</v>
      </c>
      <c r="DG54" s="60" t="s">
        <v>1567</v>
      </c>
      <c r="DI54" s="70">
        <v>512</v>
      </c>
      <c r="DJ54" s="70">
        <v>118</v>
      </c>
      <c r="DK54" s="130">
        <v>75.2</v>
      </c>
      <c r="DM54" s="80">
        <v>228</v>
      </c>
      <c r="DN54" s="80">
        <v>944</v>
      </c>
      <c r="DO54" s="70">
        <v>5364</v>
      </c>
      <c r="DP54" s="131">
        <v>96.8</v>
      </c>
      <c r="DQ54" s="132">
        <v>52</v>
      </c>
      <c r="DR54" s="60">
        <v>8.4</v>
      </c>
      <c r="DS54" s="78"/>
      <c r="DT54" s="90">
        <v>50</v>
      </c>
      <c r="DU54" s="60" t="s">
        <v>1568</v>
      </c>
      <c r="DV54" s="70">
        <v>128</v>
      </c>
      <c r="DW54" s="70">
        <v>119.8</v>
      </c>
      <c r="DX54" s="78"/>
      <c r="DY54" s="70">
        <v>111</v>
      </c>
      <c r="DZ54" s="70">
        <v>103.4</v>
      </c>
      <c r="EA54" s="70">
        <v>106.6</v>
      </c>
      <c r="EB54" s="70">
        <v>104.4</v>
      </c>
      <c r="EC54" s="86" t="s">
        <v>1558</v>
      </c>
      <c r="ED54" s="60" t="s">
        <v>1559</v>
      </c>
      <c r="EE54" s="60">
        <v>111.6</v>
      </c>
      <c r="EF54" s="60">
        <v>95.9</v>
      </c>
      <c r="EG54" s="60">
        <v>100.9</v>
      </c>
      <c r="EH54" s="78"/>
      <c r="EI54" s="60">
        <v>40.6</v>
      </c>
      <c r="EJ54" s="89">
        <v>2372.4</v>
      </c>
      <c r="EK54" s="89">
        <v>475</v>
      </c>
      <c r="EL54" s="87">
        <v>200</v>
      </c>
      <c r="EM54" s="133">
        <v>24.5</v>
      </c>
      <c r="EN54" s="133" t="s">
        <v>1569</v>
      </c>
      <c r="EO54" s="78"/>
      <c r="EP54" s="133" t="s">
        <v>1570</v>
      </c>
      <c r="EQ54" s="134">
        <v>1804</v>
      </c>
      <c r="ER54" s="60">
        <v>32683</v>
      </c>
      <c r="ES54" s="60">
        <v>100142</v>
      </c>
      <c r="ET54" s="110" t="s">
        <v>2382</v>
      </c>
      <c r="EU54" s="110">
        <v>35</v>
      </c>
      <c r="EV54" s="78"/>
      <c r="EW54" s="135">
        <v>88.8</v>
      </c>
      <c r="EX54" s="136">
        <v>35.799999999999997</v>
      </c>
      <c r="EY54" s="137"/>
      <c r="EZ54" s="136">
        <v>1085</v>
      </c>
      <c r="FA54" s="109">
        <v>23.1</v>
      </c>
      <c r="FB54" s="78"/>
      <c r="FC54" s="137"/>
      <c r="FD54" s="137"/>
      <c r="FE54" s="143" t="s">
        <v>394</v>
      </c>
      <c r="FF54" s="137"/>
      <c r="FG54" s="137"/>
      <c r="FH54" s="143" t="s">
        <v>1571</v>
      </c>
      <c r="FI54" s="143" t="s">
        <v>1572</v>
      </c>
      <c r="FJ54" s="137"/>
      <c r="FK54" s="70"/>
      <c r="FL54" s="90" t="s">
        <v>1573</v>
      </c>
      <c r="FM54" s="90" t="s">
        <v>446</v>
      </c>
      <c r="FN54" s="90" t="s">
        <v>1574</v>
      </c>
    </row>
    <row r="55" spans="1:170" ht="15.6">
      <c r="A55" s="2">
        <v>12</v>
      </c>
      <c r="B55" s="52" t="s">
        <v>324</v>
      </c>
      <c r="D55" s="63">
        <v>75.760000000000005</v>
      </c>
      <c r="E55" s="63">
        <v>23.43</v>
      </c>
      <c r="F55" s="60">
        <v>0</v>
      </c>
      <c r="G55" s="60">
        <v>0</v>
      </c>
      <c r="H55" s="112"/>
      <c r="I55" s="112"/>
      <c r="J55" s="60">
        <v>68</v>
      </c>
      <c r="K55" s="112"/>
      <c r="L55" s="112"/>
      <c r="M55" s="93" t="s">
        <v>697</v>
      </c>
      <c r="N55" s="93" t="s">
        <v>570</v>
      </c>
      <c r="O55" s="93" t="s">
        <v>592</v>
      </c>
      <c r="Q55" s="101">
        <v>9.9499999999999993</v>
      </c>
      <c r="R55" s="102">
        <v>85.16</v>
      </c>
      <c r="S55" s="101">
        <v>62.990000000000101</v>
      </c>
      <c r="T55" s="113">
        <v>51.37</v>
      </c>
      <c r="V55" s="66">
        <v>23400</v>
      </c>
      <c r="X55" s="114">
        <v>4.9000000000000004</v>
      </c>
      <c r="Y55" s="114">
        <v>2115.3000000000002</v>
      </c>
      <c r="Z55" s="71">
        <v>1149</v>
      </c>
      <c r="AA55" s="80">
        <v>19.5</v>
      </c>
      <c r="AB55" s="80">
        <v>53.2</v>
      </c>
      <c r="AC55" s="58">
        <v>24.6</v>
      </c>
      <c r="AD55" s="84">
        <v>72.040000000000006</v>
      </c>
      <c r="AE55" s="84">
        <v>65.91</v>
      </c>
      <c r="AF55" s="60">
        <v>78.39</v>
      </c>
      <c r="AG55" s="60">
        <v>8340</v>
      </c>
      <c r="AH55" s="60">
        <f t="shared" si="0"/>
        <v>8.34</v>
      </c>
      <c r="AI55" s="71">
        <v>527.15499999999997</v>
      </c>
      <c r="AJ55" s="115">
        <v>1.42309</v>
      </c>
      <c r="AK55" s="70">
        <v>810</v>
      </c>
      <c r="AL55" s="90">
        <v>16</v>
      </c>
      <c r="AM55" s="77">
        <v>102</v>
      </c>
      <c r="AO55" s="116">
        <v>58.1</v>
      </c>
      <c r="AP55" s="71">
        <v>31013</v>
      </c>
      <c r="AQ55" s="117" t="s">
        <v>2210</v>
      </c>
      <c r="AR55" s="100">
        <v>69.400000000000006</v>
      </c>
      <c r="AS55" s="81">
        <v>0.2</v>
      </c>
      <c r="AT55" s="118">
        <v>3.3</v>
      </c>
      <c r="AU55" s="106">
        <v>25.7</v>
      </c>
      <c r="AV55" s="71">
        <v>38.799999999999997</v>
      </c>
      <c r="AX55" s="119"/>
      <c r="AY55" s="112"/>
      <c r="AZ55" s="82" t="s">
        <v>1575</v>
      </c>
      <c r="BA55" s="79" t="s">
        <v>1576</v>
      </c>
      <c r="BB55" s="79" t="s">
        <v>1577</v>
      </c>
      <c r="BD55" s="78">
        <v>105.6</v>
      </c>
      <c r="BE55" s="120">
        <v>102</v>
      </c>
      <c r="BF55" s="64" t="s">
        <v>1578</v>
      </c>
      <c r="BG55" s="60">
        <v>112.3</v>
      </c>
      <c r="BH55" s="68">
        <v>48997</v>
      </c>
      <c r="BI55" s="121"/>
      <c r="BJ55" s="112"/>
      <c r="BK55" s="122">
        <v>15.1</v>
      </c>
      <c r="BL55" s="123">
        <v>23518</v>
      </c>
      <c r="BM55" s="115" t="s">
        <v>1579</v>
      </c>
      <c r="BN55" s="115" t="s">
        <v>1580</v>
      </c>
      <c r="BP55" s="115">
        <v>0.53700000000000003</v>
      </c>
      <c r="BQ55" s="84">
        <v>0.27100000000000002</v>
      </c>
      <c r="BR55" s="85" t="s">
        <v>1581</v>
      </c>
      <c r="BS55" s="85" t="s">
        <v>1582</v>
      </c>
      <c r="BT55" s="115">
        <v>30.2</v>
      </c>
      <c r="BU55" s="124">
        <v>37.799999999999997</v>
      </c>
      <c r="BV55" s="125">
        <v>1372</v>
      </c>
      <c r="BW55" s="80">
        <v>187</v>
      </c>
      <c r="BX55" s="80">
        <v>40</v>
      </c>
      <c r="BY55" s="78">
        <v>85.5</v>
      </c>
      <c r="BZ55" s="115">
        <v>89.36</v>
      </c>
      <c r="CA55" s="115">
        <v>72.75</v>
      </c>
      <c r="CB55" s="112"/>
      <c r="CC55" s="112"/>
      <c r="CE55" s="70">
        <v>86.3</v>
      </c>
      <c r="CF55" s="70">
        <v>5</v>
      </c>
      <c r="CG55" s="69">
        <v>264</v>
      </c>
      <c r="CH55" s="69">
        <v>255</v>
      </c>
      <c r="CI55" s="69">
        <v>3</v>
      </c>
      <c r="CJ55" s="126">
        <v>124.93</v>
      </c>
      <c r="CK55" s="60">
        <v>124.9</v>
      </c>
      <c r="CL55" s="127">
        <v>36.950000000000003</v>
      </c>
      <c r="CM55" s="127">
        <v>615.29999999999995</v>
      </c>
      <c r="CN55" s="107">
        <v>3.7</v>
      </c>
      <c r="CO55" s="58">
        <v>971.7</v>
      </c>
      <c r="CQ55" s="108" t="s">
        <v>2383</v>
      </c>
      <c r="CR55" s="78">
        <v>0.7</v>
      </c>
      <c r="CS55" s="78">
        <v>248.3</v>
      </c>
      <c r="CT55" s="78">
        <v>100.2</v>
      </c>
      <c r="CU55" s="128" t="s">
        <v>1583</v>
      </c>
      <c r="CV55" s="128">
        <v>114.1</v>
      </c>
      <c r="CW55" s="128" t="s">
        <v>1584</v>
      </c>
      <c r="CX55" s="60" t="s">
        <v>475</v>
      </c>
      <c r="CY55" s="60">
        <v>20.9</v>
      </c>
      <c r="CZ55" s="112" t="s">
        <v>361</v>
      </c>
      <c r="DA55" s="129">
        <v>200575</v>
      </c>
      <c r="DB55" s="129">
        <v>30297</v>
      </c>
      <c r="DC55" s="70">
        <v>615.70000000000005</v>
      </c>
      <c r="DD55" s="86" t="s">
        <v>1585</v>
      </c>
      <c r="DE55" s="60" t="s">
        <v>1586</v>
      </c>
      <c r="DF55" s="60" t="s">
        <v>1587</v>
      </c>
      <c r="DG55" s="60" t="s">
        <v>1588</v>
      </c>
      <c r="DI55" s="70">
        <v>226</v>
      </c>
      <c r="DJ55" s="70">
        <v>82</v>
      </c>
      <c r="DK55" s="130">
        <v>98.8</v>
      </c>
      <c r="DM55" s="80">
        <v>561</v>
      </c>
      <c r="DN55" s="80">
        <v>868</v>
      </c>
      <c r="DO55" s="70">
        <v>2705</v>
      </c>
      <c r="DP55" s="131">
        <v>99.6</v>
      </c>
      <c r="DQ55" s="132">
        <v>12</v>
      </c>
      <c r="DR55" s="60">
        <v>9.6999999999999993</v>
      </c>
      <c r="DS55" s="78"/>
      <c r="DT55" s="90">
        <v>44</v>
      </c>
      <c r="DU55" s="60">
        <v>75</v>
      </c>
      <c r="DV55" s="70">
        <v>30</v>
      </c>
      <c r="DW55" s="70">
        <v>104.2</v>
      </c>
      <c r="DX55" s="78"/>
      <c r="DY55" s="70">
        <v>109.4</v>
      </c>
      <c r="DZ55" s="70">
        <v>108.2</v>
      </c>
      <c r="EA55" s="70">
        <v>109.3</v>
      </c>
      <c r="EB55" s="70">
        <v>105.4</v>
      </c>
      <c r="EC55" s="86" t="s">
        <v>1581</v>
      </c>
      <c r="ED55" s="60" t="s">
        <v>1582</v>
      </c>
      <c r="EE55" s="60">
        <v>105.6</v>
      </c>
      <c r="EF55" s="60">
        <v>88.8</v>
      </c>
      <c r="EG55" s="60">
        <v>95.4</v>
      </c>
      <c r="EH55" s="78"/>
      <c r="EI55" s="60">
        <v>36</v>
      </c>
      <c r="EJ55" s="89">
        <v>327.60000000000002</v>
      </c>
      <c r="EK55" s="89">
        <v>46</v>
      </c>
      <c r="EL55" s="87">
        <v>1351</v>
      </c>
      <c r="EM55" s="133">
        <v>27.3</v>
      </c>
      <c r="EN55" s="133" t="s">
        <v>1589</v>
      </c>
      <c r="EO55" s="78"/>
      <c r="EP55" s="133" t="s">
        <v>1590</v>
      </c>
      <c r="EQ55" s="134">
        <v>2500</v>
      </c>
      <c r="ER55" s="60">
        <v>26884</v>
      </c>
      <c r="ES55" s="60">
        <v>88726</v>
      </c>
      <c r="ET55" s="110" t="s">
        <v>2384</v>
      </c>
      <c r="EU55" s="110" t="s">
        <v>469</v>
      </c>
      <c r="EV55" s="78"/>
      <c r="EW55" s="135">
        <v>79.599999999999994</v>
      </c>
      <c r="EX55" s="136">
        <v>35.9</v>
      </c>
      <c r="EY55" s="137"/>
      <c r="EZ55" s="136">
        <v>1772.4</v>
      </c>
      <c r="FA55" s="109">
        <v>20.7</v>
      </c>
      <c r="FB55" s="78"/>
      <c r="FC55" s="137"/>
      <c r="FD55" s="137"/>
      <c r="FE55" s="70">
        <v>392</v>
      </c>
      <c r="FF55" s="137"/>
      <c r="FG55" s="137"/>
      <c r="FH55" s="70">
        <v>439</v>
      </c>
      <c r="FI55" s="70">
        <v>1048</v>
      </c>
      <c r="FJ55" s="137"/>
      <c r="FK55" s="70"/>
      <c r="FL55" s="90" t="s">
        <v>1591</v>
      </c>
      <c r="FM55" s="90" t="s">
        <v>1592</v>
      </c>
      <c r="FN55" s="90">
        <v>528</v>
      </c>
    </row>
    <row r="56" spans="1:170" ht="15.6">
      <c r="A56" s="2">
        <v>13</v>
      </c>
      <c r="B56" s="52" t="s">
        <v>325</v>
      </c>
      <c r="D56" s="63">
        <v>85.6</v>
      </c>
      <c r="E56" s="63">
        <v>13.82</v>
      </c>
      <c r="F56" s="60">
        <v>0</v>
      </c>
      <c r="G56" s="60">
        <v>0</v>
      </c>
      <c r="H56" s="112"/>
      <c r="I56" s="112"/>
      <c r="J56" s="60">
        <v>36</v>
      </c>
      <c r="K56" s="112"/>
      <c r="L56" s="112"/>
      <c r="M56" s="93" t="s">
        <v>432</v>
      </c>
      <c r="N56" s="94" t="s">
        <v>592</v>
      </c>
      <c r="O56" s="93" t="s">
        <v>570</v>
      </c>
      <c r="Q56" s="101">
        <v>9.9499999999999993</v>
      </c>
      <c r="R56" s="102">
        <v>85.16</v>
      </c>
      <c r="S56" s="101">
        <v>62.990000000000101</v>
      </c>
      <c r="T56" s="113">
        <v>50.88</v>
      </c>
      <c r="V56" s="66">
        <v>26100</v>
      </c>
      <c r="X56" s="114">
        <v>5</v>
      </c>
      <c r="Y56" s="114">
        <v>2115.3000000000002</v>
      </c>
      <c r="Z56" s="71">
        <v>1158</v>
      </c>
      <c r="AA56" s="80">
        <v>14.5</v>
      </c>
      <c r="AB56" s="80">
        <v>54.7</v>
      </c>
      <c r="AC56" s="58">
        <v>27.9</v>
      </c>
      <c r="AD56" s="84">
        <v>73.78</v>
      </c>
      <c r="AE56" s="84">
        <v>67.8</v>
      </c>
      <c r="AF56" s="60">
        <v>79.900000000000006</v>
      </c>
      <c r="AG56" s="60">
        <v>10148</v>
      </c>
      <c r="AH56" s="60">
        <f t="shared" si="0"/>
        <v>10.148</v>
      </c>
      <c r="AI56" s="71">
        <v>497.42</v>
      </c>
      <c r="AJ56" s="115">
        <v>1.04131</v>
      </c>
      <c r="AK56" s="70">
        <v>596</v>
      </c>
      <c r="AL56" s="90">
        <v>16</v>
      </c>
      <c r="AM56" s="77">
        <v>233</v>
      </c>
      <c r="AO56" s="116">
        <v>61</v>
      </c>
      <c r="AP56" s="71">
        <v>30647</v>
      </c>
      <c r="AQ56" s="117" t="s">
        <v>2385</v>
      </c>
      <c r="AR56" s="100">
        <v>77.900000000000006</v>
      </c>
      <c r="AS56" s="81">
        <v>0.3</v>
      </c>
      <c r="AT56" s="118">
        <v>2.6</v>
      </c>
      <c r="AU56" s="106">
        <v>30.8</v>
      </c>
      <c r="AV56" s="71">
        <v>37.4</v>
      </c>
      <c r="AX56" s="119"/>
      <c r="AY56" s="112"/>
      <c r="AZ56" s="82" t="s">
        <v>1593</v>
      </c>
      <c r="BA56" s="79" t="s">
        <v>1594</v>
      </c>
      <c r="BB56" s="79" t="s">
        <v>1595</v>
      </c>
      <c r="BD56" s="78">
        <v>105.5</v>
      </c>
      <c r="BE56" s="120">
        <v>104.6</v>
      </c>
      <c r="BF56" s="64" t="s">
        <v>448</v>
      </c>
      <c r="BG56" s="60">
        <v>112</v>
      </c>
      <c r="BH56" s="68">
        <v>46406</v>
      </c>
      <c r="BI56" s="121"/>
      <c r="BJ56" s="112"/>
      <c r="BK56" s="122">
        <v>13.2</v>
      </c>
      <c r="BL56" s="123">
        <v>26730</v>
      </c>
      <c r="BM56" s="115" t="s">
        <v>1596</v>
      </c>
      <c r="BN56" s="115" t="s">
        <v>1597</v>
      </c>
      <c r="BP56" s="115">
        <v>0.36</v>
      </c>
      <c r="BQ56" s="84">
        <v>0.19</v>
      </c>
      <c r="BR56" s="85" t="s">
        <v>1598</v>
      </c>
      <c r="BS56" s="85" t="s">
        <v>1599</v>
      </c>
      <c r="BT56" s="115">
        <v>30.6</v>
      </c>
      <c r="BU56" s="124">
        <v>38.700000000000003</v>
      </c>
      <c r="BV56" s="125">
        <v>1372</v>
      </c>
      <c r="BW56" s="80">
        <v>165</v>
      </c>
      <c r="BX56" s="80">
        <v>37</v>
      </c>
      <c r="BY56" s="78">
        <v>87.2</v>
      </c>
      <c r="BZ56" s="115">
        <v>96.91</v>
      </c>
      <c r="CA56" s="115">
        <v>72.209999999999994</v>
      </c>
      <c r="CB56" s="112"/>
      <c r="CC56" s="112"/>
      <c r="CE56" s="70">
        <v>73.8</v>
      </c>
      <c r="CF56" s="70">
        <v>5.9</v>
      </c>
      <c r="CG56" s="69">
        <v>333</v>
      </c>
      <c r="CH56" s="69">
        <v>295</v>
      </c>
      <c r="CI56" s="69">
        <v>4.7</v>
      </c>
      <c r="CJ56" s="126">
        <v>133.47999999999999</v>
      </c>
      <c r="CK56" s="60">
        <v>133.5</v>
      </c>
      <c r="CL56" s="127">
        <v>54.54</v>
      </c>
      <c r="CM56" s="127">
        <v>500</v>
      </c>
      <c r="CN56" s="107">
        <v>4.5999999999999996</v>
      </c>
      <c r="CO56" s="58">
        <v>660.9</v>
      </c>
      <c r="CQ56" s="108" t="s">
        <v>2386</v>
      </c>
      <c r="CR56" s="78">
        <v>0.3</v>
      </c>
      <c r="CS56" s="78">
        <v>371.3</v>
      </c>
      <c r="CT56" s="78">
        <v>107.2</v>
      </c>
      <c r="CU56" s="128" t="s">
        <v>1600</v>
      </c>
      <c r="CV56" s="128">
        <v>112.4</v>
      </c>
      <c r="CW56" s="128" t="s">
        <v>1601</v>
      </c>
      <c r="CX56" s="60" t="s">
        <v>1602</v>
      </c>
      <c r="CY56" s="60">
        <v>24.2</v>
      </c>
      <c r="CZ56" s="112" t="s">
        <v>361</v>
      </c>
      <c r="DA56" s="129">
        <v>241199</v>
      </c>
      <c r="DB56" s="129">
        <v>35563</v>
      </c>
      <c r="DC56" s="70">
        <v>535.1</v>
      </c>
      <c r="DD56" s="86" t="s">
        <v>1603</v>
      </c>
      <c r="DE56" s="60" t="s">
        <v>1604</v>
      </c>
      <c r="DF56" s="60" t="s">
        <v>1605</v>
      </c>
      <c r="DG56" s="60" t="s">
        <v>1606</v>
      </c>
      <c r="DI56" s="70">
        <v>305</v>
      </c>
      <c r="DJ56" s="70">
        <v>86</v>
      </c>
      <c r="DK56" s="130">
        <v>74.3</v>
      </c>
      <c r="DM56" s="80">
        <v>324</v>
      </c>
      <c r="DN56" s="80">
        <v>334</v>
      </c>
      <c r="DO56" s="70">
        <v>7091</v>
      </c>
      <c r="DP56" s="131">
        <v>99.8</v>
      </c>
      <c r="DQ56" s="132">
        <v>12.9</v>
      </c>
      <c r="DR56" s="60">
        <v>10.199999999999999</v>
      </c>
      <c r="DS56" s="78"/>
      <c r="DT56" s="90">
        <v>58</v>
      </c>
      <c r="DU56" s="60">
        <v>51</v>
      </c>
      <c r="DV56" s="70">
        <v>5</v>
      </c>
      <c r="DW56" s="70">
        <v>99.7</v>
      </c>
      <c r="DX56" s="78"/>
      <c r="DY56" s="70">
        <v>105.8</v>
      </c>
      <c r="DZ56" s="70">
        <v>104.8</v>
      </c>
      <c r="EA56" s="70">
        <v>106.7</v>
      </c>
      <c r="EB56" s="70">
        <v>104.9</v>
      </c>
      <c r="EC56" s="86" t="s">
        <v>1598</v>
      </c>
      <c r="ED56" s="60" t="s">
        <v>1599</v>
      </c>
      <c r="EE56" s="60">
        <v>104.6</v>
      </c>
      <c r="EF56" s="60">
        <v>100.2</v>
      </c>
      <c r="EG56" s="60">
        <v>96.9</v>
      </c>
      <c r="EH56" s="78"/>
      <c r="EI56" s="60">
        <v>49.8</v>
      </c>
      <c r="EJ56" s="89">
        <v>1297.3</v>
      </c>
      <c r="EK56" s="89">
        <v>76</v>
      </c>
      <c r="EL56" s="87">
        <v>2544</v>
      </c>
      <c r="EM56" s="133">
        <v>33</v>
      </c>
      <c r="EN56" s="133" t="s">
        <v>1607</v>
      </c>
      <c r="EO56" s="78"/>
      <c r="EP56" s="133" t="s">
        <v>1608</v>
      </c>
      <c r="EQ56" s="134">
        <v>4159</v>
      </c>
      <c r="ER56" s="60">
        <v>27626</v>
      </c>
      <c r="ES56" s="60">
        <v>97074</v>
      </c>
      <c r="ET56" s="110" t="s">
        <v>2387</v>
      </c>
      <c r="EU56" s="110" t="s">
        <v>2388</v>
      </c>
      <c r="EV56" s="78"/>
      <c r="EW56" s="135">
        <v>82.9</v>
      </c>
      <c r="EX56" s="136">
        <v>29.8</v>
      </c>
      <c r="EY56" s="137"/>
      <c r="EZ56" s="136">
        <v>1608.3</v>
      </c>
      <c r="FA56" s="109">
        <v>20.100000000000001</v>
      </c>
      <c r="FB56" s="78"/>
      <c r="FC56" s="137"/>
      <c r="FD56" s="137"/>
      <c r="FE56" s="70">
        <v>622</v>
      </c>
      <c r="FF56" s="137"/>
      <c r="FG56" s="137"/>
      <c r="FH56" s="70">
        <v>490</v>
      </c>
      <c r="FI56" s="70">
        <v>1070</v>
      </c>
      <c r="FJ56" s="137"/>
      <c r="FK56" s="70"/>
      <c r="FL56" s="90" t="s">
        <v>1609</v>
      </c>
      <c r="FM56" s="90" t="s">
        <v>1610</v>
      </c>
      <c r="FN56" s="90">
        <v>145</v>
      </c>
    </row>
    <row r="57" spans="1:170" ht="15.6">
      <c r="A57" s="2">
        <v>14</v>
      </c>
      <c r="B57" s="52" t="s">
        <v>326</v>
      </c>
      <c r="D57" s="63">
        <v>58.34</v>
      </c>
      <c r="E57" s="63">
        <v>40.65</v>
      </c>
      <c r="F57" s="60">
        <v>0</v>
      </c>
      <c r="G57" s="60">
        <v>0</v>
      </c>
      <c r="H57" s="112"/>
      <c r="I57" s="112"/>
      <c r="J57" s="60">
        <v>49</v>
      </c>
      <c r="K57" s="112"/>
      <c r="L57" s="112"/>
      <c r="M57" s="93" t="s">
        <v>421</v>
      </c>
      <c r="N57" s="93" t="s">
        <v>592</v>
      </c>
      <c r="O57" s="93" t="s">
        <v>489</v>
      </c>
      <c r="Q57" s="101">
        <v>9.9499999999999993</v>
      </c>
      <c r="R57" s="102">
        <v>85.16</v>
      </c>
      <c r="S57" s="101">
        <v>62.990000000000101</v>
      </c>
      <c r="T57" s="113">
        <v>63.09</v>
      </c>
      <c r="V57" s="66">
        <v>3083500</v>
      </c>
      <c r="X57" s="114">
        <v>5.6</v>
      </c>
      <c r="Y57" s="114">
        <v>2115.3000000000002</v>
      </c>
      <c r="Z57" s="71">
        <v>1071</v>
      </c>
      <c r="AA57" s="80">
        <v>24</v>
      </c>
      <c r="AB57" s="80">
        <v>58.2</v>
      </c>
      <c r="AC57" s="58">
        <v>15.8</v>
      </c>
      <c r="AD57" s="84">
        <v>73.55</v>
      </c>
      <c r="AE57" s="84">
        <v>67.92</v>
      </c>
      <c r="AF57" s="60">
        <v>79.27</v>
      </c>
      <c r="AG57" s="60">
        <v>7721</v>
      </c>
      <c r="AH57" s="60">
        <f t="shared" si="0"/>
        <v>7.7210000000000001</v>
      </c>
      <c r="AI57" s="71">
        <v>483.92999999999995</v>
      </c>
      <c r="AJ57" s="115">
        <v>1.63418</v>
      </c>
      <c r="AK57" s="70">
        <v>793</v>
      </c>
      <c r="AL57" s="90">
        <v>48</v>
      </c>
      <c r="AM57" s="77">
        <v>361</v>
      </c>
      <c r="AO57" s="116">
        <v>63.3</v>
      </c>
      <c r="AP57" s="71">
        <v>69031</v>
      </c>
      <c r="AQ57" s="117" t="s">
        <v>2362</v>
      </c>
      <c r="AR57" s="100">
        <v>71.900000000000006</v>
      </c>
      <c r="AS57" s="81">
        <v>0.4</v>
      </c>
      <c r="AT57" s="118">
        <v>6.6</v>
      </c>
      <c r="AU57" s="106">
        <v>24.4</v>
      </c>
      <c r="AV57" s="71">
        <v>35.1</v>
      </c>
      <c r="AX57" s="119"/>
      <c r="AY57" s="112"/>
      <c r="AZ57" s="82" t="s">
        <v>1611</v>
      </c>
      <c r="BA57" s="79" t="s">
        <v>1612</v>
      </c>
      <c r="BB57" s="79" t="s">
        <v>1613</v>
      </c>
      <c r="BD57" s="78">
        <v>108.5</v>
      </c>
      <c r="BE57" s="120">
        <v>100.2</v>
      </c>
      <c r="BF57" s="64" t="s">
        <v>1614</v>
      </c>
      <c r="BG57" s="60">
        <v>105.7</v>
      </c>
      <c r="BH57" s="68">
        <v>110230</v>
      </c>
      <c r="BI57" s="121"/>
      <c r="BJ57" s="112"/>
      <c r="BK57" s="144">
        <v>14</v>
      </c>
      <c r="BL57" s="123">
        <v>45604</v>
      </c>
      <c r="BM57" s="115" t="s">
        <v>1615</v>
      </c>
      <c r="BN57" s="115" t="s">
        <v>373</v>
      </c>
      <c r="BP57" s="115">
        <v>0.70499999999999996</v>
      </c>
      <c r="BQ57" s="84">
        <v>0.315</v>
      </c>
      <c r="BR57" s="85" t="s">
        <v>1616</v>
      </c>
      <c r="BS57" s="85" t="s">
        <v>1617</v>
      </c>
      <c r="BT57" s="115">
        <v>24.1</v>
      </c>
      <c r="BU57" s="124">
        <v>32.9</v>
      </c>
      <c r="BV57" s="125">
        <v>3553</v>
      </c>
      <c r="BW57" s="80">
        <v>190</v>
      </c>
      <c r="BX57" s="80">
        <v>74</v>
      </c>
      <c r="BY57" s="78">
        <v>56.1</v>
      </c>
      <c r="BZ57" s="115">
        <v>80.75</v>
      </c>
      <c r="CA57" s="115">
        <v>50.88</v>
      </c>
      <c r="CB57" s="112"/>
      <c r="CC57" s="112"/>
      <c r="CE57" s="70">
        <v>153.80000000000001</v>
      </c>
      <c r="CF57" s="70">
        <v>13.8</v>
      </c>
      <c r="CG57" s="69">
        <v>231</v>
      </c>
      <c r="CH57" s="69">
        <v>224</v>
      </c>
      <c r="CI57" s="69">
        <v>3.6</v>
      </c>
      <c r="CJ57" s="126">
        <v>116.01</v>
      </c>
      <c r="CK57" s="60">
        <v>116</v>
      </c>
      <c r="CL57" s="127">
        <v>60.27</v>
      </c>
      <c r="CM57" s="127">
        <v>449.2</v>
      </c>
      <c r="CN57" s="107">
        <v>3.2</v>
      </c>
      <c r="CO57" s="58">
        <v>1099.4000000000001</v>
      </c>
      <c r="CQ57" s="108" t="s">
        <v>2389</v>
      </c>
      <c r="CR57" s="78" t="s">
        <v>1618</v>
      </c>
      <c r="CS57" s="78">
        <v>54.9</v>
      </c>
      <c r="CT57" s="78">
        <v>101.2</v>
      </c>
      <c r="CU57" s="128" t="s">
        <v>1619</v>
      </c>
      <c r="CV57" s="128">
        <v>104.4</v>
      </c>
      <c r="CW57" s="128" t="s">
        <v>1620</v>
      </c>
      <c r="CX57" s="60" t="s">
        <v>1621</v>
      </c>
      <c r="CY57" s="60">
        <v>30.2</v>
      </c>
      <c r="CZ57" s="112" t="s">
        <v>361</v>
      </c>
      <c r="DA57" s="129">
        <v>353877</v>
      </c>
      <c r="DB57" s="129">
        <v>109466</v>
      </c>
      <c r="DC57" s="70">
        <v>797.6</v>
      </c>
      <c r="DD57" s="86" t="s">
        <v>1622</v>
      </c>
      <c r="DE57" s="60" t="s">
        <v>1623</v>
      </c>
      <c r="DF57" s="60" t="s">
        <v>1624</v>
      </c>
      <c r="DG57" s="60" t="s">
        <v>1625</v>
      </c>
      <c r="DI57" s="70">
        <v>4.0999999999999996</v>
      </c>
      <c r="DJ57" s="70">
        <v>72</v>
      </c>
      <c r="DK57" s="130">
        <v>80.599999999999994</v>
      </c>
      <c r="DM57" s="80">
        <v>242</v>
      </c>
      <c r="DN57" s="80">
        <v>500</v>
      </c>
      <c r="DO57" s="70">
        <v>1520</v>
      </c>
      <c r="DP57" s="131">
        <v>95.8</v>
      </c>
      <c r="DQ57" s="132">
        <v>21.2</v>
      </c>
      <c r="DR57" s="60">
        <v>14.1</v>
      </c>
      <c r="DS57" s="78"/>
      <c r="DT57" s="90">
        <v>374</v>
      </c>
      <c r="DU57" s="60">
        <v>191</v>
      </c>
      <c r="DV57" s="70">
        <v>84</v>
      </c>
      <c r="DW57" s="70">
        <v>120.8</v>
      </c>
      <c r="DX57" s="78"/>
      <c r="DY57" s="70">
        <v>107.6</v>
      </c>
      <c r="DZ57" s="70">
        <v>106</v>
      </c>
      <c r="EA57" s="70">
        <v>108.8</v>
      </c>
      <c r="EB57" s="70">
        <v>106.9</v>
      </c>
      <c r="EC57" s="86" t="s">
        <v>1616</v>
      </c>
      <c r="ED57" s="60" t="s">
        <v>1617</v>
      </c>
      <c r="EE57" s="60">
        <v>114.3</v>
      </c>
      <c r="EF57" s="60">
        <v>101.2</v>
      </c>
      <c r="EG57" s="60">
        <v>101.9</v>
      </c>
      <c r="EH57" s="78"/>
      <c r="EI57" s="60">
        <v>34.6</v>
      </c>
      <c r="EJ57" s="89">
        <v>4387.3999999999996</v>
      </c>
      <c r="EK57" s="89">
        <v>811</v>
      </c>
      <c r="EL57" s="87">
        <v>1213</v>
      </c>
      <c r="EM57" s="133">
        <v>15.2</v>
      </c>
      <c r="EN57" s="142" t="s">
        <v>1626</v>
      </c>
      <c r="EO57" s="78"/>
      <c r="EP57" s="133" t="s">
        <v>1627</v>
      </c>
      <c r="EQ57" s="134">
        <v>7120</v>
      </c>
      <c r="ER57" s="60">
        <v>100371</v>
      </c>
      <c r="ES57" s="60">
        <v>303136</v>
      </c>
      <c r="ET57" s="110" t="s">
        <v>2390</v>
      </c>
      <c r="EU57" s="110" t="s">
        <v>2391</v>
      </c>
      <c r="EV57" s="78"/>
      <c r="EW57" s="135">
        <v>91.5</v>
      </c>
      <c r="EX57" s="136">
        <v>35.200000000000003</v>
      </c>
      <c r="EY57" s="137"/>
      <c r="EZ57" s="136">
        <v>1347.4</v>
      </c>
      <c r="FA57" s="109">
        <v>20.399999999999999</v>
      </c>
      <c r="FB57" s="78"/>
      <c r="FC57" s="137"/>
      <c r="FD57" s="137"/>
      <c r="FE57" s="70">
        <v>649</v>
      </c>
      <c r="FF57" s="137"/>
      <c r="FG57" s="137"/>
      <c r="FH57" s="70">
        <v>264</v>
      </c>
      <c r="FI57" s="70">
        <v>2835</v>
      </c>
      <c r="FJ57" s="137"/>
      <c r="FK57" s="70"/>
      <c r="FL57" s="90" t="s">
        <v>1628</v>
      </c>
      <c r="FM57" s="90" t="s">
        <v>1629</v>
      </c>
      <c r="FN57" s="90">
        <v>753</v>
      </c>
    </row>
    <row r="58" spans="1:170" ht="15.6">
      <c r="A58" s="2">
        <v>15</v>
      </c>
      <c r="B58" s="52" t="s">
        <v>327</v>
      </c>
      <c r="D58" s="63">
        <v>82.83</v>
      </c>
      <c r="E58" s="63">
        <v>16.89</v>
      </c>
      <c r="F58" s="60">
        <v>0</v>
      </c>
      <c r="G58" s="60">
        <v>0</v>
      </c>
      <c r="H58" s="112"/>
      <c r="I58" s="112"/>
      <c r="J58" s="60">
        <v>45</v>
      </c>
      <c r="K58" s="112"/>
      <c r="L58" s="112"/>
      <c r="M58" s="93" t="s">
        <v>439</v>
      </c>
      <c r="N58" s="93" t="s">
        <v>946</v>
      </c>
      <c r="O58" s="93" t="s">
        <v>489</v>
      </c>
      <c r="Q58" s="101">
        <v>9.9499999999999993</v>
      </c>
      <c r="R58" s="102">
        <v>85.16</v>
      </c>
      <c r="S58" s="101">
        <v>62.990000000000101</v>
      </c>
      <c r="T58" s="113">
        <v>53.47</v>
      </c>
      <c r="V58" s="66">
        <v>8000</v>
      </c>
      <c r="X58" s="114">
        <v>3.8</v>
      </c>
      <c r="Y58" s="114">
        <v>2115.3000000000002</v>
      </c>
      <c r="Z58" s="71">
        <v>1141</v>
      </c>
      <c r="AA58" s="80">
        <v>19.899999999999999</v>
      </c>
      <c r="AB58" s="80">
        <v>56.3</v>
      </c>
      <c r="AC58" s="58">
        <v>21.7</v>
      </c>
      <c r="AD58" s="84">
        <v>76.16</v>
      </c>
      <c r="AE58" s="84">
        <v>70.94</v>
      </c>
      <c r="AF58" s="60">
        <v>81.08</v>
      </c>
      <c r="AG58" s="60">
        <v>6767</v>
      </c>
      <c r="AH58" s="60">
        <f t="shared" si="0"/>
        <v>6.7670000000000003</v>
      </c>
      <c r="AI58" s="71">
        <v>382.65999999999997</v>
      </c>
      <c r="AJ58" s="70">
        <v>1.52</v>
      </c>
      <c r="AK58" s="70">
        <v>1745</v>
      </c>
      <c r="AL58" s="90">
        <v>5</v>
      </c>
      <c r="AM58" s="77">
        <v>97</v>
      </c>
      <c r="AO58" s="116">
        <v>53.7</v>
      </c>
      <c r="AP58" s="71">
        <v>35276</v>
      </c>
      <c r="AQ58" s="117" t="s">
        <v>2392</v>
      </c>
      <c r="AR58" s="100">
        <v>38.6</v>
      </c>
      <c r="AS58" s="81">
        <v>1.7</v>
      </c>
      <c r="AT58" s="118">
        <v>7.9</v>
      </c>
      <c r="AU58" s="106">
        <v>30.2</v>
      </c>
      <c r="AV58" s="71">
        <v>34.700000000000003</v>
      </c>
      <c r="AX58" s="119"/>
      <c r="AY58" s="112"/>
      <c r="AZ58" s="82" t="s">
        <v>1630</v>
      </c>
      <c r="BA58" s="79" t="s">
        <v>1631</v>
      </c>
      <c r="BB58" s="79" t="s">
        <v>1632</v>
      </c>
      <c r="BD58" s="78">
        <v>107.8</v>
      </c>
      <c r="BE58" s="120">
        <v>101.3</v>
      </c>
      <c r="BF58" s="64" t="s">
        <v>1633</v>
      </c>
      <c r="BG58" s="60">
        <v>106.7</v>
      </c>
      <c r="BH58" s="68">
        <v>41059</v>
      </c>
      <c r="BI58" s="121"/>
      <c r="BJ58" s="112"/>
      <c r="BK58" s="122">
        <v>11.6</v>
      </c>
      <c r="BL58" s="123">
        <v>26999</v>
      </c>
      <c r="BM58" s="115" t="s">
        <v>1634</v>
      </c>
      <c r="BN58" s="115" t="s">
        <v>1635</v>
      </c>
      <c r="BP58" s="115">
        <v>0.48199999999999998</v>
      </c>
      <c r="BQ58" s="84">
        <v>0.26700000000000002</v>
      </c>
      <c r="BR58" s="85" t="s">
        <v>1636</v>
      </c>
      <c r="BS58" s="85" t="s">
        <v>1637</v>
      </c>
      <c r="BT58" s="115">
        <v>31.3</v>
      </c>
      <c r="BU58" s="124">
        <v>38.299999999999997</v>
      </c>
      <c r="BV58" s="125">
        <v>2247</v>
      </c>
      <c r="BW58" s="80">
        <v>87</v>
      </c>
      <c r="BX58" s="80">
        <v>33</v>
      </c>
      <c r="BY58" s="78">
        <v>99.9</v>
      </c>
      <c r="BZ58" s="115">
        <v>99.55</v>
      </c>
      <c r="CA58" s="115">
        <v>98.29</v>
      </c>
      <c r="CB58" s="112"/>
      <c r="CC58" s="112"/>
      <c r="CE58" s="70">
        <v>94.9</v>
      </c>
      <c r="CF58" s="70">
        <v>5.9</v>
      </c>
      <c r="CG58" s="69">
        <v>305</v>
      </c>
      <c r="CH58" s="69">
        <v>297</v>
      </c>
      <c r="CI58" s="69">
        <v>3.7</v>
      </c>
      <c r="CJ58" s="126">
        <v>105.76</v>
      </c>
      <c r="CK58" s="60">
        <v>105.8</v>
      </c>
      <c r="CL58" s="127">
        <v>71.44</v>
      </c>
      <c r="CM58" s="139">
        <v>373.8</v>
      </c>
      <c r="CN58" s="107">
        <v>3.4</v>
      </c>
      <c r="CO58" s="58">
        <v>638.1</v>
      </c>
      <c r="CQ58" s="108" t="s">
        <v>2393</v>
      </c>
      <c r="CR58" s="78">
        <v>2.2000000000000002</v>
      </c>
      <c r="CS58" s="78">
        <v>41.5</v>
      </c>
      <c r="CT58" s="78">
        <v>106.8</v>
      </c>
      <c r="CU58" s="128" t="s">
        <v>1638</v>
      </c>
      <c r="CV58" s="128">
        <v>92.5</v>
      </c>
      <c r="CW58" s="128">
        <v>-94</v>
      </c>
      <c r="CX58" s="60" t="s">
        <v>1639</v>
      </c>
      <c r="CY58" s="60">
        <v>39.6</v>
      </c>
      <c r="CZ58" s="112" t="s">
        <v>361</v>
      </c>
      <c r="DA58" s="129">
        <v>246045</v>
      </c>
      <c r="DB58" s="129">
        <v>32393</v>
      </c>
      <c r="DC58" s="70">
        <v>89.5</v>
      </c>
      <c r="DD58" s="60" t="s">
        <v>1640</v>
      </c>
      <c r="DE58" s="60" t="s">
        <v>1641</v>
      </c>
      <c r="DF58" s="60" t="s">
        <v>1642</v>
      </c>
      <c r="DG58" s="60" t="s">
        <v>484</v>
      </c>
      <c r="DI58" s="70">
        <v>717</v>
      </c>
      <c r="DJ58" s="70">
        <v>223</v>
      </c>
      <c r="DK58" s="130">
        <v>129.69999999999999</v>
      </c>
      <c r="DM58" s="80">
        <v>317</v>
      </c>
      <c r="DN58" s="80">
        <v>180</v>
      </c>
      <c r="DO58" s="70">
        <v>4336</v>
      </c>
      <c r="DP58" s="131">
        <v>100</v>
      </c>
      <c r="DQ58" s="132">
        <v>2.2999999999999998</v>
      </c>
      <c r="DR58" s="60">
        <v>1.3</v>
      </c>
      <c r="DS58" s="78"/>
      <c r="DT58" s="90">
        <v>9</v>
      </c>
      <c r="DU58" s="60">
        <v>134</v>
      </c>
      <c r="DV58" s="70">
        <v>90</v>
      </c>
      <c r="DW58" s="70">
        <v>131.30000000000001</v>
      </c>
      <c r="DX58" s="78"/>
      <c r="DY58" s="70">
        <v>109.6</v>
      </c>
      <c r="DZ58" s="70">
        <v>105.4</v>
      </c>
      <c r="EA58" s="70">
        <v>105</v>
      </c>
      <c r="EB58" s="70">
        <v>105.7</v>
      </c>
      <c r="EC58" s="86" t="s">
        <v>1636</v>
      </c>
      <c r="ED58" s="60" t="s">
        <v>1637</v>
      </c>
      <c r="EE58" s="60">
        <v>110.7</v>
      </c>
      <c r="EF58" s="60">
        <v>106.8</v>
      </c>
      <c r="EG58" s="60">
        <v>105</v>
      </c>
      <c r="EH58" s="78"/>
      <c r="EI58" s="60">
        <v>31.4</v>
      </c>
      <c r="EJ58" s="89">
        <v>629.1</v>
      </c>
      <c r="EK58" s="89">
        <v>148</v>
      </c>
      <c r="EL58" s="87">
        <v>249</v>
      </c>
      <c r="EM58" s="133">
        <v>8.1</v>
      </c>
      <c r="EN58" s="149"/>
      <c r="EO58" s="78"/>
      <c r="EP58" s="133" t="s">
        <v>1643</v>
      </c>
      <c r="EQ58" s="134">
        <v>1561</v>
      </c>
      <c r="ER58" s="60">
        <v>28077</v>
      </c>
      <c r="ES58" s="60">
        <v>82259</v>
      </c>
      <c r="ET58" s="110" t="s">
        <v>2394</v>
      </c>
      <c r="EU58" s="110" t="s">
        <v>2395</v>
      </c>
      <c r="EV58" s="78"/>
      <c r="EW58" s="135">
        <v>92.9</v>
      </c>
      <c r="EX58" s="136">
        <v>30.9</v>
      </c>
      <c r="EY58" s="137"/>
      <c r="EZ58" s="136">
        <v>1540.8</v>
      </c>
      <c r="FA58" s="109">
        <v>21.7</v>
      </c>
      <c r="FB58" s="78"/>
      <c r="FC58" s="137"/>
      <c r="FD58" s="137"/>
      <c r="FE58" s="143">
        <v>695</v>
      </c>
      <c r="FF58" s="137"/>
      <c r="FG58" s="137"/>
      <c r="FH58" s="143">
        <v>585</v>
      </c>
      <c r="FI58" s="143">
        <v>412</v>
      </c>
      <c r="FJ58" s="137"/>
      <c r="FK58" s="70"/>
      <c r="FL58" s="90" t="s">
        <v>372</v>
      </c>
      <c r="FM58" s="90" t="s">
        <v>1644</v>
      </c>
      <c r="FN58" s="90" t="s">
        <v>1645</v>
      </c>
    </row>
    <row r="59" spans="1:170" ht="15.6">
      <c r="A59" s="2">
        <v>16</v>
      </c>
      <c r="B59" s="52" t="s">
        <v>328</v>
      </c>
      <c r="D59" s="63">
        <v>82.81</v>
      </c>
      <c r="E59" s="63">
        <v>16.61</v>
      </c>
      <c r="F59" s="60">
        <v>0</v>
      </c>
      <c r="G59" s="60">
        <v>0</v>
      </c>
      <c r="H59" s="112"/>
      <c r="I59" s="112"/>
      <c r="J59" s="60">
        <v>10</v>
      </c>
      <c r="K59" s="112"/>
      <c r="L59" s="112"/>
      <c r="M59" s="93" t="s">
        <v>424</v>
      </c>
      <c r="N59" s="95" t="s">
        <v>592</v>
      </c>
      <c r="O59" s="95" t="s">
        <v>489</v>
      </c>
      <c r="Q59" s="101">
        <v>9.9499999999999993</v>
      </c>
      <c r="R59" s="102">
        <v>85.16</v>
      </c>
      <c r="S59" s="101">
        <v>62.990000000000101</v>
      </c>
      <c r="T59" s="113">
        <v>49.72</v>
      </c>
      <c r="V59" s="66">
        <v>67800</v>
      </c>
      <c r="X59" s="114">
        <v>6.3</v>
      </c>
      <c r="Y59" s="114">
        <v>2115.3000000000002</v>
      </c>
      <c r="Z59" s="71">
        <v>1142</v>
      </c>
      <c r="AA59" s="80">
        <v>19.3</v>
      </c>
      <c r="AB59" s="80">
        <v>54.6</v>
      </c>
      <c r="AC59" s="58">
        <v>23.3</v>
      </c>
      <c r="AD59" s="84">
        <v>75.25</v>
      </c>
      <c r="AE59" s="84">
        <v>69.78</v>
      </c>
      <c r="AF59" s="60">
        <v>80.52</v>
      </c>
      <c r="AG59" s="60">
        <v>42844</v>
      </c>
      <c r="AH59" s="60">
        <f t="shared" si="0"/>
        <v>42.844000000000001</v>
      </c>
      <c r="AI59" s="71">
        <v>431.48999999999995</v>
      </c>
      <c r="AJ59" s="115">
        <v>1.44329</v>
      </c>
      <c r="AK59" s="70">
        <v>566</v>
      </c>
      <c r="AL59" s="90">
        <v>39</v>
      </c>
      <c r="AM59" s="77">
        <v>872</v>
      </c>
      <c r="AO59" s="116">
        <v>62</v>
      </c>
      <c r="AP59" s="71">
        <v>52524</v>
      </c>
      <c r="AQ59" s="117" t="s">
        <v>2277</v>
      </c>
      <c r="AR59" s="100">
        <v>77.099999999999994</v>
      </c>
      <c r="AS59" s="81">
        <v>0.1</v>
      </c>
      <c r="AT59" s="118">
        <v>1.7</v>
      </c>
      <c r="AU59" s="106">
        <v>22.4</v>
      </c>
      <c r="AV59" s="71">
        <v>36.200000000000003</v>
      </c>
      <c r="AX59" s="119"/>
      <c r="AY59" s="112"/>
      <c r="AZ59" s="82" t="s">
        <v>1646</v>
      </c>
      <c r="BA59" s="79" t="s">
        <v>1647</v>
      </c>
      <c r="BB59" s="79" t="s">
        <v>1648</v>
      </c>
      <c r="BD59" s="78">
        <v>109</v>
      </c>
      <c r="BE59" s="120">
        <v>103.4</v>
      </c>
      <c r="BF59" s="64" t="s">
        <v>1649</v>
      </c>
      <c r="BG59" s="60">
        <v>112.8</v>
      </c>
      <c r="BH59" s="68">
        <v>61894</v>
      </c>
      <c r="BI59" s="121"/>
      <c r="BJ59" s="112"/>
      <c r="BK59" s="122">
        <v>4.5999999999999996</v>
      </c>
      <c r="BL59" s="123">
        <v>42009</v>
      </c>
      <c r="BM59" s="115" t="s">
        <v>1650</v>
      </c>
      <c r="BN59" s="115" t="s">
        <v>1651</v>
      </c>
      <c r="BP59" s="115">
        <v>3.4369999999999998</v>
      </c>
      <c r="BQ59" s="84">
        <v>1.738</v>
      </c>
      <c r="BR59" s="85" t="s">
        <v>1652</v>
      </c>
      <c r="BS59" s="85" t="s">
        <v>1653</v>
      </c>
      <c r="BT59" s="115">
        <v>29.6</v>
      </c>
      <c r="BU59" s="124">
        <v>27.5</v>
      </c>
      <c r="BV59" s="125">
        <v>1111</v>
      </c>
      <c r="BW59" s="80">
        <v>711</v>
      </c>
      <c r="BX59" s="80">
        <v>45</v>
      </c>
      <c r="BY59" s="78">
        <v>97.5</v>
      </c>
      <c r="BZ59" s="115">
        <v>98.96</v>
      </c>
      <c r="CA59" s="115">
        <v>91.9</v>
      </c>
      <c r="CB59" s="112"/>
      <c r="CC59" s="112"/>
      <c r="CE59" s="70">
        <v>503.5</v>
      </c>
      <c r="CF59" s="70">
        <v>32.299999999999997</v>
      </c>
      <c r="CG59" s="69">
        <v>371</v>
      </c>
      <c r="CH59" s="69">
        <v>317</v>
      </c>
      <c r="CI59" s="69">
        <v>24.4</v>
      </c>
      <c r="CJ59" s="126">
        <v>162.28</v>
      </c>
      <c r="CK59" s="78">
        <v>162.30000000000001</v>
      </c>
      <c r="CL59" s="127">
        <v>45.26</v>
      </c>
      <c r="CM59" s="127">
        <v>423.9</v>
      </c>
      <c r="CN59" s="107">
        <v>3.2</v>
      </c>
      <c r="CO59" s="58">
        <v>828.6</v>
      </c>
      <c r="CQ59" s="108" t="s">
        <v>2396</v>
      </c>
      <c r="CR59" s="78" t="s">
        <v>1654</v>
      </c>
      <c r="CS59" s="78" t="s">
        <v>1655</v>
      </c>
      <c r="CT59" s="78">
        <v>91.8</v>
      </c>
      <c r="CU59" s="128" t="s">
        <v>1656</v>
      </c>
      <c r="CV59" s="128">
        <v>122</v>
      </c>
      <c r="CW59" s="128" t="s">
        <v>1657</v>
      </c>
      <c r="CX59" s="60" t="s">
        <v>1658</v>
      </c>
      <c r="CY59" s="60">
        <v>22.5</v>
      </c>
      <c r="CZ59" s="112" t="s">
        <v>361</v>
      </c>
      <c r="DA59" s="129">
        <v>349879</v>
      </c>
      <c r="DB59" s="129">
        <v>398749</v>
      </c>
      <c r="DC59" s="70">
        <v>3588.5</v>
      </c>
      <c r="DD59" s="86" t="s">
        <v>1659</v>
      </c>
      <c r="DE59" s="60" t="s">
        <v>1660</v>
      </c>
      <c r="DF59" s="60" t="s">
        <v>1661</v>
      </c>
      <c r="DG59" s="60" t="s">
        <v>1662</v>
      </c>
      <c r="DI59" s="70">
        <v>476</v>
      </c>
      <c r="DJ59" s="70">
        <v>52</v>
      </c>
      <c r="DK59" s="130">
        <v>83.5</v>
      </c>
      <c r="DM59" s="80">
        <v>341</v>
      </c>
      <c r="DN59" s="80" t="s">
        <v>451</v>
      </c>
      <c r="DO59" s="70">
        <v>6077</v>
      </c>
      <c r="DP59" s="131">
        <v>99.4</v>
      </c>
      <c r="DQ59" s="132">
        <v>212.7</v>
      </c>
      <c r="DR59" s="60">
        <v>141.69999999999999</v>
      </c>
      <c r="DS59" s="78"/>
      <c r="DT59" s="90">
        <v>320</v>
      </c>
      <c r="DU59" s="60">
        <v>862</v>
      </c>
      <c r="DV59" s="70">
        <v>199</v>
      </c>
      <c r="DW59" s="70">
        <v>144.19999999999999</v>
      </c>
      <c r="DX59" s="78"/>
      <c r="DY59" s="70">
        <v>108.1</v>
      </c>
      <c r="DZ59" s="70">
        <v>105.2</v>
      </c>
      <c r="EA59" s="70">
        <v>108.6</v>
      </c>
      <c r="EB59" s="70">
        <v>105.7</v>
      </c>
      <c r="EC59" s="86" t="s">
        <v>1652</v>
      </c>
      <c r="ED59" s="60" t="s">
        <v>1653</v>
      </c>
      <c r="EE59" s="60">
        <v>112.9</v>
      </c>
      <c r="EF59" s="60">
        <v>91.8</v>
      </c>
      <c r="EG59" s="60">
        <v>95.3</v>
      </c>
      <c r="EH59" s="78"/>
      <c r="EI59" s="60">
        <v>58.2</v>
      </c>
      <c r="EJ59" s="89">
        <v>32348.5</v>
      </c>
      <c r="EK59" s="89">
        <v>1534</v>
      </c>
      <c r="EL59" s="87">
        <v>7668</v>
      </c>
      <c r="EM59" s="133">
        <v>47</v>
      </c>
      <c r="EN59" s="133" t="s">
        <v>1663</v>
      </c>
      <c r="EO59" s="78"/>
      <c r="EP59" s="133" t="s">
        <v>1664</v>
      </c>
      <c r="EQ59" s="134">
        <v>91237</v>
      </c>
      <c r="ER59" s="60">
        <v>280689</v>
      </c>
      <c r="ES59" s="60">
        <v>775196</v>
      </c>
      <c r="ET59" s="110" t="s">
        <v>2397</v>
      </c>
      <c r="EU59" s="110" t="s">
        <v>2398</v>
      </c>
      <c r="EV59" s="78"/>
      <c r="EW59" s="135">
        <v>98.5</v>
      </c>
      <c r="EX59" s="136">
        <v>36.6</v>
      </c>
      <c r="EY59" s="137"/>
      <c r="EZ59" s="136">
        <v>2038.7</v>
      </c>
      <c r="FA59" s="109">
        <v>31.4</v>
      </c>
      <c r="FB59" s="78"/>
      <c r="FC59" s="137"/>
      <c r="FD59" s="137"/>
      <c r="FE59" s="143" t="s">
        <v>389</v>
      </c>
      <c r="FF59" s="137"/>
      <c r="FG59" s="137"/>
      <c r="FH59" s="143" t="s">
        <v>1665</v>
      </c>
      <c r="FI59" s="143" t="s">
        <v>370</v>
      </c>
      <c r="FJ59" s="137"/>
      <c r="FK59" s="70"/>
      <c r="FL59" s="90" t="s">
        <v>1666</v>
      </c>
      <c r="FM59" s="90" t="s">
        <v>1667</v>
      </c>
      <c r="FN59" s="90" t="s">
        <v>1668</v>
      </c>
    </row>
    <row r="60" spans="1:170" ht="15.6">
      <c r="A60" s="2">
        <v>17</v>
      </c>
      <c r="B60" s="52" t="s">
        <v>329</v>
      </c>
      <c r="D60" s="63">
        <v>96.79</v>
      </c>
      <c r="E60" s="63">
        <v>2.99</v>
      </c>
      <c r="F60" s="60">
        <v>0</v>
      </c>
      <c r="G60" s="60">
        <v>0</v>
      </c>
      <c r="H60" s="112"/>
      <c r="I60" s="112"/>
      <c r="J60" s="60">
        <v>81</v>
      </c>
      <c r="K60" s="112"/>
      <c r="L60" s="112"/>
      <c r="M60" s="93" t="s">
        <v>421</v>
      </c>
      <c r="N60" s="76" t="s">
        <v>592</v>
      </c>
      <c r="O60" s="76" t="s">
        <v>489</v>
      </c>
      <c r="Q60" s="101">
        <v>9.9499999999999993</v>
      </c>
      <c r="R60" s="102">
        <v>85.16</v>
      </c>
      <c r="S60" s="101">
        <v>62.990000000000101</v>
      </c>
      <c r="T60" s="113">
        <v>58.47</v>
      </c>
      <c r="V60" s="66">
        <v>168600</v>
      </c>
      <c r="X60" s="114">
        <v>5.7</v>
      </c>
      <c r="Y60" s="114">
        <v>2115.3000000000002</v>
      </c>
      <c r="Z60" s="71">
        <v>1119</v>
      </c>
      <c r="AA60" s="80">
        <v>33.5</v>
      </c>
      <c r="AB60" s="80">
        <v>54.9</v>
      </c>
      <c r="AC60" s="58">
        <v>10.199999999999999</v>
      </c>
      <c r="AD60" s="84">
        <v>66.59</v>
      </c>
      <c r="AE60" s="84">
        <v>59.92</v>
      </c>
      <c r="AF60" s="60">
        <v>73.34</v>
      </c>
      <c r="AG60" s="60">
        <v>2986</v>
      </c>
      <c r="AH60" s="60">
        <f t="shared" si="0"/>
        <v>2.9860000000000002</v>
      </c>
      <c r="AI60" s="71">
        <v>636.5</v>
      </c>
      <c r="AJ60" s="115">
        <v>2.5350999999999999</v>
      </c>
      <c r="AK60" s="70">
        <v>661</v>
      </c>
      <c r="AL60" s="90">
        <v>4</v>
      </c>
      <c r="AM60" s="77">
        <v>120</v>
      </c>
      <c r="AO60" s="116">
        <v>50.4</v>
      </c>
      <c r="AP60" s="71">
        <v>28934</v>
      </c>
      <c r="AQ60" s="117" t="s">
        <v>2399</v>
      </c>
      <c r="AR60" s="100">
        <v>60.5</v>
      </c>
      <c r="AS60" s="81">
        <v>4</v>
      </c>
      <c r="AT60" s="118">
        <v>8.4</v>
      </c>
      <c r="AU60" s="106">
        <v>16.399999999999999</v>
      </c>
      <c r="AV60" s="71">
        <v>44.7</v>
      </c>
      <c r="AX60" s="119"/>
      <c r="AY60" s="112"/>
      <c r="AZ60" s="82" t="s">
        <v>1669</v>
      </c>
      <c r="BA60" s="79" t="s">
        <v>1670</v>
      </c>
      <c r="BB60" s="79" t="s">
        <v>1671</v>
      </c>
      <c r="BD60" s="78">
        <v>110.7</v>
      </c>
      <c r="BE60" s="120">
        <v>104.1</v>
      </c>
      <c r="BF60" s="64" t="s">
        <v>1672</v>
      </c>
      <c r="BG60" s="60">
        <v>104.2</v>
      </c>
      <c r="BH60" s="68">
        <v>57793</v>
      </c>
      <c r="BI60" s="121"/>
      <c r="BJ60" s="112"/>
      <c r="BK60" s="122">
        <v>23.5</v>
      </c>
      <c r="BL60" s="123">
        <v>22219</v>
      </c>
      <c r="BM60" s="115" t="s">
        <v>1673</v>
      </c>
      <c r="BN60" s="115" t="s">
        <v>1674</v>
      </c>
      <c r="BP60" s="115">
        <v>0.17299999999999999</v>
      </c>
      <c r="BQ60" s="84">
        <v>4.4999999999999998E-2</v>
      </c>
      <c r="BR60" s="85" t="s">
        <v>1675</v>
      </c>
      <c r="BS60" s="85" t="s">
        <v>1676</v>
      </c>
      <c r="BT60" s="115">
        <v>15.3</v>
      </c>
      <c r="BU60" s="124">
        <v>25.9</v>
      </c>
      <c r="BV60" s="125">
        <v>1129</v>
      </c>
      <c r="BW60" s="80">
        <v>62</v>
      </c>
      <c r="BX60" s="80">
        <v>87</v>
      </c>
      <c r="BY60" s="78">
        <v>47</v>
      </c>
      <c r="BZ60" s="115">
        <v>74.62</v>
      </c>
      <c r="CA60" s="115">
        <v>52.77</v>
      </c>
      <c r="CB60" s="112"/>
      <c r="CC60" s="112"/>
      <c r="CE60" s="70">
        <v>72.900000000000006</v>
      </c>
      <c r="CF60" s="70">
        <v>5.4</v>
      </c>
      <c r="CG60" s="69">
        <v>189</v>
      </c>
      <c r="CH60" s="69">
        <v>189</v>
      </c>
      <c r="CI60" s="69">
        <v>1</v>
      </c>
      <c r="CJ60" s="126">
        <v>96.41</v>
      </c>
      <c r="CK60" s="60">
        <v>96.4</v>
      </c>
      <c r="CL60" s="127">
        <v>51.25</v>
      </c>
      <c r="CM60" s="127">
        <v>746.5</v>
      </c>
      <c r="CN60" s="107">
        <v>6.2</v>
      </c>
      <c r="CO60" s="58">
        <v>658.4</v>
      </c>
      <c r="CQ60" s="108" t="s">
        <v>2400</v>
      </c>
      <c r="CR60" s="78">
        <v>27.3</v>
      </c>
      <c r="CS60" s="78">
        <v>2.2999999999999998</v>
      </c>
      <c r="CT60" s="78">
        <v>96.9</v>
      </c>
      <c r="CU60" s="128" t="s">
        <v>1677</v>
      </c>
      <c r="CV60" s="128">
        <v>103.7</v>
      </c>
      <c r="CW60" s="128" t="s">
        <v>1678</v>
      </c>
      <c r="CX60" s="60" t="s">
        <v>384</v>
      </c>
      <c r="CY60" s="71">
        <v>33.700000000000003</v>
      </c>
      <c r="CZ60" s="112" t="s">
        <v>361</v>
      </c>
      <c r="DA60" s="129">
        <v>127526</v>
      </c>
      <c r="DB60" s="129">
        <v>14559</v>
      </c>
      <c r="DC60" s="70">
        <v>113.9</v>
      </c>
      <c r="DD60" s="86" t="s">
        <v>1679</v>
      </c>
      <c r="DE60" s="60" t="s">
        <v>1680</v>
      </c>
      <c r="DF60" s="60" t="s">
        <v>1681</v>
      </c>
      <c r="DG60" s="60" t="s">
        <v>1682</v>
      </c>
      <c r="DI60" s="70">
        <v>22</v>
      </c>
      <c r="DJ60" s="70">
        <v>71</v>
      </c>
      <c r="DK60" s="130">
        <v>150</v>
      </c>
      <c r="DM60" s="80">
        <v>420</v>
      </c>
      <c r="DN60" s="80">
        <v>158</v>
      </c>
      <c r="DO60" s="70">
        <v>668</v>
      </c>
      <c r="DP60" s="131">
        <v>99</v>
      </c>
      <c r="DQ60" s="132">
        <v>0.4</v>
      </c>
      <c r="DR60" s="60">
        <v>0.3</v>
      </c>
      <c r="DS60" s="78"/>
      <c r="DT60" s="90">
        <v>11</v>
      </c>
      <c r="DU60" s="60">
        <v>35</v>
      </c>
      <c r="DV60" s="70">
        <v>5</v>
      </c>
      <c r="DW60" s="70">
        <v>70.8</v>
      </c>
      <c r="DX60" s="78"/>
      <c r="DY60" s="70">
        <v>110.8</v>
      </c>
      <c r="DZ60" s="70">
        <v>108</v>
      </c>
      <c r="EA60" s="70">
        <v>112.4</v>
      </c>
      <c r="EB60" s="70">
        <v>107.4</v>
      </c>
      <c r="EC60" s="86" t="s">
        <v>1675</v>
      </c>
      <c r="ED60" s="60" t="s">
        <v>1676</v>
      </c>
      <c r="EE60" s="60">
        <v>97.5</v>
      </c>
      <c r="EF60" s="60">
        <v>96.9</v>
      </c>
      <c r="EG60" s="60">
        <v>102.8</v>
      </c>
      <c r="EH60" s="78"/>
      <c r="EI60" s="60">
        <v>30.9</v>
      </c>
      <c r="EJ60" s="89">
        <v>430.5</v>
      </c>
      <c r="EK60" s="89">
        <v>74</v>
      </c>
      <c r="EL60" s="87">
        <v>165</v>
      </c>
      <c r="EM60" s="133">
        <v>12.3</v>
      </c>
      <c r="EN60" s="133">
        <v>170.2</v>
      </c>
      <c r="EO60" s="78"/>
      <c r="EP60" s="133" t="s">
        <v>1683</v>
      </c>
      <c r="EQ60" s="134">
        <v>263</v>
      </c>
      <c r="ER60" s="60">
        <v>39605</v>
      </c>
      <c r="ES60" s="60">
        <v>67055</v>
      </c>
      <c r="ET60" s="110" t="s">
        <v>2401</v>
      </c>
      <c r="EU60" s="110">
        <v>202</v>
      </c>
      <c r="EV60" s="78"/>
      <c r="EW60" s="135">
        <v>96.7</v>
      </c>
      <c r="EX60" s="136">
        <v>31.7</v>
      </c>
      <c r="EY60" s="137"/>
      <c r="EZ60" s="136">
        <v>1147.5999999999999</v>
      </c>
      <c r="FA60" s="109">
        <v>9.9</v>
      </c>
      <c r="FB60" s="78"/>
      <c r="FC60" s="137"/>
      <c r="FD60" s="137"/>
      <c r="FE60" s="70">
        <v>236</v>
      </c>
      <c r="FF60" s="137"/>
      <c r="FG60" s="137"/>
      <c r="FH60" s="70">
        <v>579</v>
      </c>
      <c r="FI60" s="70">
        <v>1680</v>
      </c>
      <c r="FJ60" s="137"/>
      <c r="FK60" s="70"/>
      <c r="FL60" s="90" t="s">
        <v>1684</v>
      </c>
      <c r="FM60" s="90" t="s">
        <v>1685</v>
      </c>
      <c r="FN60" s="90" t="s">
        <v>463</v>
      </c>
    </row>
    <row r="61" spans="1:170" ht="15.6">
      <c r="A61" s="2">
        <v>19</v>
      </c>
      <c r="B61" s="52" t="s">
        <v>330</v>
      </c>
      <c r="D61" s="63">
        <v>69.52</v>
      </c>
      <c r="E61" s="63">
        <v>29.38</v>
      </c>
      <c r="F61" s="60">
        <v>0</v>
      </c>
      <c r="G61" s="60">
        <v>0</v>
      </c>
      <c r="H61" s="112"/>
      <c r="I61" s="112"/>
      <c r="J61" s="60">
        <v>72</v>
      </c>
      <c r="K61" s="112"/>
      <c r="L61" s="112"/>
      <c r="M61" s="93" t="s">
        <v>1686</v>
      </c>
      <c r="N61" s="76" t="s">
        <v>488</v>
      </c>
      <c r="O61" s="76" t="s">
        <v>489</v>
      </c>
      <c r="Q61" s="101">
        <v>9.9499999999999993</v>
      </c>
      <c r="R61" s="102">
        <v>85.16</v>
      </c>
      <c r="S61" s="101">
        <v>62.990000000000101</v>
      </c>
      <c r="T61" s="113">
        <v>51.72</v>
      </c>
      <c r="V61" s="66">
        <v>61600</v>
      </c>
      <c r="X61" s="114">
        <v>6.8</v>
      </c>
      <c r="Y61" s="114">
        <v>2115.3000000000002</v>
      </c>
      <c r="Z61" s="71">
        <v>1181</v>
      </c>
      <c r="AA61" s="80">
        <v>21.8</v>
      </c>
      <c r="AB61" s="80">
        <v>54</v>
      </c>
      <c r="AC61" s="58">
        <v>21.9</v>
      </c>
      <c r="AD61" s="84">
        <v>70.680000000000007</v>
      </c>
      <c r="AE61" s="84">
        <v>64.73</v>
      </c>
      <c r="AF61" s="60">
        <v>76.599999999999994</v>
      </c>
      <c r="AG61" s="60">
        <v>6728</v>
      </c>
      <c r="AH61" s="60">
        <f t="shared" si="0"/>
        <v>6.7279999999999998</v>
      </c>
      <c r="AI61" s="71">
        <v>557.93499999999995</v>
      </c>
      <c r="AJ61" s="115">
        <v>1.5564100000000001</v>
      </c>
      <c r="AK61" s="70">
        <v>759</v>
      </c>
      <c r="AL61" s="90">
        <v>4</v>
      </c>
      <c r="AM61" s="77">
        <v>82</v>
      </c>
      <c r="AO61" s="116">
        <v>61.4</v>
      </c>
      <c r="AP61" s="71">
        <v>34999</v>
      </c>
      <c r="AQ61" s="117" t="s">
        <v>2277</v>
      </c>
      <c r="AR61" s="100">
        <v>63</v>
      </c>
      <c r="AS61" s="81">
        <v>0.4</v>
      </c>
      <c r="AT61" s="118">
        <v>2.2000000000000002</v>
      </c>
      <c r="AU61" s="106">
        <v>14.7</v>
      </c>
      <c r="AV61" s="71">
        <v>42.3</v>
      </c>
      <c r="AX61" s="119"/>
      <c r="AY61" s="112"/>
      <c r="AZ61" s="82" t="s">
        <v>1687</v>
      </c>
      <c r="BA61" s="79" t="s">
        <v>1688</v>
      </c>
      <c r="BB61" s="79" t="s">
        <v>1689</v>
      </c>
      <c r="BD61" s="78">
        <v>106.5</v>
      </c>
      <c r="BE61" s="120">
        <v>102.6</v>
      </c>
      <c r="BF61" s="64" t="s">
        <v>1690</v>
      </c>
      <c r="BG61" s="60">
        <v>108</v>
      </c>
      <c r="BH61" s="68">
        <v>62015</v>
      </c>
      <c r="BI61" s="121"/>
      <c r="BJ61" s="112"/>
      <c r="BK61" s="122">
        <v>15.8</v>
      </c>
      <c r="BL61" s="123">
        <v>30215</v>
      </c>
      <c r="BM61" s="115" t="s">
        <v>1691</v>
      </c>
      <c r="BN61" s="115" t="s">
        <v>1692</v>
      </c>
      <c r="BP61" s="115">
        <v>0.373</v>
      </c>
      <c r="BQ61" s="84">
        <v>0.14799999999999999</v>
      </c>
      <c r="BR61" s="85" t="s">
        <v>1693</v>
      </c>
      <c r="BS61" s="85" t="s">
        <v>1694</v>
      </c>
      <c r="BT61" s="115">
        <v>28.3</v>
      </c>
      <c r="BU61" s="124">
        <v>29.1</v>
      </c>
      <c r="BV61" s="125">
        <v>1379</v>
      </c>
      <c r="BW61" s="80">
        <v>142</v>
      </c>
      <c r="BX61" s="80">
        <v>52</v>
      </c>
      <c r="BY61" s="78">
        <v>79.3</v>
      </c>
      <c r="BZ61" s="115">
        <v>79.819999999999993</v>
      </c>
      <c r="CA61" s="115">
        <v>69.739999999999995</v>
      </c>
      <c r="CB61" s="112"/>
      <c r="CC61" s="112"/>
      <c r="CE61" s="70">
        <v>76.599999999999994</v>
      </c>
      <c r="CF61" s="70">
        <v>4.8</v>
      </c>
      <c r="CG61" s="69">
        <v>143</v>
      </c>
      <c r="CH61" s="69">
        <v>143</v>
      </c>
      <c r="CI61" s="69">
        <v>1.5</v>
      </c>
      <c r="CJ61" s="126">
        <v>156.22</v>
      </c>
      <c r="CK61" s="60">
        <v>156.19999999999999</v>
      </c>
      <c r="CL61" s="127">
        <v>40.06</v>
      </c>
      <c r="CM61" s="127">
        <v>631.5</v>
      </c>
      <c r="CN61" s="107">
        <v>4.3</v>
      </c>
      <c r="CO61" s="58">
        <v>884.4</v>
      </c>
      <c r="CQ61" s="108" t="s">
        <v>2402</v>
      </c>
      <c r="CR61" s="78">
        <v>139.30000000000001</v>
      </c>
      <c r="CS61" s="78">
        <v>168.3</v>
      </c>
      <c r="CT61" s="78">
        <v>100.6</v>
      </c>
      <c r="CU61" s="128" t="s">
        <v>1695</v>
      </c>
      <c r="CV61" s="128">
        <v>103</v>
      </c>
      <c r="CW61" s="128" t="s">
        <v>1696</v>
      </c>
      <c r="CX61" s="60" t="s">
        <v>1697</v>
      </c>
      <c r="CY61" s="71">
        <v>28.6</v>
      </c>
      <c r="CZ61" s="112" t="s">
        <v>361</v>
      </c>
      <c r="DA61" s="129">
        <v>244314</v>
      </c>
      <c r="DB61" s="129">
        <v>30429</v>
      </c>
      <c r="DC61" s="70">
        <v>296.89999999999998</v>
      </c>
      <c r="DD61" s="86" t="s">
        <v>1698</v>
      </c>
      <c r="DE61" s="60" t="s">
        <v>1699</v>
      </c>
      <c r="DF61" s="60" t="s">
        <v>1700</v>
      </c>
      <c r="DG61" s="60" t="s">
        <v>1701</v>
      </c>
      <c r="DI61" s="70">
        <v>95</v>
      </c>
      <c r="DJ61" s="70">
        <v>64</v>
      </c>
      <c r="DK61" s="130">
        <v>98.8</v>
      </c>
      <c r="DM61" s="80">
        <v>258</v>
      </c>
      <c r="DN61" s="80">
        <v>695</v>
      </c>
      <c r="DO61" s="70">
        <v>933</v>
      </c>
      <c r="DP61" s="131">
        <v>99</v>
      </c>
      <c r="DQ61" s="132">
        <v>5.4</v>
      </c>
      <c r="DR61" s="60">
        <v>9.4</v>
      </c>
      <c r="DS61" s="78"/>
      <c r="DT61" s="90">
        <v>111</v>
      </c>
      <c r="DU61" s="60">
        <v>69</v>
      </c>
      <c r="DV61" s="70">
        <v>33</v>
      </c>
      <c r="DW61" s="70">
        <v>105</v>
      </c>
      <c r="DX61" s="78"/>
      <c r="DY61" s="70">
        <v>109.7</v>
      </c>
      <c r="DZ61" s="70">
        <v>107</v>
      </c>
      <c r="EA61" s="70">
        <v>111.1</v>
      </c>
      <c r="EB61" s="70">
        <v>106.2</v>
      </c>
      <c r="EC61" s="86" t="s">
        <v>1693</v>
      </c>
      <c r="ED61" s="60" t="s">
        <v>1694</v>
      </c>
      <c r="EE61" s="60">
        <v>106.6</v>
      </c>
      <c r="EF61" s="60">
        <v>100.6</v>
      </c>
      <c r="EG61" s="60">
        <v>102.2</v>
      </c>
      <c r="EH61" s="78"/>
      <c r="EI61" s="60">
        <v>21.6</v>
      </c>
      <c r="EJ61" s="89">
        <v>282.8</v>
      </c>
      <c r="EK61" s="89">
        <v>52</v>
      </c>
      <c r="EL61" s="87">
        <v>863</v>
      </c>
      <c r="EM61" s="133">
        <v>9.5</v>
      </c>
      <c r="EN61" s="133" t="s">
        <v>1702</v>
      </c>
      <c r="EO61" s="78"/>
      <c r="EP61" s="133" t="s">
        <v>1703</v>
      </c>
      <c r="EQ61" s="134">
        <v>3759</v>
      </c>
      <c r="ER61" s="60">
        <v>27049</v>
      </c>
      <c r="ES61" s="60">
        <v>88242</v>
      </c>
      <c r="ET61" s="110" t="s">
        <v>2403</v>
      </c>
      <c r="EU61" s="110" t="s">
        <v>2404</v>
      </c>
      <c r="EV61" s="78"/>
      <c r="EW61" s="135">
        <v>86.9</v>
      </c>
      <c r="EX61" s="136">
        <v>37</v>
      </c>
      <c r="EY61" s="137"/>
      <c r="EZ61" s="136">
        <v>2157.5</v>
      </c>
      <c r="FA61" s="109">
        <v>18.7</v>
      </c>
      <c r="FB61" s="78"/>
      <c r="FC61" s="137"/>
      <c r="FD61" s="137"/>
      <c r="FE61" s="70">
        <v>251</v>
      </c>
      <c r="FF61" s="137"/>
      <c r="FG61" s="137"/>
      <c r="FH61" s="70">
        <v>521</v>
      </c>
      <c r="FI61" s="70">
        <v>1505</v>
      </c>
      <c r="FJ61" s="137"/>
      <c r="FK61" s="70"/>
      <c r="FL61" s="90" t="s">
        <v>1704</v>
      </c>
      <c r="FM61" s="90" t="s">
        <v>1705</v>
      </c>
      <c r="FN61" s="90">
        <v>-132</v>
      </c>
    </row>
    <row r="62" spans="1:170" ht="15.6">
      <c r="A62" s="2">
        <v>61</v>
      </c>
      <c r="B62" s="52" t="s">
        <v>331</v>
      </c>
      <c r="D62" s="63">
        <v>83.54</v>
      </c>
      <c r="E62" s="63">
        <v>15.94</v>
      </c>
      <c r="F62" s="60">
        <v>0</v>
      </c>
      <c r="G62" s="60">
        <v>0</v>
      </c>
      <c r="H62" s="112"/>
      <c r="I62" s="112"/>
      <c r="J62" s="60">
        <v>5</v>
      </c>
      <c r="K62" s="112"/>
      <c r="L62" s="112"/>
      <c r="M62" s="93" t="s">
        <v>1706</v>
      </c>
      <c r="N62" s="76" t="s">
        <v>531</v>
      </c>
      <c r="O62" s="76" t="s">
        <v>489</v>
      </c>
      <c r="Q62" s="101">
        <v>9.9499999999999993</v>
      </c>
      <c r="R62" s="102">
        <v>85.16</v>
      </c>
      <c r="S62" s="101">
        <v>62.990000000000101</v>
      </c>
      <c r="T62" s="113">
        <v>55.23</v>
      </c>
      <c r="V62" s="66">
        <v>101000</v>
      </c>
      <c r="X62" s="114">
        <v>6.8</v>
      </c>
      <c r="Y62" s="114">
        <v>2115.3000000000002</v>
      </c>
      <c r="Z62" s="71">
        <v>1146</v>
      </c>
      <c r="AA62" s="80">
        <v>16.8</v>
      </c>
      <c r="AB62" s="80">
        <v>55.7</v>
      </c>
      <c r="AC62" s="58">
        <v>24.9</v>
      </c>
      <c r="AD62" s="84">
        <v>73.48</v>
      </c>
      <c r="AE62" s="84">
        <v>68.5</v>
      </c>
      <c r="AF62" s="60">
        <v>78.45</v>
      </c>
      <c r="AG62" s="60">
        <v>53998</v>
      </c>
      <c r="AH62" s="60">
        <f t="shared" si="0"/>
        <v>53.997999999999998</v>
      </c>
      <c r="AI62" s="71">
        <v>454.76499999999999</v>
      </c>
      <c r="AJ62" s="70">
        <v>1.272</v>
      </c>
      <c r="AK62" s="70">
        <v>695</v>
      </c>
      <c r="AL62" s="90">
        <v>17</v>
      </c>
      <c r="AM62" s="77">
        <v>391</v>
      </c>
      <c r="AO62" s="116">
        <v>60.9</v>
      </c>
      <c r="AP62" s="71">
        <v>46840</v>
      </c>
      <c r="AQ62" s="117" t="s">
        <v>2242</v>
      </c>
      <c r="AR62" s="100">
        <v>64.900000000000006</v>
      </c>
      <c r="AS62" s="81">
        <v>0.2</v>
      </c>
      <c r="AT62" s="118">
        <v>3</v>
      </c>
      <c r="AU62" s="106">
        <v>25.3</v>
      </c>
      <c r="AV62" s="71">
        <v>43.2</v>
      </c>
      <c r="AX62" s="119"/>
      <c r="AY62" s="112"/>
      <c r="AZ62" s="82" t="s">
        <v>1707</v>
      </c>
      <c r="BA62" s="79" t="s">
        <v>1708</v>
      </c>
      <c r="BB62" s="79" t="s">
        <v>1709</v>
      </c>
      <c r="BD62" s="78">
        <v>106</v>
      </c>
      <c r="BE62" s="120">
        <v>101.5</v>
      </c>
      <c r="BF62" s="64" t="s">
        <v>1710</v>
      </c>
      <c r="BG62" s="60">
        <v>109.5</v>
      </c>
      <c r="BH62" s="68">
        <v>52100</v>
      </c>
      <c r="BI62" s="121"/>
      <c r="BJ62" s="112"/>
      <c r="BK62" s="122">
        <v>9.6</v>
      </c>
      <c r="BL62" s="123">
        <v>41526</v>
      </c>
      <c r="BM62" s="115" t="s">
        <v>1711</v>
      </c>
      <c r="BN62" s="115" t="s">
        <v>1712</v>
      </c>
      <c r="BP62" s="115">
        <v>2.9630000000000001</v>
      </c>
      <c r="BQ62" s="84">
        <v>1.22</v>
      </c>
      <c r="BR62" s="85" t="s">
        <v>1713</v>
      </c>
      <c r="BS62" s="85">
        <v>92532</v>
      </c>
      <c r="BT62" s="115">
        <v>28.3</v>
      </c>
      <c r="BU62" s="124">
        <v>35</v>
      </c>
      <c r="BV62" s="125">
        <v>1424</v>
      </c>
      <c r="BW62" s="80">
        <v>743</v>
      </c>
      <c r="BX62" s="80">
        <v>50</v>
      </c>
      <c r="BY62" s="78">
        <v>88</v>
      </c>
      <c r="BZ62" s="115">
        <v>90.69</v>
      </c>
      <c r="CA62" s="115">
        <v>80.95</v>
      </c>
      <c r="CB62" s="112"/>
      <c r="CC62" s="112"/>
      <c r="CE62" s="70">
        <v>470.1</v>
      </c>
      <c r="CF62" s="70">
        <v>28.3</v>
      </c>
      <c r="CG62" s="69">
        <v>325</v>
      </c>
      <c r="CH62" s="69">
        <v>314</v>
      </c>
      <c r="CI62" s="69">
        <v>25.4</v>
      </c>
      <c r="CJ62" s="126">
        <v>124.65</v>
      </c>
      <c r="CK62" s="60">
        <v>124.7</v>
      </c>
      <c r="CL62" s="127">
        <v>38.54</v>
      </c>
      <c r="CM62" s="127">
        <v>462</v>
      </c>
      <c r="CN62" s="107">
        <v>4.0999999999999996</v>
      </c>
      <c r="CO62" s="58">
        <v>750.2</v>
      </c>
      <c r="CQ62" s="108" t="s">
        <v>2405</v>
      </c>
      <c r="CR62" s="78">
        <v>50.2</v>
      </c>
      <c r="CS62" s="78" t="s">
        <v>1714</v>
      </c>
      <c r="CT62" s="78">
        <v>106.9</v>
      </c>
      <c r="CU62" s="128" t="s">
        <v>1715</v>
      </c>
      <c r="CV62" s="128">
        <v>123.3</v>
      </c>
      <c r="CW62" s="128" t="s">
        <v>1716</v>
      </c>
      <c r="CX62" s="60" t="s">
        <v>1717</v>
      </c>
      <c r="CY62" s="60">
        <v>23.2</v>
      </c>
      <c r="CZ62" s="112" t="s">
        <v>361</v>
      </c>
      <c r="DA62" s="129">
        <v>362159</v>
      </c>
      <c r="DB62" s="129">
        <v>372349</v>
      </c>
      <c r="DC62" s="70">
        <v>2013.5</v>
      </c>
      <c r="DD62" s="86" t="s">
        <v>1718</v>
      </c>
      <c r="DE62" s="60" t="s">
        <v>1719</v>
      </c>
      <c r="DF62" s="60" t="s">
        <v>1720</v>
      </c>
      <c r="DG62" s="60" t="s">
        <v>1721</v>
      </c>
      <c r="DI62" s="70">
        <v>273</v>
      </c>
      <c r="DJ62" s="70">
        <v>90</v>
      </c>
      <c r="DK62" s="130">
        <v>67.8</v>
      </c>
      <c r="DM62" s="80">
        <v>204</v>
      </c>
      <c r="DN62" s="80">
        <v>413</v>
      </c>
      <c r="DO62" s="70">
        <v>2794</v>
      </c>
      <c r="DP62" s="131">
        <v>99.3</v>
      </c>
      <c r="DQ62" s="132">
        <v>176.8</v>
      </c>
      <c r="DR62" s="60">
        <v>58.8</v>
      </c>
      <c r="DS62" s="78"/>
      <c r="DT62" s="90">
        <v>128</v>
      </c>
      <c r="DU62" s="60">
        <v>243</v>
      </c>
      <c r="DV62" s="70">
        <v>97</v>
      </c>
      <c r="DW62" s="70">
        <v>130.30000000000001</v>
      </c>
      <c r="DX62" s="78"/>
      <c r="DY62" s="70">
        <v>109.3</v>
      </c>
      <c r="DZ62" s="70">
        <v>104.7</v>
      </c>
      <c r="EA62" s="70">
        <v>107.4</v>
      </c>
      <c r="EB62" s="70">
        <v>105.8</v>
      </c>
      <c r="EC62" s="86" t="s">
        <v>1713</v>
      </c>
      <c r="ED62" s="97">
        <v>92532</v>
      </c>
      <c r="EE62" s="60">
        <v>121.2</v>
      </c>
      <c r="EF62" s="60">
        <v>106.9</v>
      </c>
      <c r="EG62" s="60">
        <v>98.2</v>
      </c>
      <c r="EH62" s="78"/>
      <c r="EI62" s="60">
        <v>46.9</v>
      </c>
      <c r="EJ62" s="89">
        <v>17965.8</v>
      </c>
      <c r="EK62" s="89">
        <v>1145</v>
      </c>
      <c r="EL62" s="87">
        <v>5525</v>
      </c>
      <c r="EM62" s="133">
        <v>50.1</v>
      </c>
      <c r="EN62" s="133" t="s">
        <v>1722</v>
      </c>
      <c r="EO62" s="78"/>
      <c r="EP62" s="133" t="s">
        <v>1723</v>
      </c>
      <c r="EQ62" s="134">
        <v>50326</v>
      </c>
      <c r="ER62" s="60">
        <v>200507</v>
      </c>
      <c r="ES62" s="60">
        <v>633018</v>
      </c>
      <c r="ET62" s="110" t="s">
        <v>2406</v>
      </c>
      <c r="EU62" s="110" t="s">
        <v>2407</v>
      </c>
      <c r="EV62" s="78"/>
      <c r="EW62" s="135">
        <v>91</v>
      </c>
      <c r="EX62" s="136">
        <v>38.5</v>
      </c>
      <c r="EY62" s="137"/>
      <c r="EZ62" s="136">
        <v>2023.3</v>
      </c>
      <c r="FA62" s="109">
        <v>26.3</v>
      </c>
      <c r="FB62" s="78"/>
      <c r="FC62" s="137"/>
      <c r="FD62" s="137"/>
      <c r="FE62" s="70">
        <v>3943</v>
      </c>
      <c r="FF62" s="137"/>
      <c r="FG62" s="137"/>
      <c r="FH62" s="70">
        <v>3485</v>
      </c>
      <c r="FI62" s="70">
        <v>3285</v>
      </c>
      <c r="FJ62" s="137"/>
      <c r="FK62" s="70"/>
      <c r="FL62" s="90" t="s">
        <v>1724</v>
      </c>
      <c r="FM62" s="90" t="s">
        <v>1725</v>
      </c>
      <c r="FN62" s="90" t="s">
        <v>466</v>
      </c>
    </row>
    <row r="63" spans="1:170" ht="15.6">
      <c r="A63" s="2">
        <v>62</v>
      </c>
      <c r="B63" s="52" t="s">
        <v>332</v>
      </c>
      <c r="D63" s="65">
        <v>79.099999999999994</v>
      </c>
      <c r="E63" s="63">
        <v>20.07</v>
      </c>
      <c r="F63" s="60">
        <v>0</v>
      </c>
      <c r="G63" s="60">
        <v>0</v>
      </c>
      <c r="H63" s="112"/>
      <c r="I63" s="112"/>
      <c r="J63" s="60">
        <v>54</v>
      </c>
      <c r="K63" s="112"/>
      <c r="L63" s="112"/>
      <c r="M63" s="93" t="s">
        <v>421</v>
      </c>
      <c r="N63" s="76" t="s">
        <v>531</v>
      </c>
      <c r="O63" s="76" t="s">
        <v>489</v>
      </c>
      <c r="Q63" s="101">
        <v>9.9499999999999993</v>
      </c>
      <c r="R63" s="102">
        <v>85.16</v>
      </c>
      <c r="S63" s="101">
        <v>62.990000000000201</v>
      </c>
      <c r="T63" s="113">
        <v>51.58</v>
      </c>
      <c r="V63" s="66">
        <v>39600</v>
      </c>
      <c r="X63" s="114">
        <v>6.1</v>
      </c>
      <c r="Y63" s="114">
        <v>2115.3000000000002</v>
      </c>
      <c r="Z63" s="71">
        <v>1209</v>
      </c>
      <c r="AA63" s="80">
        <v>15.8</v>
      </c>
      <c r="AB63" s="80">
        <v>53.5</v>
      </c>
      <c r="AC63" s="58">
        <v>27.8</v>
      </c>
      <c r="AD63" s="84">
        <v>73.19</v>
      </c>
      <c r="AE63" s="84">
        <v>67.209999999999994</v>
      </c>
      <c r="AF63" s="60">
        <v>78.989999999999995</v>
      </c>
      <c r="AG63" s="60">
        <v>16059</v>
      </c>
      <c r="AH63" s="60">
        <f t="shared" si="0"/>
        <v>16.059000000000001</v>
      </c>
      <c r="AI63" s="71">
        <v>552.32999999999993</v>
      </c>
      <c r="AJ63" s="70">
        <v>1.1040000000000001</v>
      </c>
      <c r="AK63" s="70">
        <v>684</v>
      </c>
      <c r="AL63" s="90">
        <v>28</v>
      </c>
      <c r="AM63" s="77">
        <v>206</v>
      </c>
      <c r="AO63" s="116">
        <v>55</v>
      </c>
      <c r="AP63" s="71">
        <v>39905</v>
      </c>
      <c r="AQ63" s="117" t="s">
        <v>2238</v>
      </c>
      <c r="AR63" s="100">
        <v>61.9</v>
      </c>
      <c r="AS63" s="81">
        <v>0.2</v>
      </c>
      <c r="AT63" s="118">
        <v>2.6</v>
      </c>
      <c r="AU63" s="106">
        <v>12.5</v>
      </c>
      <c r="AV63" s="71">
        <v>66.7</v>
      </c>
      <c r="AX63" s="119"/>
      <c r="AY63" s="112"/>
      <c r="AZ63" s="82" t="s">
        <v>1726</v>
      </c>
      <c r="BA63" s="79" t="s">
        <v>1727</v>
      </c>
      <c r="BB63" s="79" t="s">
        <v>1728</v>
      </c>
      <c r="BD63" s="78">
        <v>102.8</v>
      </c>
      <c r="BE63" s="120">
        <v>102.5</v>
      </c>
      <c r="BF63" s="64" t="s">
        <v>1729</v>
      </c>
      <c r="BG63" s="60">
        <v>110.1</v>
      </c>
      <c r="BH63" s="68">
        <v>53270</v>
      </c>
      <c r="BI63" s="121"/>
      <c r="BJ63" s="112"/>
      <c r="BK63" s="122">
        <v>10.6</v>
      </c>
      <c r="BL63" s="123">
        <v>30904</v>
      </c>
      <c r="BM63" s="115" t="s">
        <v>1730</v>
      </c>
      <c r="BN63" s="115" t="s">
        <v>1731</v>
      </c>
      <c r="BP63" s="115">
        <v>0.78800000000000003</v>
      </c>
      <c r="BQ63" s="84">
        <v>0.36</v>
      </c>
      <c r="BR63" s="85" t="s">
        <v>1732</v>
      </c>
      <c r="BS63" s="85" t="s">
        <v>1733</v>
      </c>
      <c r="BT63" s="115">
        <v>36.4</v>
      </c>
      <c r="BU63" s="124">
        <v>43.9</v>
      </c>
      <c r="BV63" s="125">
        <v>1230</v>
      </c>
      <c r="BW63" s="80">
        <v>295</v>
      </c>
      <c r="BX63" s="80">
        <v>4</v>
      </c>
      <c r="BY63" s="78">
        <v>87.7</v>
      </c>
      <c r="BZ63" s="115">
        <v>91.11</v>
      </c>
      <c r="CA63" s="115">
        <v>71.72</v>
      </c>
      <c r="CB63" s="112"/>
      <c r="CC63" s="112"/>
      <c r="CE63" s="70">
        <v>120.2</v>
      </c>
      <c r="CF63" s="70">
        <v>7.9</v>
      </c>
      <c r="CG63" s="69">
        <v>272</v>
      </c>
      <c r="CH63" s="69">
        <v>248</v>
      </c>
      <c r="CI63" s="69">
        <v>4.9000000000000004</v>
      </c>
      <c r="CJ63" s="126">
        <v>132.13999999999999</v>
      </c>
      <c r="CK63" s="60">
        <v>132.1</v>
      </c>
      <c r="CL63" s="127">
        <v>57.17</v>
      </c>
      <c r="CM63" s="127">
        <v>513.9</v>
      </c>
      <c r="CN63" s="107">
        <v>4.5</v>
      </c>
      <c r="CO63" s="58">
        <v>790.1</v>
      </c>
      <c r="CQ63" s="108" t="s">
        <v>2408</v>
      </c>
      <c r="CR63" s="78">
        <v>2.2000000000000002</v>
      </c>
      <c r="CS63" s="78">
        <v>564.5</v>
      </c>
      <c r="CT63" s="78">
        <v>105.5</v>
      </c>
      <c r="CU63" s="128" t="s">
        <v>1734</v>
      </c>
      <c r="CV63" s="128">
        <v>102.1</v>
      </c>
      <c r="CW63" s="128" t="s">
        <v>1735</v>
      </c>
      <c r="CX63" s="60" t="s">
        <v>1736</v>
      </c>
      <c r="CY63" s="60">
        <v>20.9</v>
      </c>
      <c r="CZ63" s="60" t="s">
        <v>1737</v>
      </c>
      <c r="DA63" s="129">
        <v>271164</v>
      </c>
      <c r="DB63" s="129">
        <v>72663</v>
      </c>
      <c r="DC63" s="70">
        <v>739</v>
      </c>
      <c r="DD63" s="86" t="s">
        <v>1738</v>
      </c>
      <c r="DE63" s="60" t="s">
        <v>1739</v>
      </c>
      <c r="DF63" s="60" t="s">
        <v>1740</v>
      </c>
      <c r="DG63" s="60" t="s">
        <v>1741</v>
      </c>
      <c r="DI63" s="70">
        <v>285</v>
      </c>
      <c r="DJ63" s="70">
        <v>99</v>
      </c>
      <c r="DK63" s="130">
        <v>137.9</v>
      </c>
      <c r="DM63" s="80">
        <v>264</v>
      </c>
      <c r="DN63" s="80" t="s">
        <v>371</v>
      </c>
      <c r="DO63" s="70">
        <v>10171</v>
      </c>
      <c r="DP63" s="131">
        <v>99.4</v>
      </c>
      <c r="DQ63" s="132">
        <v>14.9</v>
      </c>
      <c r="DR63" s="60">
        <v>23.4</v>
      </c>
      <c r="DS63" s="78"/>
      <c r="DT63" s="90">
        <v>85</v>
      </c>
      <c r="DU63" s="60">
        <v>155</v>
      </c>
      <c r="DV63" s="70">
        <v>72</v>
      </c>
      <c r="DW63" s="70">
        <v>139.9</v>
      </c>
      <c r="DX63" s="78"/>
      <c r="DY63" s="70">
        <v>107.5</v>
      </c>
      <c r="DZ63" s="70">
        <v>106</v>
      </c>
      <c r="EA63" s="70">
        <v>105.3</v>
      </c>
      <c r="EB63" s="70">
        <v>103.2</v>
      </c>
      <c r="EC63" s="86" t="s">
        <v>1732</v>
      </c>
      <c r="ED63" s="60" t="s">
        <v>1733</v>
      </c>
      <c r="EE63" s="60">
        <v>108.7</v>
      </c>
      <c r="EF63" s="60">
        <v>100.7</v>
      </c>
      <c r="EG63" s="60">
        <v>98.7</v>
      </c>
      <c r="EH63" s="78"/>
      <c r="EI63" s="60">
        <v>53</v>
      </c>
      <c r="EJ63" s="89">
        <v>2411.5</v>
      </c>
      <c r="EK63" s="89">
        <v>128</v>
      </c>
      <c r="EL63" s="141">
        <v>2123</v>
      </c>
      <c r="EM63" s="133">
        <v>17.899999999999999</v>
      </c>
      <c r="EN63" s="142" t="s">
        <v>1742</v>
      </c>
      <c r="EO63" s="78"/>
      <c r="EP63" s="133" t="s">
        <v>1743</v>
      </c>
      <c r="EQ63" s="134">
        <v>8390</v>
      </c>
      <c r="ER63" s="60">
        <v>49995</v>
      </c>
      <c r="ES63" s="60">
        <v>171520</v>
      </c>
      <c r="ET63" s="110" t="s">
        <v>2409</v>
      </c>
      <c r="EU63" s="110" t="s">
        <v>2410</v>
      </c>
      <c r="EV63" s="78"/>
      <c r="EW63" s="135">
        <v>88.9</v>
      </c>
      <c r="EX63" s="136">
        <v>36.5</v>
      </c>
      <c r="EY63" s="137"/>
      <c r="EZ63" s="136">
        <v>2043.2</v>
      </c>
      <c r="FA63" s="109">
        <v>26.1</v>
      </c>
      <c r="FB63" s="78"/>
      <c r="FC63" s="137"/>
      <c r="FD63" s="137"/>
      <c r="FE63" s="70">
        <v>587</v>
      </c>
      <c r="FF63" s="137"/>
      <c r="FG63" s="137"/>
      <c r="FH63" s="70">
        <v>611</v>
      </c>
      <c r="FI63" s="70">
        <v>1111</v>
      </c>
      <c r="FJ63" s="137"/>
      <c r="FK63" s="70"/>
      <c r="FL63" s="90" t="s">
        <v>1744</v>
      </c>
      <c r="FM63" s="90" t="s">
        <v>1745</v>
      </c>
      <c r="FN63" s="90" t="s">
        <v>1746</v>
      </c>
    </row>
    <row r="64" spans="1:170" ht="15.6">
      <c r="A64" s="2">
        <v>63</v>
      </c>
      <c r="B64" s="52" t="s">
        <v>333</v>
      </c>
      <c r="D64" s="63">
        <v>80.55</v>
      </c>
      <c r="E64" s="63">
        <v>18.68</v>
      </c>
      <c r="F64" s="60">
        <v>0</v>
      </c>
      <c r="G64" s="60">
        <v>0</v>
      </c>
      <c r="H64" s="112"/>
      <c r="I64" s="112"/>
      <c r="J64" s="60">
        <v>4</v>
      </c>
      <c r="K64" s="112"/>
      <c r="L64" s="112"/>
      <c r="M64" s="93" t="s">
        <v>780</v>
      </c>
      <c r="N64" s="76" t="s">
        <v>570</v>
      </c>
      <c r="O64" s="76" t="s">
        <v>489</v>
      </c>
      <c r="Q64" s="101">
        <v>9.9499999999999993</v>
      </c>
      <c r="R64" s="102">
        <v>85.16</v>
      </c>
      <c r="S64" s="101">
        <v>62.990000000000101</v>
      </c>
      <c r="T64" s="113">
        <v>52.79</v>
      </c>
      <c r="V64" s="66">
        <v>53600</v>
      </c>
      <c r="X64" s="114">
        <v>6.4</v>
      </c>
      <c r="Y64" s="114">
        <v>2115.3000000000002</v>
      </c>
      <c r="Z64" s="71">
        <v>1180</v>
      </c>
      <c r="AA64" s="80">
        <v>17.399999999999999</v>
      </c>
      <c r="AB64" s="80">
        <v>54.7</v>
      </c>
      <c r="AC64" s="58">
        <v>25.3</v>
      </c>
      <c r="AD64" s="84">
        <v>72.53</v>
      </c>
      <c r="AE64" s="84">
        <v>66.94</v>
      </c>
      <c r="AF64" s="60">
        <v>78.010000000000005</v>
      </c>
      <c r="AG64" s="60">
        <v>42232</v>
      </c>
      <c r="AH64" s="60">
        <f t="shared" si="0"/>
        <v>42.231999999999999</v>
      </c>
      <c r="AI64" s="71">
        <v>534.94500000000005</v>
      </c>
      <c r="AJ64" s="115">
        <v>1.3432999999999999</v>
      </c>
      <c r="AK64" s="70">
        <v>707</v>
      </c>
      <c r="AL64" s="90">
        <v>12</v>
      </c>
      <c r="AM64" s="77">
        <v>284</v>
      </c>
      <c r="AO64" s="116">
        <v>62.5</v>
      </c>
      <c r="AP64" s="71">
        <v>42701</v>
      </c>
      <c r="AQ64" s="117" t="s">
        <v>2234</v>
      </c>
      <c r="AR64" s="100">
        <v>70.8</v>
      </c>
      <c r="AS64" s="81">
        <v>0.2</v>
      </c>
      <c r="AT64" s="118">
        <v>2</v>
      </c>
      <c r="AU64" s="106">
        <v>19.899999999999999</v>
      </c>
      <c r="AV64" s="71">
        <v>47.2</v>
      </c>
      <c r="AX64" s="119"/>
      <c r="AY64" s="112"/>
      <c r="AZ64" s="82" t="s">
        <v>1747</v>
      </c>
      <c r="BA64" s="79" t="s">
        <v>1748</v>
      </c>
      <c r="BB64" s="79" t="s">
        <v>1749</v>
      </c>
      <c r="BD64" s="78">
        <v>103.8</v>
      </c>
      <c r="BE64" s="120">
        <v>102.3</v>
      </c>
      <c r="BF64" s="64" t="s">
        <v>1750</v>
      </c>
      <c r="BG64" s="60">
        <v>111.7</v>
      </c>
      <c r="BH64" s="68">
        <v>58063</v>
      </c>
      <c r="BI64" s="121"/>
      <c r="BJ64" s="112"/>
      <c r="BK64" s="122">
        <v>10.199999999999999</v>
      </c>
      <c r="BL64" s="123">
        <v>36303</v>
      </c>
      <c r="BM64" s="115" t="s">
        <v>1751</v>
      </c>
      <c r="BN64" s="115" t="s">
        <v>1752</v>
      </c>
      <c r="BP64" s="115">
        <v>1.9379999999999999</v>
      </c>
      <c r="BQ64" s="84">
        <v>0.79700000000000004</v>
      </c>
      <c r="BR64" s="85" t="s">
        <v>1753</v>
      </c>
      <c r="BS64" s="85" t="s">
        <v>1754</v>
      </c>
      <c r="BT64" s="115">
        <v>30</v>
      </c>
      <c r="BU64" s="124">
        <v>35.299999999999997</v>
      </c>
      <c r="BV64" s="125">
        <v>1593</v>
      </c>
      <c r="BW64" s="80">
        <v>515</v>
      </c>
      <c r="BX64" s="80">
        <v>42</v>
      </c>
      <c r="BY64" s="78">
        <v>95.1</v>
      </c>
      <c r="BZ64" s="115">
        <v>97.68</v>
      </c>
      <c r="CA64" s="115">
        <v>87.45</v>
      </c>
      <c r="CB64" s="112"/>
      <c r="CC64" s="112"/>
      <c r="CE64" s="70">
        <v>365.5</v>
      </c>
      <c r="CF64" s="70">
        <v>19.2</v>
      </c>
      <c r="CG64" s="69">
        <v>334</v>
      </c>
      <c r="CH64" s="69">
        <v>313</v>
      </c>
      <c r="CI64" s="69">
        <v>17.399999999999999</v>
      </c>
      <c r="CJ64" s="126">
        <v>140.13</v>
      </c>
      <c r="CK64" s="60">
        <v>140.1</v>
      </c>
      <c r="CL64" s="127">
        <v>50.69</v>
      </c>
      <c r="CM64" s="127">
        <v>569.1</v>
      </c>
      <c r="CN64" s="107">
        <v>5.0999999999999996</v>
      </c>
      <c r="CO64" s="58">
        <v>935.4</v>
      </c>
      <c r="CQ64" s="108" t="s">
        <v>2411</v>
      </c>
      <c r="CR64" s="78">
        <v>588.29999999999995</v>
      </c>
      <c r="CS64" s="78" t="s">
        <v>1755</v>
      </c>
      <c r="CT64" s="78">
        <v>94.5</v>
      </c>
      <c r="CU64" s="128" t="s">
        <v>1756</v>
      </c>
      <c r="CV64" s="128">
        <v>104.9</v>
      </c>
      <c r="CW64" s="128" t="s">
        <v>1757</v>
      </c>
      <c r="CX64" s="60" t="s">
        <v>1758</v>
      </c>
      <c r="CY64" s="60">
        <v>21.9</v>
      </c>
      <c r="CZ64" s="112" t="s">
        <v>361</v>
      </c>
      <c r="DA64" s="129">
        <v>315966</v>
      </c>
      <c r="DB64" s="129">
        <v>239716</v>
      </c>
      <c r="DC64" s="70">
        <v>1948.5</v>
      </c>
      <c r="DD64" s="86" t="s">
        <v>1759</v>
      </c>
      <c r="DE64" s="60" t="s">
        <v>1760</v>
      </c>
      <c r="DF64" s="60" t="s">
        <v>1761</v>
      </c>
      <c r="DG64" s="60" t="s">
        <v>1762</v>
      </c>
      <c r="DI64" s="70">
        <v>352</v>
      </c>
      <c r="DJ64" s="70">
        <v>81</v>
      </c>
      <c r="DK64" s="130">
        <v>96.7</v>
      </c>
      <c r="DM64" s="80">
        <v>277</v>
      </c>
      <c r="DN64" s="80">
        <v>415</v>
      </c>
      <c r="DO64" s="70">
        <v>9459</v>
      </c>
      <c r="DP64" s="131">
        <v>99</v>
      </c>
      <c r="DQ64" s="132">
        <v>159.30000000000001</v>
      </c>
      <c r="DR64" s="60">
        <v>79.599999999999994</v>
      </c>
      <c r="DS64" s="78"/>
      <c r="DT64" s="90">
        <v>222</v>
      </c>
      <c r="DU64" s="60">
        <v>568</v>
      </c>
      <c r="DV64" s="70">
        <v>344</v>
      </c>
      <c r="DW64" s="70">
        <v>84.7</v>
      </c>
      <c r="DX64" s="78"/>
      <c r="DY64" s="70">
        <v>108.8</v>
      </c>
      <c r="DZ64" s="70">
        <v>106.6</v>
      </c>
      <c r="EA64" s="70">
        <v>106.9</v>
      </c>
      <c r="EB64" s="70">
        <v>105.5</v>
      </c>
      <c r="EC64" s="86" t="s">
        <v>1753</v>
      </c>
      <c r="ED64" s="60" t="s">
        <v>1754</v>
      </c>
      <c r="EE64" s="60">
        <v>106.8</v>
      </c>
      <c r="EF64" s="60">
        <v>94.5</v>
      </c>
      <c r="EG64" s="60">
        <v>106.4</v>
      </c>
      <c r="EH64" s="78"/>
      <c r="EI64" s="60">
        <v>51.8</v>
      </c>
      <c r="EJ64" s="89">
        <v>24726.799999999999</v>
      </c>
      <c r="EK64" s="89">
        <v>554</v>
      </c>
      <c r="EL64" s="87">
        <v>7563</v>
      </c>
      <c r="EM64" s="133">
        <v>28.9</v>
      </c>
      <c r="EN64" s="142" t="s">
        <v>1763</v>
      </c>
      <c r="EO64" s="78"/>
      <c r="EP64" s="133" t="s">
        <v>1764</v>
      </c>
      <c r="EQ64" s="134">
        <v>95449</v>
      </c>
      <c r="ER64" s="60">
        <v>131417</v>
      </c>
      <c r="ES64" s="60">
        <v>474438</v>
      </c>
      <c r="ET64" s="110" t="s">
        <v>2412</v>
      </c>
      <c r="EU64" s="110" t="s">
        <v>2413</v>
      </c>
      <c r="EV64" s="78"/>
      <c r="EW64" s="135">
        <v>86.1</v>
      </c>
      <c r="EX64" s="136">
        <v>38.4</v>
      </c>
      <c r="EY64" s="137"/>
      <c r="EZ64" s="136">
        <v>1900.3</v>
      </c>
      <c r="FA64" s="109">
        <v>24.6</v>
      </c>
      <c r="FB64" s="78"/>
      <c r="FC64" s="137"/>
      <c r="FD64" s="137"/>
      <c r="FE64" s="70">
        <v>3065</v>
      </c>
      <c r="FF64" s="137"/>
      <c r="FG64" s="137"/>
      <c r="FH64" s="70">
        <v>3710</v>
      </c>
      <c r="FI64" s="70">
        <v>3855</v>
      </c>
      <c r="FJ64" s="137"/>
      <c r="FK64" s="70"/>
      <c r="FL64" s="90" t="s">
        <v>1765</v>
      </c>
      <c r="FM64" s="90" t="s">
        <v>1766</v>
      </c>
      <c r="FN64" s="90" t="s">
        <v>1767</v>
      </c>
    </row>
    <row r="65" spans="1:170" ht="15.6">
      <c r="A65" s="2">
        <v>78</v>
      </c>
      <c r="B65" s="52" t="s">
        <v>334</v>
      </c>
      <c r="D65" s="63">
        <v>77.66</v>
      </c>
      <c r="E65" s="63">
        <v>21.63</v>
      </c>
      <c r="F65" s="60">
        <v>0</v>
      </c>
      <c r="G65" s="60">
        <v>0</v>
      </c>
      <c r="H65" s="112"/>
      <c r="I65" s="112"/>
      <c r="J65" s="60">
        <v>6</v>
      </c>
      <c r="K65" s="112"/>
      <c r="L65" s="112"/>
      <c r="M65" s="93" t="s">
        <v>436</v>
      </c>
      <c r="N65" s="76" t="s">
        <v>531</v>
      </c>
      <c r="O65" s="76" t="s">
        <v>489</v>
      </c>
      <c r="Q65" s="101">
        <v>9.9499999999999993</v>
      </c>
      <c r="R65" s="102">
        <v>85.16</v>
      </c>
      <c r="S65" s="101">
        <v>62.990000000000101</v>
      </c>
      <c r="T65" s="113">
        <v>54.24</v>
      </c>
      <c r="V65" s="66">
        <v>1400</v>
      </c>
      <c r="X65" s="114">
        <v>9.1999999999999993</v>
      </c>
      <c r="Y65" s="114">
        <v>2115.3000000000002</v>
      </c>
      <c r="Z65" s="71">
        <v>1219</v>
      </c>
      <c r="AA65" s="80">
        <v>15.1</v>
      </c>
      <c r="AB65" s="80">
        <v>57.8</v>
      </c>
      <c r="AC65" s="58">
        <v>24.8</v>
      </c>
      <c r="AD65" s="84">
        <v>76.55</v>
      </c>
      <c r="AE65" s="84">
        <v>72.209999999999994</v>
      </c>
      <c r="AF65" s="60">
        <v>80.3</v>
      </c>
      <c r="AG65" s="60">
        <v>59905</v>
      </c>
      <c r="AH65" s="60">
        <f t="shared" si="0"/>
        <v>59.905000000000001</v>
      </c>
      <c r="AI65" s="71">
        <v>375.15499999999997</v>
      </c>
      <c r="AJ65" s="115">
        <v>1.29078</v>
      </c>
      <c r="AK65" s="70">
        <v>530</v>
      </c>
      <c r="AL65" s="146" t="s">
        <v>23</v>
      </c>
      <c r="AM65" s="147" t="s">
        <v>23</v>
      </c>
      <c r="AO65" s="116">
        <v>66.7</v>
      </c>
      <c r="AP65" s="71">
        <v>72037</v>
      </c>
      <c r="AQ65" s="117" t="s">
        <v>2414</v>
      </c>
      <c r="AR65" s="100">
        <v>77.2</v>
      </c>
      <c r="AS65" s="81">
        <v>0.3</v>
      </c>
      <c r="AT65" s="118">
        <v>1.6</v>
      </c>
      <c r="AU65" s="106">
        <v>21.8</v>
      </c>
      <c r="AV65" s="71">
        <v>18.2</v>
      </c>
      <c r="AX65" s="119"/>
      <c r="AY65" s="112"/>
      <c r="AZ65" s="91" t="s">
        <v>1768</v>
      </c>
      <c r="BA65" s="79" t="s">
        <v>1769</v>
      </c>
      <c r="BB65" s="79" t="s">
        <v>1770</v>
      </c>
      <c r="BD65" s="78">
        <v>104.2</v>
      </c>
      <c r="BE65" s="120">
        <v>101.6</v>
      </c>
      <c r="BF65" s="64" t="s">
        <v>1771</v>
      </c>
      <c r="BG65" s="60">
        <v>105.2</v>
      </c>
      <c r="BH65" s="68">
        <v>96232</v>
      </c>
      <c r="BI65" s="121"/>
      <c r="BJ65" s="112" t="s">
        <v>0</v>
      </c>
      <c r="BK65" s="122">
        <v>4.4000000000000004</v>
      </c>
      <c r="BL65" s="123">
        <v>59969</v>
      </c>
      <c r="BM65" s="115" t="s">
        <v>1772</v>
      </c>
      <c r="BN65" s="115" t="s">
        <v>1773</v>
      </c>
      <c r="BP65" s="115">
        <v>3.4830000000000001</v>
      </c>
      <c r="BQ65" s="84">
        <v>3.2629999999999999</v>
      </c>
      <c r="BR65" s="85" t="s">
        <v>1774</v>
      </c>
      <c r="BS65" s="85" t="s">
        <v>1775</v>
      </c>
      <c r="BT65" s="115">
        <v>27.8</v>
      </c>
      <c r="BU65" s="124">
        <v>31.3</v>
      </c>
      <c r="BV65" s="125">
        <v>1555</v>
      </c>
      <c r="BW65" s="80" t="s">
        <v>1776</v>
      </c>
      <c r="BX65" s="80">
        <v>57</v>
      </c>
      <c r="BY65" s="78">
        <v>98.9</v>
      </c>
      <c r="BZ65" s="115">
        <v>98.84</v>
      </c>
      <c r="CA65" s="115">
        <v>96.89</v>
      </c>
      <c r="CB65" s="112"/>
      <c r="CC65" s="112"/>
      <c r="CE65" s="70">
        <v>595.9</v>
      </c>
      <c r="CF65" s="70">
        <v>35.200000000000003</v>
      </c>
      <c r="CG65" s="69">
        <v>593</v>
      </c>
      <c r="CH65" s="69">
        <v>551</v>
      </c>
      <c r="CI65" s="69">
        <v>58.8</v>
      </c>
      <c r="CJ65" s="126">
        <v>118.62</v>
      </c>
      <c r="CK65" s="60">
        <v>118.6</v>
      </c>
      <c r="CL65" s="127">
        <v>91.4</v>
      </c>
      <c r="CM65" s="139">
        <v>366.6</v>
      </c>
      <c r="CN65" s="107">
        <v>4.0999999999999996</v>
      </c>
      <c r="CO65" s="58">
        <v>1124</v>
      </c>
      <c r="CQ65" s="108" t="s">
        <v>2415</v>
      </c>
      <c r="CR65" s="78">
        <v>449.6</v>
      </c>
      <c r="CS65" s="78" t="s">
        <v>1777</v>
      </c>
      <c r="CT65" s="154" t="s">
        <v>23</v>
      </c>
      <c r="CU65" s="128" t="s">
        <v>1778</v>
      </c>
      <c r="CV65" s="128">
        <v>103.4</v>
      </c>
      <c r="CW65" s="128" t="s">
        <v>1779</v>
      </c>
      <c r="CX65" s="60" t="s">
        <v>1780</v>
      </c>
      <c r="CY65" s="60">
        <v>23.9</v>
      </c>
      <c r="CZ65" s="60" t="s">
        <v>1781</v>
      </c>
      <c r="DA65" s="129">
        <v>451843</v>
      </c>
      <c r="DB65" s="129">
        <v>906169</v>
      </c>
      <c r="DC65" s="70">
        <v>4150.8</v>
      </c>
      <c r="DD65" s="86" t="s">
        <v>1782</v>
      </c>
      <c r="DE65" s="60" t="s">
        <v>1783</v>
      </c>
      <c r="DF65" s="60" t="s">
        <v>1784</v>
      </c>
      <c r="DG65" s="60" t="s">
        <v>1785</v>
      </c>
      <c r="DI65" s="70">
        <v>2542</v>
      </c>
      <c r="DJ65" s="70">
        <v>97</v>
      </c>
      <c r="DK65" s="130">
        <v>71.900000000000006</v>
      </c>
      <c r="DM65" s="80">
        <v>822</v>
      </c>
      <c r="DN65" s="80" t="s">
        <v>1786</v>
      </c>
      <c r="DO65" s="70">
        <v>3719</v>
      </c>
      <c r="DP65" s="131">
        <v>100</v>
      </c>
      <c r="DQ65" s="132">
        <v>611.5</v>
      </c>
      <c r="DR65" s="60">
        <v>170.2</v>
      </c>
      <c r="DS65" s="78"/>
      <c r="DT65" s="90">
        <v>67</v>
      </c>
      <c r="DU65" s="60">
        <v>792</v>
      </c>
      <c r="DV65" s="70">
        <v>936</v>
      </c>
      <c r="DW65" s="70">
        <v>142.6</v>
      </c>
      <c r="DX65" s="78"/>
      <c r="DY65" s="70">
        <v>107.2</v>
      </c>
      <c r="DZ65" s="70">
        <v>105.7</v>
      </c>
      <c r="EA65" s="70">
        <v>107.7</v>
      </c>
      <c r="EB65" s="70">
        <v>104.9</v>
      </c>
      <c r="EC65" s="86" t="s">
        <v>1774</v>
      </c>
      <c r="ED65" s="60" t="s">
        <v>1775</v>
      </c>
      <c r="EE65" s="60">
        <v>125.3</v>
      </c>
      <c r="EF65" s="78"/>
      <c r="EG65" s="31"/>
      <c r="EH65" s="78"/>
      <c r="EI65" s="60">
        <v>45.8</v>
      </c>
      <c r="EJ65" s="89">
        <v>184849.5</v>
      </c>
      <c r="EK65" s="89">
        <v>8855</v>
      </c>
      <c r="EL65" s="87">
        <v>14710</v>
      </c>
      <c r="EM65" s="133">
        <v>33.299999999999997</v>
      </c>
      <c r="EN65" s="133" t="s">
        <v>1787</v>
      </c>
      <c r="EO65" s="78"/>
      <c r="EP65" s="133" t="s">
        <v>1788</v>
      </c>
      <c r="EQ65" s="134">
        <v>448793</v>
      </c>
      <c r="ER65" s="60">
        <v>397706</v>
      </c>
      <c r="ES65" s="60">
        <v>1522344</v>
      </c>
      <c r="ET65" s="110" t="s">
        <v>2416</v>
      </c>
      <c r="EU65" s="110" t="s">
        <v>2417</v>
      </c>
      <c r="EV65" s="78"/>
      <c r="EW65" s="135">
        <v>87</v>
      </c>
      <c r="EX65" s="136">
        <v>47.5</v>
      </c>
      <c r="EY65" s="137"/>
      <c r="EZ65" s="136">
        <v>3662.4</v>
      </c>
      <c r="FA65" s="109">
        <v>28.5</v>
      </c>
      <c r="FB65" s="78"/>
      <c r="FC65" s="137"/>
      <c r="FD65" s="137"/>
      <c r="FE65" s="143" t="s">
        <v>1789</v>
      </c>
      <c r="FF65" s="137"/>
      <c r="FG65" s="137"/>
      <c r="FH65" s="143" t="s">
        <v>1790</v>
      </c>
      <c r="FI65" s="143" t="s">
        <v>1791</v>
      </c>
      <c r="FJ65" s="137"/>
      <c r="FK65" s="60"/>
      <c r="FL65" s="90" t="s">
        <v>1792</v>
      </c>
      <c r="FM65" s="90" t="s">
        <v>1793</v>
      </c>
      <c r="FN65" s="90" t="s">
        <v>1794</v>
      </c>
    </row>
    <row r="66" spans="1:170" ht="15.6">
      <c r="A66" s="2">
        <v>64</v>
      </c>
      <c r="B66" s="52" t="s">
        <v>335</v>
      </c>
      <c r="D66" s="63">
        <v>82.24</v>
      </c>
      <c r="E66" s="63">
        <v>16.96</v>
      </c>
      <c r="F66" s="60">
        <v>0</v>
      </c>
      <c r="G66" s="60">
        <v>0</v>
      </c>
      <c r="H66" s="112"/>
      <c r="I66" s="112"/>
      <c r="J66" s="60">
        <v>17</v>
      </c>
      <c r="K66" s="112"/>
      <c r="L66" s="112"/>
      <c r="M66" s="93" t="s">
        <v>926</v>
      </c>
      <c r="N66" s="76" t="s">
        <v>946</v>
      </c>
      <c r="O66" s="76" t="s">
        <v>489</v>
      </c>
      <c r="Q66" s="101">
        <v>9.9499999999999993</v>
      </c>
      <c r="R66" s="102">
        <v>85.16</v>
      </c>
      <c r="S66" s="101">
        <v>62.990000000000101</v>
      </c>
      <c r="T66" s="113">
        <v>51.3</v>
      </c>
      <c r="V66" s="66">
        <v>101200</v>
      </c>
      <c r="X66" s="114">
        <v>5.7</v>
      </c>
      <c r="Y66" s="114">
        <v>2115.3000000000002</v>
      </c>
      <c r="Z66" s="71">
        <v>1156</v>
      </c>
      <c r="AA66" s="80">
        <v>16.100000000000001</v>
      </c>
      <c r="AB66" s="80">
        <v>55.2</v>
      </c>
      <c r="AC66" s="58">
        <v>26</v>
      </c>
      <c r="AD66" s="84">
        <v>73.27</v>
      </c>
      <c r="AE66" s="84">
        <v>68.209999999999994</v>
      </c>
      <c r="AF66" s="60">
        <v>78.37</v>
      </c>
      <c r="AG66" s="60">
        <v>32435</v>
      </c>
      <c r="AH66" s="60">
        <f t="shared" si="0"/>
        <v>32.435000000000002</v>
      </c>
      <c r="AI66" s="71">
        <v>510.245</v>
      </c>
      <c r="AJ66" s="115">
        <v>1.1170599999999999</v>
      </c>
      <c r="AK66" s="70">
        <v>767</v>
      </c>
      <c r="AL66" s="90">
        <v>37</v>
      </c>
      <c r="AM66" s="77">
        <v>256</v>
      </c>
      <c r="AO66" s="116">
        <v>58.8</v>
      </c>
      <c r="AP66" s="71">
        <v>33348</v>
      </c>
      <c r="AQ66" s="117" t="s">
        <v>2418</v>
      </c>
      <c r="AR66" s="100">
        <v>64.7</v>
      </c>
      <c r="AS66" s="81">
        <v>0.2</v>
      </c>
      <c r="AT66" s="118">
        <v>2.2999999999999998</v>
      </c>
      <c r="AU66" s="106">
        <v>28.2</v>
      </c>
      <c r="AV66" s="71">
        <v>41.6</v>
      </c>
      <c r="AX66" s="119"/>
      <c r="AY66" s="112"/>
      <c r="AZ66" s="82" t="s">
        <v>1795</v>
      </c>
      <c r="BA66" s="79" t="s">
        <v>1796</v>
      </c>
      <c r="BB66" s="79" t="s">
        <v>1797</v>
      </c>
      <c r="BD66" s="78">
        <v>103.5</v>
      </c>
      <c r="BE66" s="120">
        <v>102.7</v>
      </c>
      <c r="BF66" s="64" t="s">
        <v>1798</v>
      </c>
      <c r="BG66" s="60">
        <v>110.6</v>
      </c>
      <c r="BH66" s="68">
        <v>49995</v>
      </c>
      <c r="BI66" s="121"/>
      <c r="BJ66" s="112"/>
      <c r="BK66" s="122">
        <v>12.5</v>
      </c>
      <c r="BL66" s="123">
        <v>27613</v>
      </c>
      <c r="BM66" s="115" t="s">
        <v>1799</v>
      </c>
      <c r="BN66" s="115" t="s">
        <v>1800</v>
      </c>
      <c r="BP66" s="115">
        <v>1.1519999999999999</v>
      </c>
      <c r="BQ66" s="84">
        <v>0.48099999999999998</v>
      </c>
      <c r="BR66" s="85" t="s">
        <v>1801</v>
      </c>
      <c r="BS66" s="85" t="s">
        <v>1802</v>
      </c>
      <c r="BT66" s="115">
        <v>31.9</v>
      </c>
      <c r="BU66" s="124">
        <v>39.9</v>
      </c>
      <c r="BV66" s="125">
        <v>682</v>
      </c>
      <c r="BW66" s="80">
        <v>459</v>
      </c>
      <c r="BX66" s="80">
        <v>28</v>
      </c>
      <c r="BY66" s="78">
        <v>81.599999999999994</v>
      </c>
      <c r="BZ66" s="115">
        <v>92.98</v>
      </c>
      <c r="CA66" s="115">
        <v>61.16</v>
      </c>
      <c r="CB66" s="112"/>
      <c r="CC66" s="112"/>
      <c r="CE66" s="70">
        <v>256.8</v>
      </c>
      <c r="CF66" s="70">
        <v>17.100000000000001</v>
      </c>
      <c r="CG66" s="69">
        <v>294</v>
      </c>
      <c r="CH66" s="69">
        <v>280</v>
      </c>
      <c r="CI66" s="69">
        <v>13.9</v>
      </c>
      <c r="CJ66" s="126">
        <v>107.57</v>
      </c>
      <c r="CK66" s="60">
        <v>107.6</v>
      </c>
      <c r="CL66" s="127">
        <v>50.74</v>
      </c>
      <c r="CM66" s="127">
        <v>511.2</v>
      </c>
      <c r="CN66" s="107">
        <v>3.4</v>
      </c>
      <c r="CO66" s="58">
        <v>734.8</v>
      </c>
      <c r="CQ66" s="108" t="s">
        <v>2419</v>
      </c>
      <c r="CR66" s="78">
        <v>59.6</v>
      </c>
      <c r="CS66" s="78">
        <v>704.2</v>
      </c>
      <c r="CT66" s="78">
        <v>100.6</v>
      </c>
      <c r="CU66" s="128" t="s">
        <v>1803</v>
      </c>
      <c r="CV66" s="128">
        <v>124</v>
      </c>
      <c r="CW66" s="128" t="s">
        <v>1804</v>
      </c>
      <c r="CX66" s="60" t="s">
        <v>1805</v>
      </c>
      <c r="CY66" s="60">
        <v>29</v>
      </c>
      <c r="CZ66" s="60" t="s">
        <v>404</v>
      </c>
      <c r="DA66" s="129">
        <v>237340</v>
      </c>
      <c r="DB66" s="129">
        <v>139242</v>
      </c>
      <c r="DC66" s="70">
        <v>1105.0999999999999</v>
      </c>
      <c r="DD66" s="86" t="s">
        <v>1806</v>
      </c>
      <c r="DE66" s="60" t="s">
        <v>1807</v>
      </c>
      <c r="DF66" s="60" t="s">
        <v>1808</v>
      </c>
      <c r="DG66" s="60" t="s">
        <v>1809</v>
      </c>
      <c r="DI66" s="70">
        <v>182</v>
      </c>
      <c r="DJ66" s="70">
        <v>80</v>
      </c>
      <c r="DK66" s="130">
        <v>110.9</v>
      </c>
      <c r="DM66" s="80">
        <v>266</v>
      </c>
      <c r="DN66" s="80">
        <v>461</v>
      </c>
      <c r="DO66" s="70">
        <v>1434</v>
      </c>
      <c r="DP66" s="131">
        <v>98.3</v>
      </c>
      <c r="DQ66" s="132">
        <v>31.2</v>
      </c>
      <c r="DR66" s="60">
        <v>21.7</v>
      </c>
      <c r="DS66" s="78"/>
      <c r="DT66" s="90">
        <v>138</v>
      </c>
      <c r="DU66" s="60">
        <v>558</v>
      </c>
      <c r="DV66" s="70">
        <v>88</v>
      </c>
      <c r="DW66" s="70">
        <v>123.2</v>
      </c>
      <c r="DX66" s="78"/>
      <c r="DY66" s="70">
        <v>108.8</v>
      </c>
      <c r="DZ66" s="70">
        <v>104.3</v>
      </c>
      <c r="EA66" s="70">
        <v>105.8</v>
      </c>
      <c r="EB66" s="70">
        <v>105.4</v>
      </c>
      <c r="EC66" s="86" t="s">
        <v>1801</v>
      </c>
      <c r="ED66" s="60" t="s">
        <v>1802</v>
      </c>
      <c r="EE66" s="60">
        <v>111.8</v>
      </c>
      <c r="EF66" s="60">
        <v>100.6</v>
      </c>
      <c r="EG66" s="60">
        <v>102.5</v>
      </c>
      <c r="EH66" s="78"/>
      <c r="EI66" s="60">
        <v>39.9</v>
      </c>
      <c r="EJ66" s="89">
        <v>6051.9</v>
      </c>
      <c r="EK66" s="89">
        <v>867</v>
      </c>
      <c r="EL66" s="87">
        <v>7814</v>
      </c>
      <c r="EM66" s="133">
        <v>18.5</v>
      </c>
      <c r="EN66" s="142" t="s">
        <v>1810</v>
      </c>
      <c r="EO66" s="78"/>
      <c r="EP66" s="133" t="s">
        <v>1811</v>
      </c>
      <c r="EQ66" s="134">
        <v>15413</v>
      </c>
      <c r="ER66" s="60">
        <v>84720</v>
      </c>
      <c r="ES66" s="60">
        <v>321333</v>
      </c>
      <c r="ET66" s="110" t="s">
        <v>2420</v>
      </c>
      <c r="EU66" s="110" t="s">
        <v>2421</v>
      </c>
      <c r="EV66" s="78"/>
      <c r="EW66" s="135">
        <v>89.8</v>
      </c>
      <c r="EX66" s="136">
        <v>35</v>
      </c>
      <c r="EY66" s="137"/>
      <c r="EZ66" s="136">
        <v>1795.5</v>
      </c>
      <c r="FA66" s="109">
        <v>24.1</v>
      </c>
      <c r="FB66" s="78"/>
      <c r="FC66" s="137"/>
      <c r="FD66" s="137"/>
      <c r="FE66" s="70">
        <v>1536</v>
      </c>
      <c r="FF66" s="137"/>
      <c r="FG66" s="137"/>
      <c r="FH66" s="70">
        <v>1852</v>
      </c>
      <c r="FI66" s="70">
        <v>3811</v>
      </c>
      <c r="FJ66" s="137"/>
      <c r="FK66" s="70"/>
      <c r="FL66" s="90" t="s">
        <v>1812</v>
      </c>
      <c r="FM66" s="90" t="s">
        <v>1813</v>
      </c>
      <c r="FN66" s="90" t="s">
        <v>1814</v>
      </c>
    </row>
    <row r="67" spans="1:170" ht="15.6">
      <c r="A67" s="2">
        <v>65</v>
      </c>
      <c r="B67" s="52" t="s">
        <v>336</v>
      </c>
      <c r="D67" s="65">
        <v>74.84</v>
      </c>
      <c r="E67" s="63">
        <v>24.04</v>
      </c>
      <c r="F67" s="60">
        <v>0</v>
      </c>
      <c r="G67" s="60">
        <v>0</v>
      </c>
      <c r="H67" s="112"/>
      <c r="I67" s="112"/>
      <c r="J67" s="60">
        <v>65</v>
      </c>
      <c r="K67" s="112"/>
      <c r="L67" s="112"/>
      <c r="M67" s="93" t="s">
        <v>434</v>
      </c>
      <c r="N67" s="76" t="s">
        <v>511</v>
      </c>
      <c r="O67" s="76" t="s">
        <v>489</v>
      </c>
      <c r="Q67" s="101">
        <v>9.9499999999999993</v>
      </c>
      <c r="R67" s="102">
        <v>85.16</v>
      </c>
      <c r="S67" s="101">
        <v>62.990000000000101</v>
      </c>
      <c r="T67" s="113">
        <v>62.47</v>
      </c>
      <c r="V67" s="66">
        <v>87100</v>
      </c>
      <c r="X67" s="114">
        <v>8.3000000000000007</v>
      </c>
      <c r="Y67" s="114">
        <v>2115.3000000000002</v>
      </c>
      <c r="Z67" s="71">
        <v>1115</v>
      </c>
      <c r="AA67" s="80">
        <v>18</v>
      </c>
      <c r="AB67" s="80">
        <v>57</v>
      </c>
      <c r="AC67" s="58">
        <v>22.7</v>
      </c>
      <c r="AD67" s="84">
        <v>70.22</v>
      </c>
      <c r="AE67" s="84">
        <v>64.040000000000006</v>
      </c>
      <c r="AF67" s="60">
        <v>77.3</v>
      </c>
      <c r="AG67" s="60">
        <v>6139</v>
      </c>
      <c r="AH67" s="60">
        <f t="shared" si="0"/>
        <v>6.1390000000000002</v>
      </c>
      <c r="AI67" s="71">
        <v>602.96500000000003</v>
      </c>
      <c r="AJ67" s="115">
        <v>1.82507</v>
      </c>
      <c r="AK67" s="70">
        <v>732</v>
      </c>
      <c r="AL67" s="146" t="s">
        <v>23</v>
      </c>
      <c r="AM67" s="147" t="s">
        <v>23</v>
      </c>
      <c r="AO67" s="116">
        <v>68.099999999999994</v>
      </c>
      <c r="AP67" s="71">
        <v>87902</v>
      </c>
      <c r="AQ67" s="117" t="s">
        <v>2304</v>
      </c>
      <c r="AR67" s="100">
        <v>73.400000000000006</v>
      </c>
      <c r="AS67" s="81">
        <v>0.2</v>
      </c>
      <c r="AT67" s="118">
        <v>2.2999999999999998</v>
      </c>
      <c r="AU67" s="106">
        <v>15.6</v>
      </c>
      <c r="AV67" s="71">
        <v>38.6</v>
      </c>
      <c r="AX67" s="119"/>
      <c r="AY67" s="112"/>
      <c r="AZ67" s="82" t="s">
        <v>1815</v>
      </c>
      <c r="BA67" s="79" t="s">
        <v>1816</v>
      </c>
      <c r="BB67" s="79" t="s">
        <v>1817</v>
      </c>
      <c r="BD67" s="78">
        <v>103.3</v>
      </c>
      <c r="BE67" s="120">
        <v>101</v>
      </c>
      <c r="BF67" s="64" t="s">
        <v>1818</v>
      </c>
      <c r="BG67" s="60">
        <v>104.8</v>
      </c>
      <c r="BH67" s="68">
        <v>114361</v>
      </c>
      <c r="BI67" s="121"/>
      <c r="BJ67" s="112"/>
      <c r="BK67" s="122">
        <v>6.1</v>
      </c>
      <c r="BL67" s="123">
        <v>55859</v>
      </c>
      <c r="BM67" s="115" t="s">
        <v>1819</v>
      </c>
      <c r="BN67" s="115" t="s">
        <v>1820</v>
      </c>
      <c r="BP67" s="115">
        <v>0.51300000000000001</v>
      </c>
      <c r="BQ67" s="84">
        <v>0.32</v>
      </c>
      <c r="BR67" s="85" t="s">
        <v>1821</v>
      </c>
      <c r="BS67" s="85" t="s">
        <v>1822</v>
      </c>
      <c r="BT67" s="115">
        <v>32.6</v>
      </c>
      <c r="BU67" s="124">
        <v>32.799999999999997</v>
      </c>
      <c r="BV67" s="125">
        <v>1641</v>
      </c>
      <c r="BW67" s="80">
        <v>95</v>
      </c>
      <c r="BX67" s="80">
        <v>23</v>
      </c>
      <c r="BY67" s="78">
        <v>90.4</v>
      </c>
      <c r="BZ67" s="115">
        <v>92.36</v>
      </c>
      <c r="CA67" s="115">
        <v>87.03</v>
      </c>
      <c r="CB67" s="112"/>
      <c r="CC67" s="112"/>
      <c r="CE67" s="70">
        <v>63</v>
      </c>
      <c r="CF67" s="70">
        <v>4</v>
      </c>
      <c r="CG67" s="69">
        <v>103</v>
      </c>
      <c r="CH67" s="69">
        <v>103</v>
      </c>
      <c r="CI67" s="69">
        <v>0.6</v>
      </c>
      <c r="CJ67" s="126">
        <v>84.74</v>
      </c>
      <c r="CK67" s="60">
        <v>84.7</v>
      </c>
      <c r="CL67" s="127">
        <v>72.930000000000007</v>
      </c>
      <c r="CM67" s="127">
        <v>729.9</v>
      </c>
      <c r="CN67" s="107">
        <v>3.7</v>
      </c>
      <c r="CO67" s="58">
        <v>692.4</v>
      </c>
      <c r="CQ67" s="108" t="s">
        <v>2422</v>
      </c>
      <c r="CR67" s="78" t="s">
        <v>1823</v>
      </c>
      <c r="CS67" s="78">
        <v>87.2</v>
      </c>
      <c r="CT67" s="78">
        <v>96.4</v>
      </c>
      <c r="CU67" s="128" t="s">
        <v>1824</v>
      </c>
      <c r="CV67" s="128">
        <v>104</v>
      </c>
      <c r="CW67" s="128" t="s">
        <v>1825</v>
      </c>
      <c r="CX67" s="60" t="s">
        <v>1826</v>
      </c>
      <c r="CY67" s="60">
        <v>41.5</v>
      </c>
      <c r="CZ67" s="112" t="s">
        <v>361</v>
      </c>
      <c r="DA67" s="129">
        <v>451865</v>
      </c>
      <c r="DB67" s="129">
        <v>57831</v>
      </c>
      <c r="DC67" s="70">
        <v>698.3</v>
      </c>
      <c r="DD67" s="86" t="s">
        <v>1827</v>
      </c>
      <c r="DE67" s="60" t="s">
        <v>1828</v>
      </c>
      <c r="DF67" s="60" t="s">
        <v>1829</v>
      </c>
      <c r="DG67" s="60" t="s">
        <v>1830</v>
      </c>
      <c r="DI67" s="70">
        <v>33</v>
      </c>
      <c r="DJ67" s="70">
        <v>158</v>
      </c>
      <c r="DK67" s="130">
        <v>93.2</v>
      </c>
      <c r="DM67" s="80">
        <v>246</v>
      </c>
      <c r="DN67" s="80" t="s">
        <v>1831</v>
      </c>
      <c r="DO67" s="70">
        <v>862</v>
      </c>
      <c r="DP67" s="131">
        <v>98.7</v>
      </c>
      <c r="DQ67" s="132">
        <v>11.9</v>
      </c>
      <c r="DR67" s="60">
        <v>6.1</v>
      </c>
      <c r="DS67" s="78"/>
      <c r="DT67" s="90">
        <v>81</v>
      </c>
      <c r="DU67" s="60">
        <v>129</v>
      </c>
      <c r="DV67" s="70">
        <v>27</v>
      </c>
      <c r="DW67" s="70">
        <v>73.8</v>
      </c>
      <c r="DX67" s="78"/>
      <c r="DY67" s="70">
        <v>106.3</v>
      </c>
      <c r="DZ67" s="70">
        <v>109.3</v>
      </c>
      <c r="EA67" s="70">
        <v>106.6</v>
      </c>
      <c r="EB67" s="70">
        <v>106.5</v>
      </c>
      <c r="EC67" s="86" t="s">
        <v>1821</v>
      </c>
      <c r="ED67" s="60" t="s">
        <v>1822</v>
      </c>
      <c r="EE67" s="60">
        <v>151.80000000000001</v>
      </c>
      <c r="EF67" s="60">
        <v>96.4</v>
      </c>
      <c r="EG67" s="60">
        <v>109.5</v>
      </c>
      <c r="EH67" s="78"/>
      <c r="EI67" s="60">
        <v>45.8</v>
      </c>
      <c r="EJ67" s="89">
        <v>1282.7</v>
      </c>
      <c r="EK67" s="89">
        <v>95</v>
      </c>
      <c r="EL67" s="87">
        <v>670</v>
      </c>
      <c r="EM67" s="133">
        <v>8.4</v>
      </c>
      <c r="EN67" s="133">
        <v>721.4</v>
      </c>
      <c r="EO67" s="78"/>
      <c r="EP67" s="133" t="s">
        <v>1832</v>
      </c>
      <c r="EQ67" s="134">
        <v>9186</v>
      </c>
      <c r="ER67" s="60">
        <v>33254</v>
      </c>
      <c r="ES67" s="60">
        <v>136624</v>
      </c>
      <c r="ET67" s="110" t="s">
        <v>2423</v>
      </c>
      <c r="EU67" s="110" t="s">
        <v>2424</v>
      </c>
      <c r="EV67" s="78"/>
      <c r="EW67" s="135">
        <v>91.4</v>
      </c>
      <c r="EX67" s="136">
        <v>46.6</v>
      </c>
      <c r="EY67" s="137"/>
      <c r="EZ67" s="136">
        <v>2006.5</v>
      </c>
      <c r="FA67" s="109">
        <v>17.899999999999999</v>
      </c>
      <c r="FB67" s="78"/>
      <c r="FC67" s="137"/>
      <c r="FD67" s="137"/>
      <c r="FE67" s="70">
        <v>212</v>
      </c>
      <c r="FF67" s="137"/>
      <c r="FG67" s="137"/>
      <c r="FH67" s="70">
        <v>270</v>
      </c>
      <c r="FI67" s="70">
        <v>1463</v>
      </c>
      <c r="FJ67" s="137"/>
      <c r="FK67" s="70"/>
      <c r="FL67" s="90" t="s">
        <v>1833</v>
      </c>
      <c r="FM67" s="90" t="s">
        <v>1834</v>
      </c>
      <c r="FN67" s="90" t="s">
        <v>1835</v>
      </c>
    </row>
    <row r="68" spans="1:170" ht="15.6">
      <c r="A68" s="2">
        <v>66</v>
      </c>
      <c r="B68" s="52" t="s">
        <v>337</v>
      </c>
      <c r="D68" s="63">
        <v>65.97</v>
      </c>
      <c r="E68" s="63">
        <v>32.96</v>
      </c>
      <c r="F68" s="60">
        <v>0</v>
      </c>
      <c r="G68" s="60">
        <v>0</v>
      </c>
      <c r="H68" s="112"/>
      <c r="I68" s="112"/>
      <c r="J68" s="60">
        <v>14</v>
      </c>
      <c r="K68" s="112"/>
      <c r="L68" s="112"/>
      <c r="M68" s="93" t="s">
        <v>591</v>
      </c>
      <c r="N68" s="76" t="s">
        <v>488</v>
      </c>
      <c r="O68" s="76" t="s">
        <v>489</v>
      </c>
      <c r="Q68" s="101">
        <v>9.9499999999999993</v>
      </c>
      <c r="R68" s="102">
        <v>85.16</v>
      </c>
      <c r="S68" s="101">
        <v>62.990000000000101</v>
      </c>
      <c r="T68" s="113">
        <v>52.84</v>
      </c>
      <c r="V68" s="66">
        <v>194200</v>
      </c>
      <c r="X68" s="114">
        <v>7.2</v>
      </c>
      <c r="Y68" s="114">
        <v>2115.3000000000002</v>
      </c>
      <c r="Z68" s="71">
        <v>1162</v>
      </c>
      <c r="AA68" s="80">
        <v>19.7</v>
      </c>
      <c r="AB68" s="80">
        <v>54.3</v>
      </c>
      <c r="AC68" s="58">
        <v>23.5</v>
      </c>
      <c r="AD68" s="84">
        <v>71.84</v>
      </c>
      <c r="AE68" s="84">
        <v>66.069999999999993</v>
      </c>
      <c r="AF68" s="60">
        <v>77.599999999999994</v>
      </c>
      <c r="AG68" s="60">
        <v>55929</v>
      </c>
      <c r="AH68" s="60">
        <f t="shared" si="0"/>
        <v>55.929000000000002</v>
      </c>
      <c r="AI68" s="71">
        <v>543.78</v>
      </c>
      <c r="AJ68" s="115">
        <v>1.57257</v>
      </c>
      <c r="AK68" s="70">
        <v>713</v>
      </c>
      <c r="AL68" s="90">
        <v>5</v>
      </c>
      <c r="AM68" s="115">
        <v>16</v>
      </c>
      <c r="AO68" s="116">
        <v>60.1</v>
      </c>
      <c r="AP68" s="71">
        <v>53413</v>
      </c>
      <c r="AQ68" s="117" t="s">
        <v>2214</v>
      </c>
      <c r="AR68" s="100">
        <v>68.2</v>
      </c>
      <c r="AS68" s="81">
        <v>0.2</v>
      </c>
      <c r="AT68" s="118">
        <v>2.2999999999999998</v>
      </c>
      <c r="AU68" s="106">
        <v>15.2</v>
      </c>
      <c r="AV68" s="71">
        <v>38.799999999999997</v>
      </c>
      <c r="AX68" s="119"/>
      <c r="AY68" s="112"/>
      <c r="AZ68" s="82" t="s">
        <v>1836</v>
      </c>
      <c r="BA68" s="79" t="s">
        <v>1837</v>
      </c>
      <c r="BB68" s="79" t="s">
        <v>1838</v>
      </c>
      <c r="BD68" s="78">
        <v>106.6</v>
      </c>
      <c r="BE68" s="120">
        <v>102.7</v>
      </c>
      <c r="BF68" s="64" t="s">
        <v>1839</v>
      </c>
      <c r="BG68" s="60">
        <v>111.1</v>
      </c>
      <c r="BH68" s="68">
        <v>64997</v>
      </c>
      <c r="BI68" s="121"/>
      <c r="BJ68" s="112"/>
      <c r="BK68" s="122">
        <v>7.6</v>
      </c>
      <c r="BL68" s="123">
        <v>42728</v>
      </c>
      <c r="BM68" s="115" t="s">
        <v>1840</v>
      </c>
      <c r="BN68" s="115" t="s">
        <v>1841</v>
      </c>
      <c r="BP68" s="115">
        <v>3.262</v>
      </c>
      <c r="BQ68" s="84">
        <v>1.7869999999999999</v>
      </c>
      <c r="BR68" s="85" t="s">
        <v>1842</v>
      </c>
      <c r="BS68" s="85" t="s">
        <v>1843</v>
      </c>
      <c r="BT68" s="115">
        <v>29.8</v>
      </c>
      <c r="BU68" s="124">
        <v>33.9</v>
      </c>
      <c r="BV68" s="125">
        <v>1667</v>
      </c>
      <c r="BW68" s="80">
        <v>902</v>
      </c>
      <c r="BX68" s="80">
        <v>43</v>
      </c>
      <c r="BY68" s="78">
        <v>85.3</v>
      </c>
      <c r="BZ68" s="115">
        <v>86.71</v>
      </c>
      <c r="CA68" s="115">
        <v>76.31</v>
      </c>
      <c r="CB68" s="112"/>
      <c r="CC68" s="112"/>
      <c r="CE68" s="70">
        <v>563.70000000000005</v>
      </c>
      <c r="CF68" s="70">
        <v>31</v>
      </c>
      <c r="CG68" s="69">
        <v>297</v>
      </c>
      <c r="CH68" s="69">
        <v>290</v>
      </c>
      <c r="CI68" s="69">
        <v>22.4</v>
      </c>
      <c r="CJ68" s="126">
        <v>115.46</v>
      </c>
      <c r="CK68" s="60">
        <v>115.5</v>
      </c>
      <c r="CL68" s="127">
        <v>45.37</v>
      </c>
      <c r="CM68" s="127">
        <v>581.29999999999995</v>
      </c>
      <c r="CN68" s="107">
        <v>4.2</v>
      </c>
      <c r="CO68" s="58">
        <v>921.8</v>
      </c>
      <c r="CQ68" s="108" t="s">
        <v>2425</v>
      </c>
      <c r="CR68" s="78">
        <v>137.4</v>
      </c>
      <c r="CS68" s="78" t="s">
        <v>1844</v>
      </c>
      <c r="CT68" s="78">
        <v>95.7</v>
      </c>
      <c r="CU68" s="128" t="s">
        <v>1845</v>
      </c>
      <c r="CV68" s="128">
        <v>116.1</v>
      </c>
      <c r="CW68" s="128" t="s">
        <v>1846</v>
      </c>
      <c r="CX68" s="60" t="s">
        <v>1847</v>
      </c>
      <c r="CY68" s="60">
        <v>22.4</v>
      </c>
      <c r="CZ68" s="112" t="s">
        <v>361</v>
      </c>
      <c r="DA68" s="129">
        <v>337066</v>
      </c>
      <c r="DB68" s="129">
        <v>548807</v>
      </c>
      <c r="DC68" s="70">
        <v>3433.2</v>
      </c>
      <c r="DD68" s="86" t="s">
        <v>1848</v>
      </c>
      <c r="DE68" s="60" t="s">
        <v>1849</v>
      </c>
      <c r="DF68" s="60" t="s">
        <v>1850</v>
      </c>
      <c r="DG68" s="60" t="s">
        <v>1851</v>
      </c>
      <c r="DI68" s="70">
        <v>130</v>
      </c>
      <c r="DJ68" s="70">
        <v>79</v>
      </c>
      <c r="DK68" s="130">
        <v>66.400000000000006</v>
      </c>
      <c r="DM68" s="80">
        <v>325</v>
      </c>
      <c r="DN68" s="80">
        <v>589</v>
      </c>
      <c r="DO68" s="70">
        <v>7538</v>
      </c>
      <c r="DP68" s="131">
        <v>98.4</v>
      </c>
      <c r="DQ68" s="132">
        <v>160.6</v>
      </c>
      <c r="DR68" s="60">
        <v>106.1</v>
      </c>
      <c r="DS68" s="78"/>
      <c r="DT68" s="90">
        <v>817</v>
      </c>
      <c r="DU68" s="60">
        <v>620</v>
      </c>
      <c r="DV68" s="70">
        <v>486</v>
      </c>
      <c r="DW68" s="70">
        <v>131.69999999999999</v>
      </c>
      <c r="DX68" s="78"/>
      <c r="DY68" s="70">
        <v>107</v>
      </c>
      <c r="DZ68" s="70">
        <v>106.2</v>
      </c>
      <c r="EA68" s="70">
        <v>109.1</v>
      </c>
      <c r="EB68" s="70">
        <v>105.3</v>
      </c>
      <c r="EC68" s="86" t="s">
        <v>1842</v>
      </c>
      <c r="ED68" s="60" t="s">
        <v>1843</v>
      </c>
      <c r="EE68" s="60">
        <v>114.8</v>
      </c>
      <c r="EF68" s="60">
        <v>95.7</v>
      </c>
      <c r="EG68" s="60">
        <v>97.6</v>
      </c>
      <c r="EH68" s="78"/>
      <c r="EI68" s="60">
        <v>48.6</v>
      </c>
      <c r="EJ68" s="89">
        <v>39906.300000000003</v>
      </c>
      <c r="EK68" s="89">
        <v>2445</v>
      </c>
      <c r="EL68" s="87">
        <v>15732</v>
      </c>
      <c r="EM68" s="133">
        <v>24.1</v>
      </c>
      <c r="EN68" s="133" t="s">
        <v>1852</v>
      </c>
      <c r="EO68" s="78"/>
      <c r="EP68" s="133" t="s">
        <v>1853</v>
      </c>
      <c r="EQ68" s="134">
        <v>103340</v>
      </c>
      <c r="ER68" s="60">
        <v>256272</v>
      </c>
      <c r="ES68" s="60">
        <v>806687</v>
      </c>
      <c r="ET68" s="110" t="s">
        <v>2426</v>
      </c>
      <c r="EU68" s="110" t="s">
        <v>2427</v>
      </c>
      <c r="EV68" s="78"/>
      <c r="EW68" s="135">
        <v>85.7</v>
      </c>
      <c r="EX68" s="136">
        <v>45</v>
      </c>
      <c r="EY68" s="137"/>
      <c r="EZ68" s="136">
        <v>2199.4</v>
      </c>
      <c r="FA68" s="109">
        <v>29.8</v>
      </c>
      <c r="FB68" s="78"/>
      <c r="FC68" s="137"/>
      <c r="FD68" s="137"/>
      <c r="FE68" s="70">
        <v>2752</v>
      </c>
      <c r="FF68" s="137"/>
      <c r="FG68" s="137"/>
      <c r="FH68" s="70">
        <v>2726</v>
      </c>
      <c r="FI68" s="70">
        <v>8108</v>
      </c>
      <c r="FJ68" s="137"/>
      <c r="FK68" s="70"/>
      <c r="FL68" s="90" t="s">
        <v>1854</v>
      </c>
      <c r="FM68" s="90" t="s">
        <v>1855</v>
      </c>
      <c r="FN68" s="90" t="s">
        <v>1856</v>
      </c>
    </row>
    <row r="69" spans="1:170" ht="15.6">
      <c r="A69" s="2">
        <v>92</v>
      </c>
      <c r="B69" s="52" t="s">
        <v>338</v>
      </c>
      <c r="D69" s="65">
        <v>84.6</v>
      </c>
      <c r="E69" s="63">
        <v>14.6</v>
      </c>
      <c r="F69" s="60">
        <v>0</v>
      </c>
      <c r="G69" s="60">
        <v>0</v>
      </c>
      <c r="H69" s="112"/>
      <c r="I69" s="112"/>
      <c r="J69" s="60">
        <v>75</v>
      </c>
      <c r="K69" s="112"/>
      <c r="L69" s="112"/>
      <c r="M69" s="93" t="s">
        <v>592</v>
      </c>
      <c r="N69" s="76" t="s">
        <v>592</v>
      </c>
      <c r="O69" s="76" t="s">
        <v>489</v>
      </c>
      <c r="Q69" s="101">
        <v>9.9499999999999993</v>
      </c>
      <c r="R69" s="102">
        <v>85.16</v>
      </c>
      <c r="S69" s="101">
        <v>62.990000000000101</v>
      </c>
      <c r="T69" s="113">
        <v>59.72</v>
      </c>
      <c r="V69" s="66">
        <v>900</v>
      </c>
      <c r="X69" s="114">
        <v>7</v>
      </c>
      <c r="Y69" s="114">
        <v>2115.3000000000002</v>
      </c>
      <c r="Z69" s="71">
        <v>1107</v>
      </c>
      <c r="AA69" s="80">
        <v>16.8</v>
      </c>
      <c r="AB69" s="155">
        <v>58.4</v>
      </c>
      <c r="AC69" s="58">
        <v>22.6</v>
      </c>
      <c r="AD69" s="84">
        <v>76.11</v>
      </c>
      <c r="AE69" s="84">
        <v>72.209999999999994</v>
      </c>
      <c r="AF69" s="60">
        <v>80.02</v>
      </c>
      <c r="AG69" s="60">
        <v>5645</v>
      </c>
      <c r="AH69" s="60">
        <f t="shared" si="0"/>
        <v>5.6449999999999996</v>
      </c>
      <c r="AI69" s="71">
        <v>383.32499999999999</v>
      </c>
      <c r="AJ69" s="115">
        <v>1.0271699999999999</v>
      </c>
      <c r="AK69" s="70">
        <v>554</v>
      </c>
      <c r="AL69" s="146" t="s">
        <v>23</v>
      </c>
      <c r="AM69" s="147" t="s">
        <v>23</v>
      </c>
      <c r="AO69" s="116">
        <v>60.7</v>
      </c>
      <c r="AP69" s="71">
        <v>39968</v>
      </c>
      <c r="AQ69" s="117" t="s">
        <v>2338</v>
      </c>
      <c r="AR69" s="100">
        <v>48.8</v>
      </c>
      <c r="AS69" s="81">
        <v>0.3</v>
      </c>
      <c r="AT69" s="118">
        <v>3.1</v>
      </c>
      <c r="AU69" s="106">
        <v>22.9</v>
      </c>
      <c r="AV69" s="71">
        <v>31.2</v>
      </c>
      <c r="AX69" s="119"/>
      <c r="AY69" s="112"/>
      <c r="AZ69" s="91">
        <v>892.24</v>
      </c>
      <c r="BA69" s="79" t="s">
        <v>1857</v>
      </c>
      <c r="BB69" s="79" t="s">
        <v>1858</v>
      </c>
      <c r="BD69" s="78">
        <v>106.4</v>
      </c>
      <c r="BE69" s="120">
        <v>100.5</v>
      </c>
      <c r="BF69" s="64" t="s">
        <v>1859</v>
      </c>
      <c r="BG69" s="60">
        <v>103.7</v>
      </c>
      <c r="BH69" s="68">
        <v>47638</v>
      </c>
      <c r="BI69" s="121"/>
      <c r="BJ69" s="112"/>
      <c r="BK69" s="144">
        <v>9</v>
      </c>
      <c r="BL69" s="123">
        <v>33896</v>
      </c>
      <c r="BM69" s="115">
        <v>49604</v>
      </c>
      <c r="BN69" s="115">
        <v>92016</v>
      </c>
      <c r="BP69" s="115">
        <v>0.48</v>
      </c>
      <c r="BQ69" s="84">
        <v>8.2000000000000003E-2</v>
      </c>
      <c r="BR69" s="85" t="s">
        <v>1860</v>
      </c>
      <c r="BS69" s="85" t="s">
        <v>1861</v>
      </c>
      <c r="BT69" s="115">
        <v>23.3</v>
      </c>
      <c r="BU69" s="124">
        <v>31.3</v>
      </c>
      <c r="BV69" s="125">
        <v>1064</v>
      </c>
      <c r="BW69" s="80">
        <v>258</v>
      </c>
      <c r="BX69" s="80">
        <v>77</v>
      </c>
      <c r="BY69" s="78">
        <v>96</v>
      </c>
      <c r="BZ69" s="115">
        <v>71.25</v>
      </c>
      <c r="CA69" s="115">
        <v>66.61</v>
      </c>
      <c r="CB69" s="112"/>
      <c r="CC69" s="112"/>
      <c r="CE69" s="70">
        <v>54.2</v>
      </c>
      <c r="CF69" s="70">
        <v>2.7</v>
      </c>
      <c r="CG69" s="69">
        <v>267</v>
      </c>
      <c r="CH69" s="69">
        <v>261</v>
      </c>
      <c r="CI69" s="69">
        <v>2.8</v>
      </c>
      <c r="CJ69" s="126">
        <v>156.46</v>
      </c>
      <c r="CK69" s="78">
        <v>156.5</v>
      </c>
      <c r="CL69" s="127">
        <v>47.13</v>
      </c>
      <c r="CM69" s="139">
        <v>385.1</v>
      </c>
      <c r="CN69" s="107">
        <v>2.9</v>
      </c>
      <c r="CO69" s="58">
        <v>543.9</v>
      </c>
      <c r="CQ69" s="108" t="s">
        <v>2428</v>
      </c>
      <c r="CR69" s="156" t="s">
        <v>23</v>
      </c>
      <c r="CS69" s="78">
        <v>27.5</v>
      </c>
      <c r="CT69" s="78">
        <v>97.3</v>
      </c>
      <c r="CU69" s="128" t="s">
        <v>1862</v>
      </c>
      <c r="CV69" s="128">
        <v>49.2</v>
      </c>
      <c r="CW69" s="128" t="s">
        <v>445</v>
      </c>
      <c r="CX69" s="60" t="s">
        <v>1863</v>
      </c>
      <c r="CY69" s="60">
        <v>36.1</v>
      </c>
      <c r="CZ69" s="60" t="s">
        <v>1864</v>
      </c>
      <c r="DA69" s="129">
        <v>184524</v>
      </c>
      <c r="DB69" s="129">
        <v>49221</v>
      </c>
      <c r="DC69" s="70">
        <v>409.6</v>
      </c>
      <c r="DD69" s="86" t="s">
        <v>1865</v>
      </c>
      <c r="DE69" s="60" t="s">
        <v>1866</v>
      </c>
      <c r="DF69" s="60" t="s">
        <v>1867</v>
      </c>
      <c r="DG69" s="60" t="s">
        <v>1868</v>
      </c>
      <c r="DI69" s="70">
        <v>1213</v>
      </c>
      <c r="DJ69" s="70">
        <v>116</v>
      </c>
      <c r="DK69" s="130">
        <v>92.4</v>
      </c>
      <c r="DM69" s="80">
        <v>358</v>
      </c>
      <c r="DN69" s="80" t="s">
        <v>1869</v>
      </c>
      <c r="DO69" s="70">
        <v>511</v>
      </c>
      <c r="DP69" s="131">
        <v>97.4</v>
      </c>
      <c r="DQ69" s="132">
        <v>40</v>
      </c>
      <c r="DR69" s="60">
        <v>3.4</v>
      </c>
      <c r="DS69" s="78"/>
      <c r="DT69" s="90">
        <v>7</v>
      </c>
      <c r="DU69" s="60">
        <v>39</v>
      </c>
      <c r="DV69" s="70">
        <v>21</v>
      </c>
      <c r="DW69" s="70">
        <v>122.9</v>
      </c>
      <c r="DX69" s="78"/>
      <c r="DY69" s="70">
        <v>112.1</v>
      </c>
      <c r="DZ69" s="70">
        <v>104.8</v>
      </c>
      <c r="EA69" s="70">
        <v>106.7</v>
      </c>
      <c r="EB69" s="70">
        <v>106.8</v>
      </c>
      <c r="EC69" s="86" t="s">
        <v>1860</v>
      </c>
      <c r="ED69" s="60" t="s">
        <v>1861</v>
      </c>
      <c r="EE69" s="60">
        <v>100</v>
      </c>
      <c r="EF69" s="60">
        <v>97.3</v>
      </c>
      <c r="EG69" s="60">
        <v>99.7</v>
      </c>
      <c r="EH69" s="78"/>
      <c r="EI69" s="60">
        <v>34.799999999999997</v>
      </c>
      <c r="EJ69" s="89">
        <v>1500.8</v>
      </c>
      <c r="EK69" s="89">
        <v>297</v>
      </c>
      <c r="EL69" s="87">
        <v>669</v>
      </c>
      <c r="EM69" s="133">
        <v>17</v>
      </c>
      <c r="EN69" s="149"/>
      <c r="EO69" s="78"/>
      <c r="EP69" s="133" t="s">
        <v>1870</v>
      </c>
      <c r="EQ69" s="134">
        <v>630</v>
      </c>
      <c r="ER69" s="60">
        <v>11690</v>
      </c>
      <c r="ES69" s="60">
        <v>33903</v>
      </c>
      <c r="ET69" s="110" t="s">
        <v>2429</v>
      </c>
      <c r="EU69" s="110">
        <v>38</v>
      </c>
      <c r="EV69" s="78"/>
      <c r="EW69" s="135">
        <v>91.7</v>
      </c>
      <c r="EX69" s="136">
        <v>36.1</v>
      </c>
      <c r="EY69" s="137"/>
      <c r="EZ69" s="136">
        <v>15.4</v>
      </c>
      <c r="FA69" s="109">
        <v>20.6</v>
      </c>
      <c r="FB69" s="78"/>
      <c r="FC69" s="137"/>
      <c r="FD69" s="137"/>
      <c r="FE69" s="70">
        <v>220</v>
      </c>
      <c r="FF69" s="137"/>
      <c r="FG69" s="137"/>
      <c r="FH69" s="143">
        <v>281</v>
      </c>
      <c r="FI69" s="143">
        <v>758</v>
      </c>
      <c r="FJ69" s="137"/>
      <c r="FK69" s="70"/>
      <c r="FL69" s="90" t="s">
        <v>1871</v>
      </c>
      <c r="FM69" s="90" t="s">
        <v>738</v>
      </c>
      <c r="FN69" s="90" t="s">
        <v>1872</v>
      </c>
    </row>
    <row r="70" spans="1:170" ht="15.6">
      <c r="A70" s="2">
        <v>67</v>
      </c>
      <c r="B70" s="52" t="s">
        <v>339</v>
      </c>
      <c r="D70" s="63">
        <v>71.97</v>
      </c>
      <c r="E70" s="63">
        <v>26.98</v>
      </c>
      <c r="F70" s="60">
        <v>0</v>
      </c>
      <c r="G70" s="60">
        <v>0</v>
      </c>
      <c r="H70" s="112"/>
      <c r="I70" s="112"/>
      <c r="J70" s="60">
        <v>52</v>
      </c>
      <c r="K70" s="112"/>
      <c r="L70" s="112"/>
      <c r="M70" s="93" t="s">
        <v>426</v>
      </c>
      <c r="N70" s="76" t="s">
        <v>592</v>
      </c>
      <c r="O70" s="76" t="s">
        <v>489</v>
      </c>
      <c r="Q70" s="101">
        <v>9.9499999999999993</v>
      </c>
      <c r="R70" s="102">
        <v>85.16</v>
      </c>
      <c r="S70" s="101">
        <v>62.990000000000101</v>
      </c>
      <c r="T70" s="113">
        <v>53.47</v>
      </c>
      <c r="V70" s="66">
        <v>49800</v>
      </c>
      <c r="X70" s="114">
        <v>6.3</v>
      </c>
      <c r="Y70" s="114">
        <v>2115.3000000000002</v>
      </c>
      <c r="Z70" s="71">
        <v>1215</v>
      </c>
      <c r="AA70" s="80">
        <v>15.8</v>
      </c>
      <c r="AB70" s="80">
        <v>54.2</v>
      </c>
      <c r="AC70" s="58">
        <v>27.3</v>
      </c>
      <c r="AD70" s="84">
        <v>71.47</v>
      </c>
      <c r="AE70" s="84">
        <v>65.260000000000005</v>
      </c>
      <c r="AF70" s="60">
        <v>77.64</v>
      </c>
      <c r="AG70" s="60">
        <v>13171</v>
      </c>
      <c r="AH70" s="60">
        <f t="shared" si="0"/>
        <v>13.170999999999999</v>
      </c>
      <c r="AI70" s="71">
        <v>639.54</v>
      </c>
      <c r="AJ70" s="70">
        <v>1.0329999999999999</v>
      </c>
      <c r="AK70" s="70">
        <v>767</v>
      </c>
      <c r="AL70" s="90">
        <v>23</v>
      </c>
      <c r="AM70" s="77">
        <v>133</v>
      </c>
      <c r="AO70" s="116">
        <v>59.5</v>
      </c>
      <c r="AP70" s="71">
        <v>42734</v>
      </c>
      <c r="AQ70" s="117" t="s">
        <v>2269</v>
      </c>
      <c r="AR70" s="100">
        <v>69.7</v>
      </c>
      <c r="AS70" s="81">
        <v>0.2</v>
      </c>
      <c r="AT70" s="118">
        <v>3</v>
      </c>
      <c r="AU70" s="106">
        <v>15.4</v>
      </c>
      <c r="AV70" s="71">
        <v>47</v>
      </c>
      <c r="AX70" s="119"/>
      <c r="AY70" s="112"/>
      <c r="AZ70" s="82" t="s">
        <v>1873</v>
      </c>
      <c r="BA70" s="79" t="s">
        <v>1874</v>
      </c>
      <c r="BB70" s="79" t="s">
        <v>1875</v>
      </c>
      <c r="BD70" s="78">
        <v>113.6</v>
      </c>
      <c r="BE70" s="120">
        <v>105.2</v>
      </c>
      <c r="BF70" s="64" t="s">
        <v>1876</v>
      </c>
      <c r="BG70" s="60">
        <v>113.2</v>
      </c>
      <c r="BH70" s="68">
        <v>49185</v>
      </c>
      <c r="BI70" s="121"/>
      <c r="BJ70" s="112"/>
      <c r="BK70" s="122">
        <v>10.4</v>
      </c>
      <c r="BL70" s="123">
        <v>30932</v>
      </c>
      <c r="BM70" s="115" t="s">
        <v>1877</v>
      </c>
      <c r="BN70" s="115" t="s">
        <v>1878</v>
      </c>
      <c r="BP70" s="115">
        <v>0.53200000000000003</v>
      </c>
      <c r="BQ70" s="84">
        <v>0.20599999999999999</v>
      </c>
      <c r="BR70" s="85" t="s">
        <v>1879</v>
      </c>
      <c r="BS70" s="85" t="s">
        <v>1880</v>
      </c>
      <c r="BT70" s="115">
        <v>33.299999999999997</v>
      </c>
      <c r="BU70" s="124">
        <v>52.9</v>
      </c>
      <c r="BV70" s="125">
        <v>1064</v>
      </c>
      <c r="BW70" s="80">
        <v>182</v>
      </c>
      <c r="BX70" s="80">
        <v>18</v>
      </c>
      <c r="BY70" s="78">
        <v>78.3</v>
      </c>
      <c r="BZ70" s="115">
        <v>82.63</v>
      </c>
      <c r="CA70" s="115">
        <v>61.99</v>
      </c>
      <c r="CB70" s="112"/>
      <c r="CC70" s="112"/>
      <c r="CE70" s="70">
        <v>96.3</v>
      </c>
      <c r="CF70" s="70">
        <v>6.5</v>
      </c>
      <c r="CG70" s="69">
        <v>260</v>
      </c>
      <c r="CH70" s="69">
        <v>244</v>
      </c>
      <c r="CI70" s="69">
        <v>4</v>
      </c>
      <c r="CJ70" s="126">
        <v>106.74</v>
      </c>
      <c r="CK70" s="60">
        <v>106.7</v>
      </c>
      <c r="CL70" s="127">
        <v>54.07</v>
      </c>
      <c r="CM70" s="127">
        <v>638.6</v>
      </c>
      <c r="CN70" s="107">
        <v>4.5</v>
      </c>
      <c r="CO70" s="58">
        <v>667.6</v>
      </c>
      <c r="CQ70" s="108" t="s">
        <v>2430</v>
      </c>
      <c r="CR70" s="78">
        <v>2.2000000000000002</v>
      </c>
      <c r="CS70" s="78">
        <v>412.8</v>
      </c>
      <c r="CT70" s="78">
        <v>100.7</v>
      </c>
      <c r="CU70" s="128" t="s">
        <v>1881</v>
      </c>
      <c r="CV70" s="128">
        <v>128.9</v>
      </c>
      <c r="CW70" s="128" t="s">
        <v>1882</v>
      </c>
      <c r="CX70" s="60" t="s">
        <v>1883</v>
      </c>
      <c r="CY70" s="60">
        <v>27.7</v>
      </c>
      <c r="CZ70" s="60" t="s">
        <v>1884</v>
      </c>
      <c r="DA70" s="129">
        <v>268792</v>
      </c>
      <c r="DB70" s="129">
        <v>46003</v>
      </c>
      <c r="DC70" s="70">
        <v>820.9</v>
      </c>
      <c r="DD70" s="86" t="s">
        <v>1885</v>
      </c>
      <c r="DE70" s="60" t="s">
        <v>1886</v>
      </c>
      <c r="DF70" s="60" t="s">
        <v>1887</v>
      </c>
      <c r="DG70" s="60" t="s">
        <v>1888</v>
      </c>
      <c r="DI70" s="70">
        <v>337</v>
      </c>
      <c r="DJ70" s="70">
        <v>107</v>
      </c>
      <c r="DK70" s="130">
        <v>108.1</v>
      </c>
      <c r="DM70" s="80">
        <v>169</v>
      </c>
      <c r="DN70" s="80">
        <v>813</v>
      </c>
      <c r="DO70" s="70">
        <v>935</v>
      </c>
      <c r="DP70" s="131">
        <v>98.8</v>
      </c>
      <c r="DQ70" s="132">
        <v>12.6</v>
      </c>
      <c r="DR70" s="60">
        <v>11.7</v>
      </c>
      <c r="DS70" s="78"/>
      <c r="DT70" s="90">
        <v>76</v>
      </c>
      <c r="DU70" s="60">
        <v>137</v>
      </c>
      <c r="DV70" s="70">
        <v>49</v>
      </c>
      <c r="DW70" s="70">
        <v>127.6</v>
      </c>
      <c r="DX70" s="78"/>
      <c r="DY70" s="70">
        <v>109</v>
      </c>
      <c r="DZ70" s="70">
        <v>103.8</v>
      </c>
      <c r="EA70" s="70">
        <v>107</v>
      </c>
      <c r="EB70" s="70">
        <v>105</v>
      </c>
      <c r="EC70" s="86" t="s">
        <v>1879</v>
      </c>
      <c r="ED70" s="60" t="s">
        <v>1880</v>
      </c>
      <c r="EE70" s="60">
        <v>101.4</v>
      </c>
      <c r="EF70" s="60">
        <v>100.7</v>
      </c>
      <c r="EG70" s="60">
        <v>106.1</v>
      </c>
      <c r="EH70" s="78"/>
      <c r="EI70" s="60">
        <v>35.1</v>
      </c>
      <c r="EJ70" s="89">
        <v>2334.6</v>
      </c>
      <c r="EK70" s="89">
        <v>74</v>
      </c>
      <c r="EL70" s="141">
        <v>2210</v>
      </c>
      <c r="EM70" s="133">
        <v>14.6</v>
      </c>
      <c r="EN70" s="142" t="s">
        <v>1889</v>
      </c>
      <c r="EO70" s="78"/>
      <c r="EP70" s="133" t="s">
        <v>1890</v>
      </c>
      <c r="EQ70" s="134">
        <v>7758</v>
      </c>
      <c r="ER70" s="60">
        <v>31151</v>
      </c>
      <c r="ES70" s="60">
        <v>129448</v>
      </c>
      <c r="ET70" s="110" t="s">
        <v>2431</v>
      </c>
      <c r="EU70" s="110" t="s">
        <v>2432</v>
      </c>
      <c r="EV70" s="78"/>
      <c r="EW70" s="135">
        <v>80.400000000000006</v>
      </c>
      <c r="EX70" s="136">
        <v>36.1</v>
      </c>
      <c r="EY70" s="137"/>
      <c r="EZ70" s="136">
        <v>2073.1999999999998</v>
      </c>
      <c r="FA70" s="109">
        <v>27.1</v>
      </c>
      <c r="FB70" s="78"/>
      <c r="FC70" s="137"/>
      <c r="FD70" s="137"/>
      <c r="FE70" s="70">
        <v>661</v>
      </c>
      <c r="FF70" s="137"/>
      <c r="FG70" s="137"/>
      <c r="FH70" s="70">
        <v>377</v>
      </c>
      <c r="FI70" s="70">
        <v>1339</v>
      </c>
      <c r="FJ70" s="137"/>
      <c r="FK70" s="70"/>
      <c r="FL70" s="90" t="s">
        <v>1891</v>
      </c>
      <c r="FM70" s="90" t="s">
        <v>1892</v>
      </c>
      <c r="FN70" s="90">
        <v>-952</v>
      </c>
    </row>
    <row r="71" spans="1:170" ht="15.6">
      <c r="A71" s="2">
        <v>26</v>
      </c>
      <c r="B71" s="52" t="s">
        <v>340</v>
      </c>
      <c r="D71" s="63">
        <v>84.85</v>
      </c>
      <c r="E71" s="63">
        <v>13.88</v>
      </c>
      <c r="F71" s="60">
        <v>0</v>
      </c>
      <c r="G71" s="60">
        <v>0</v>
      </c>
      <c r="H71" s="112"/>
      <c r="I71" s="112"/>
      <c r="J71" s="60">
        <v>12</v>
      </c>
      <c r="K71" s="112"/>
      <c r="L71" s="112"/>
      <c r="M71" s="93" t="s">
        <v>1893</v>
      </c>
      <c r="N71" s="95" t="s">
        <v>592</v>
      </c>
      <c r="O71" s="95" t="s">
        <v>489</v>
      </c>
      <c r="Q71" s="101">
        <v>9.9499999999999993</v>
      </c>
      <c r="R71" s="102">
        <v>85.16</v>
      </c>
      <c r="S71" s="101">
        <v>62.990000000000101</v>
      </c>
      <c r="T71" s="113">
        <v>53.81</v>
      </c>
      <c r="V71" s="66">
        <v>66200</v>
      </c>
      <c r="X71" s="114">
        <v>5.4</v>
      </c>
      <c r="Y71" s="114">
        <v>2115.3000000000002</v>
      </c>
      <c r="Z71" s="71">
        <v>1122</v>
      </c>
      <c r="AA71" s="80">
        <v>18.3</v>
      </c>
      <c r="AB71" s="80">
        <v>56.9</v>
      </c>
      <c r="AC71" s="58">
        <v>22.5</v>
      </c>
      <c r="AD71" s="84">
        <v>74.86</v>
      </c>
      <c r="AE71" s="84">
        <v>70.2</v>
      </c>
      <c r="AF71" s="60">
        <v>79.5</v>
      </c>
      <c r="AG71" s="60">
        <v>31111</v>
      </c>
      <c r="AH71" s="60">
        <f t="shared" si="0"/>
        <v>31.111000000000001</v>
      </c>
      <c r="AI71" s="71">
        <v>362.52</v>
      </c>
      <c r="AJ71" s="70">
        <v>1.2969999999999999</v>
      </c>
      <c r="AK71" s="70">
        <v>812</v>
      </c>
      <c r="AL71" s="146" t="s">
        <v>23</v>
      </c>
      <c r="AM71" s="147" t="s">
        <v>23</v>
      </c>
      <c r="AO71" s="116">
        <v>57.3</v>
      </c>
      <c r="AP71" s="71">
        <v>32930</v>
      </c>
      <c r="AQ71" s="117" t="s">
        <v>2433</v>
      </c>
      <c r="AR71" s="100">
        <v>60.6</v>
      </c>
      <c r="AS71" s="81">
        <v>0.2</v>
      </c>
      <c r="AT71" s="118">
        <v>3.9</v>
      </c>
      <c r="AU71" s="106">
        <v>21.1</v>
      </c>
      <c r="AV71" s="71">
        <v>35.1</v>
      </c>
      <c r="AX71" s="119"/>
      <c r="AY71" s="112"/>
      <c r="AZ71" s="82" t="s">
        <v>1894</v>
      </c>
      <c r="BA71" s="79" t="s">
        <v>1895</v>
      </c>
      <c r="BB71" s="79" t="s">
        <v>1896</v>
      </c>
      <c r="BD71" s="78">
        <v>101.7</v>
      </c>
      <c r="BE71" s="120">
        <v>102.6</v>
      </c>
      <c r="BF71" s="64" t="s">
        <v>1897</v>
      </c>
      <c r="BG71" s="60">
        <v>106</v>
      </c>
      <c r="BH71" s="68">
        <v>47054</v>
      </c>
      <c r="BI71" s="121"/>
      <c r="BJ71" s="112"/>
      <c r="BK71" s="122">
        <v>11.3</v>
      </c>
      <c r="BL71" s="123">
        <v>30648</v>
      </c>
      <c r="BM71" s="115" t="s">
        <v>1898</v>
      </c>
      <c r="BN71" s="115" t="s">
        <v>1899</v>
      </c>
      <c r="BP71" s="115">
        <v>1.792</v>
      </c>
      <c r="BQ71" s="84">
        <v>0.626</v>
      </c>
      <c r="BR71" s="85" t="s">
        <v>1900</v>
      </c>
      <c r="BS71" s="85" t="s">
        <v>1901</v>
      </c>
      <c r="BT71" s="115">
        <v>25.9</v>
      </c>
      <c r="BU71" s="124">
        <v>35.1</v>
      </c>
      <c r="BV71" s="125">
        <v>1064</v>
      </c>
      <c r="BW71" s="80">
        <v>573</v>
      </c>
      <c r="BX71" s="80">
        <v>70</v>
      </c>
      <c r="BY71" s="78">
        <v>95.7</v>
      </c>
      <c r="BZ71" s="115">
        <v>96.58</v>
      </c>
      <c r="CA71" s="115">
        <v>88.23</v>
      </c>
      <c r="CB71" s="112"/>
      <c r="CC71" s="112"/>
      <c r="CE71" s="70">
        <v>324.5</v>
      </c>
      <c r="CF71" s="70">
        <v>16.8</v>
      </c>
      <c r="CG71" s="69">
        <v>230</v>
      </c>
      <c r="CH71" s="69">
        <v>203</v>
      </c>
      <c r="CI71" s="69">
        <v>12.1</v>
      </c>
      <c r="CJ71" s="126">
        <v>123.55</v>
      </c>
      <c r="CK71" s="60">
        <v>123.6</v>
      </c>
      <c r="CL71" s="127">
        <v>44.8</v>
      </c>
      <c r="CM71" s="127">
        <v>387.9</v>
      </c>
      <c r="CN71" s="107">
        <v>4.3</v>
      </c>
      <c r="CO71" s="58">
        <v>846.3</v>
      </c>
      <c r="CQ71" s="108" t="s">
        <v>2434</v>
      </c>
      <c r="CR71" s="78">
        <v>28.8</v>
      </c>
      <c r="CS71" s="78">
        <v>505.9</v>
      </c>
      <c r="CT71" s="78">
        <v>100.8</v>
      </c>
      <c r="CU71" s="128" t="s">
        <v>1902</v>
      </c>
      <c r="CV71" s="128">
        <v>106.2</v>
      </c>
      <c r="CW71" s="128" t="s">
        <v>1903</v>
      </c>
      <c r="CX71" s="60" t="s">
        <v>1904</v>
      </c>
      <c r="CY71" s="60">
        <v>22.7</v>
      </c>
      <c r="CZ71" s="60" t="s">
        <v>1905</v>
      </c>
      <c r="DA71" s="129">
        <v>257068</v>
      </c>
      <c r="DB71" s="129">
        <v>233076</v>
      </c>
      <c r="DC71" s="70">
        <v>1167.7</v>
      </c>
      <c r="DD71" s="86" t="s">
        <v>1906</v>
      </c>
      <c r="DE71" s="60" t="s">
        <v>1907</v>
      </c>
      <c r="DF71" s="60" t="s">
        <v>1908</v>
      </c>
      <c r="DG71" s="60" t="s">
        <v>1909</v>
      </c>
      <c r="DI71" s="70">
        <v>281</v>
      </c>
      <c r="DJ71" s="70">
        <v>70</v>
      </c>
      <c r="DK71" s="130">
        <v>86.6</v>
      </c>
      <c r="DM71" s="80">
        <v>117</v>
      </c>
      <c r="DN71" s="80">
        <v>425</v>
      </c>
      <c r="DO71" s="70">
        <v>1245</v>
      </c>
      <c r="DP71" s="87">
        <v>96.2</v>
      </c>
      <c r="DQ71" s="132">
        <v>102.8</v>
      </c>
      <c r="DR71" s="60">
        <v>20</v>
      </c>
      <c r="DS71" s="78"/>
      <c r="DT71" s="90">
        <v>99</v>
      </c>
      <c r="DU71" s="60" t="s">
        <v>1910</v>
      </c>
      <c r="DV71" s="70">
        <v>116</v>
      </c>
      <c r="DW71" s="70">
        <v>96.7</v>
      </c>
      <c r="DX71" s="78"/>
      <c r="DY71" s="70">
        <v>110</v>
      </c>
      <c r="DZ71" s="70">
        <v>107.5</v>
      </c>
      <c r="EA71" s="70">
        <v>107.8</v>
      </c>
      <c r="EB71" s="70">
        <v>105.7</v>
      </c>
      <c r="EC71" s="86" t="s">
        <v>1900</v>
      </c>
      <c r="ED71" s="60" t="s">
        <v>1901</v>
      </c>
      <c r="EE71" s="60">
        <v>114</v>
      </c>
      <c r="EF71" s="60">
        <v>100.8</v>
      </c>
      <c r="EG71" s="60">
        <v>104.4</v>
      </c>
      <c r="EH71" s="78"/>
      <c r="EI71" s="60">
        <v>29.6</v>
      </c>
      <c r="EJ71" s="89">
        <v>4217.1000000000004</v>
      </c>
      <c r="EK71" s="89">
        <v>1003</v>
      </c>
      <c r="EL71" s="87">
        <v>1673</v>
      </c>
      <c r="EM71" s="133">
        <v>9.8000000000000007</v>
      </c>
      <c r="EN71" s="133" t="s">
        <v>1911</v>
      </c>
      <c r="EO71" s="78"/>
      <c r="EP71" s="133" t="s">
        <v>1912</v>
      </c>
      <c r="EQ71" s="134">
        <v>15076</v>
      </c>
      <c r="ER71" s="60">
        <v>113035</v>
      </c>
      <c r="ES71" s="60">
        <v>373977</v>
      </c>
      <c r="ET71" s="110" t="s">
        <v>2435</v>
      </c>
      <c r="EU71" s="110" t="s">
        <v>2436</v>
      </c>
      <c r="EV71" s="78"/>
      <c r="EW71" s="135">
        <v>81.5</v>
      </c>
      <c r="EX71" s="136">
        <v>46.2</v>
      </c>
      <c r="EY71" s="137"/>
      <c r="EZ71" s="136">
        <v>1507.2</v>
      </c>
      <c r="FA71" s="109">
        <v>21.1</v>
      </c>
      <c r="FB71" s="78"/>
      <c r="FC71" s="137"/>
      <c r="FD71" s="137"/>
      <c r="FE71" s="70">
        <v>1970</v>
      </c>
      <c r="FF71" s="137"/>
      <c r="FG71" s="137"/>
      <c r="FH71" s="70">
        <v>1878</v>
      </c>
      <c r="FI71" s="70">
        <v>1655</v>
      </c>
      <c r="FJ71" s="137"/>
      <c r="FK71" s="70"/>
      <c r="FL71" s="90" t="s">
        <v>1913</v>
      </c>
      <c r="FM71" s="90" t="s">
        <v>1914</v>
      </c>
      <c r="FN71" s="90" t="s">
        <v>386</v>
      </c>
    </row>
    <row r="72" spans="1:170" ht="15.6">
      <c r="A72" s="2">
        <v>68</v>
      </c>
      <c r="B72" s="52" t="s">
        <v>341</v>
      </c>
      <c r="D72" s="63">
        <v>87.41</v>
      </c>
      <c r="E72" s="63">
        <v>11.99</v>
      </c>
      <c r="F72" s="60">
        <v>0</v>
      </c>
      <c r="G72" s="60">
        <v>0</v>
      </c>
      <c r="H72" s="112"/>
      <c r="I72" s="112"/>
      <c r="J72" s="60">
        <v>50</v>
      </c>
      <c r="K72" s="112"/>
      <c r="L72" s="112"/>
      <c r="M72" s="93" t="s">
        <v>428</v>
      </c>
      <c r="N72" s="95" t="s">
        <v>531</v>
      </c>
      <c r="O72" s="95" t="s">
        <v>489</v>
      </c>
      <c r="Q72" s="101">
        <v>9.9499999999999993</v>
      </c>
      <c r="R72" s="102">
        <v>85.16</v>
      </c>
      <c r="S72" s="101">
        <v>62.990000000000101</v>
      </c>
      <c r="T72" s="113">
        <v>53.08</v>
      </c>
      <c r="V72" s="66">
        <v>34500</v>
      </c>
      <c r="X72" s="114">
        <v>5.7</v>
      </c>
      <c r="Y72" s="114">
        <v>2115.3000000000002</v>
      </c>
      <c r="Z72" s="71">
        <v>1170</v>
      </c>
      <c r="AA72" s="80">
        <v>14.2</v>
      </c>
      <c r="AB72" s="80">
        <v>53.7</v>
      </c>
      <c r="AC72" s="58">
        <v>29.2</v>
      </c>
      <c r="AD72" s="84">
        <v>72.87</v>
      </c>
      <c r="AE72" s="84">
        <v>67.12</v>
      </c>
      <c r="AF72" s="60">
        <v>78.790000000000006</v>
      </c>
      <c r="AG72" s="60">
        <v>14789</v>
      </c>
      <c r="AH72" s="60">
        <f t="shared" si="0"/>
        <v>14.789</v>
      </c>
      <c r="AI72" s="71">
        <v>499.12999999999994</v>
      </c>
      <c r="AJ72" s="70">
        <v>1.2070000000000001</v>
      </c>
      <c r="AK72" s="70">
        <v>674</v>
      </c>
      <c r="AL72" s="146" t="s">
        <v>23</v>
      </c>
      <c r="AM72" s="147" t="s">
        <v>23</v>
      </c>
      <c r="AO72" s="116">
        <v>56.7</v>
      </c>
      <c r="AP72" s="71">
        <v>39229</v>
      </c>
      <c r="AQ72" s="117" t="s">
        <v>2242</v>
      </c>
      <c r="AR72" s="100">
        <v>77.400000000000006</v>
      </c>
      <c r="AS72" s="81">
        <v>0.2</v>
      </c>
      <c r="AT72" s="118">
        <v>2.6</v>
      </c>
      <c r="AU72" s="106">
        <v>27.7</v>
      </c>
      <c r="AV72" s="71">
        <v>47.4</v>
      </c>
      <c r="AX72" s="119"/>
      <c r="AY72" s="112"/>
      <c r="AZ72" s="82" t="s">
        <v>1915</v>
      </c>
      <c r="BA72" s="79" t="s">
        <v>1916</v>
      </c>
      <c r="BB72" s="79" t="s">
        <v>1917</v>
      </c>
      <c r="BD72" s="78">
        <v>105</v>
      </c>
      <c r="BE72" s="120">
        <v>101.5</v>
      </c>
      <c r="BF72" s="64" t="s">
        <v>476</v>
      </c>
      <c r="BG72" s="60">
        <v>109.5</v>
      </c>
      <c r="BH72" s="68">
        <v>45742</v>
      </c>
      <c r="BI72" s="121"/>
      <c r="BJ72" s="112"/>
      <c r="BK72" s="122">
        <v>9.8000000000000007</v>
      </c>
      <c r="BL72" s="123">
        <v>29757</v>
      </c>
      <c r="BM72" s="115" t="s">
        <v>1918</v>
      </c>
      <c r="BN72" s="115" t="s">
        <v>1919</v>
      </c>
      <c r="BP72" s="115">
        <v>0.48099999999999998</v>
      </c>
      <c r="BQ72" s="84">
        <v>0.183</v>
      </c>
      <c r="BR72" s="85" t="s">
        <v>1920</v>
      </c>
      <c r="BS72" s="85" t="s">
        <v>1921</v>
      </c>
      <c r="BT72" s="115">
        <v>34.799999999999997</v>
      </c>
      <c r="BU72" s="124">
        <v>40.799999999999997</v>
      </c>
      <c r="BV72" s="125">
        <v>1064</v>
      </c>
      <c r="BW72" s="80">
        <v>277</v>
      </c>
      <c r="BX72" s="80">
        <v>7</v>
      </c>
      <c r="BY72" s="78">
        <v>84.5</v>
      </c>
      <c r="BZ72" s="115">
        <v>93.92</v>
      </c>
      <c r="CA72" s="115">
        <v>77.16</v>
      </c>
      <c r="CB72" s="112"/>
      <c r="CC72" s="112"/>
      <c r="CE72" s="70">
        <v>98.4</v>
      </c>
      <c r="CF72" s="70">
        <v>7.2</v>
      </c>
      <c r="CG72" s="69">
        <v>323</v>
      </c>
      <c r="CH72" s="69">
        <v>315</v>
      </c>
      <c r="CI72" s="69">
        <v>5.6</v>
      </c>
      <c r="CJ72" s="126">
        <v>128.69</v>
      </c>
      <c r="CK72" s="60">
        <v>128.69999999999999</v>
      </c>
      <c r="CL72" s="127">
        <v>46.09</v>
      </c>
      <c r="CM72" s="127">
        <v>540.6</v>
      </c>
      <c r="CN72" s="107">
        <v>3.9</v>
      </c>
      <c r="CO72" s="58">
        <v>667.1</v>
      </c>
      <c r="CQ72" s="108" t="s">
        <v>2437</v>
      </c>
      <c r="CR72" s="78">
        <v>0.4</v>
      </c>
      <c r="CS72" s="78">
        <v>331</v>
      </c>
      <c r="CT72" s="78">
        <v>111.1</v>
      </c>
      <c r="CU72" s="128" t="s">
        <v>1922</v>
      </c>
      <c r="CV72" s="128">
        <v>104.6</v>
      </c>
      <c r="CW72" s="128" t="s">
        <v>1923</v>
      </c>
      <c r="CX72" s="60" t="s">
        <v>1924</v>
      </c>
      <c r="CY72" s="60">
        <v>18.899999999999999</v>
      </c>
      <c r="CZ72" s="60" t="s">
        <v>1925</v>
      </c>
      <c r="DA72" s="129">
        <v>263058</v>
      </c>
      <c r="DB72" s="129">
        <v>62638</v>
      </c>
      <c r="DC72" s="70">
        <v>529.9</v>
      </c>
      <c r="DD72" s="86" t="s">
        <v>1926</v>
      </c>
      <c r="DE72" s="60" t="s">
        <v>1927</v>
      </c>
      <c r="DF72" s="60" t="s">
        <v>1928</v>
      </c>
      <c r="DG72" s="60" t="s">
        <v>1929</v>
      </c>
      <c r="DI72" s="70">
        <v>299</v>
      </c>
      <c r="DJ72" s="70">
        <v>85</v>
      </c>
      <c r="DK72" s="130">
        <v>113.7</v>
      </c>
      <c r="DM72" s="80">
        <v>255</v>
      </c>
      <c r="DN72" s="80">
        <v>619</v>
      </c>
      <c r="DO72" s="70">
        <v>6857</v>
      </c>
      <c r="DP72" s="131">
        <v>99.6</v>
      </c>
      <c r="DQ72" s="132">
        <v>6.2</v>
      </c>
      <c r="DR72" s="60">
        <v>5.9</v>
      </c>
      <c r="DS72" s="78"/>
      <c r="DT72" s="90">
        <v>60</v>
      </c>
      <c r="DU72" s="60">
        <v>107</v>
      </c>
      <c r="DV72" s="70">
        <v>41</v>
      </c>
      <c r="DW72" s="70">
        <v>107.3</v>
      </c>
      <c r="DX72" s="78"/>
      <c r="DY72" s="70">
        <v>108.1</v>
      </c>
      <c r="DZ72" s="70">
        <v>103.2</v>
      </c>
      <c r="EA72" s="70">
        <v>108.6</v>
      </c>
      <c r="EB72" s="70">
        <v>105.9</v>
      </c>
      <c r="EC72" s="86" t="s">
        <v>1920</v>
      </c>
      <c r="ED72" s="60" t="s">
        <v>1921</v>
      </c>
      <c r="EE72" s="60">
        <v>108.2</v>
      </c>
      <c r="EF72" s="60">
        <v>111.1</v>
      </c>
      <c r="EG72" s="60">
        <v>97.1</v>
      </c>
      <c r="EH72" s="78"/>
      <c r="EI72" s="60">
        <v>28.8</v>
      </c>
      <c r="EJ72" s="89">
        <v>1008</v>
      </c>
      <c r="EK72" s="89">
        <v>152</v>
      </c>
      <c r="EL72" s="141">
        <v>1837</v>
      </c>
      <c r="EM72" s="133">
        <v>16.5</v>
      </c>
      <c r="EN72" s="142" t="s">
        <v>1930</v>
      </c>
      <c r="EO72" s="78"/>
      <c r="EP72" s="133" t="s">
        <v>1931</v>
      </c>
      <c r="EQ72" s="134">
        <v>3838</v>
      </c>
      <c r="ER72" s="60">
        <v>29001</v>
      </c>
      <c r="ES72" s="60">
        <v>124130</v>
      </c>
      <c r="ET72" s="110" t="s">
        <v>2438</v>
      </c>
      <c r="EU72" s="110" t="s">
        <v>2439</v>
      </c>
      <c r="EV72" s="78"/>
      <c r="EW72" s="135">
        <v>79.099999999999994</v>
      </c>
      <c r="EX72" s="136">
        <v>34.5</v>
      </c>
      <c r="EY72" s="137"/>
      <c r="EZ72" s="136">
        <v>1776.8</v>
      </c>
      <c r="FA72" s="109">
        <v>25.3</v>
      </c>
      <c r="FB72" s="78"/>
      <c r="FC72" s="137"/>
      <c r="FD72" s="137"/>
      <c r="FE72" s="70">
        <v>681</v>
      </c>
      <c r="FF72" s="137"/>
      <c r="FG72" s="137"/>
      <c r="FH72" s="70">
        <v>1249</v>
      </c>
      <c r="FI72" s="70">
        <v>2089</v>
      </c>
      <c r="FJ72" s="137"/>
      <c r="FK72" s="70"/>
      <c r="FL72" s="90" t="s">
        <v>1932</v>
      </c>
      <c r="FM72" s="90" t="s">
        <v>1933</v>
      </c>
      <c r="FN72" s="90" t="s">
        <v>1934</v>
      </c>
    </row>
    <row r="73" spans="1:170" ht="15.6">
      <c r="A73" s="2">
        <v>69</v>
      </c>
      <c r="B73" s="52" t="s">
        <v>342</v>
      </c>
      <c r="D73" s="63">
        <v>71.87</v>
      </c>
      <c r="E73" s="63">
        <v>27.21</v>
      </c>
      <c r="F73" s="60">
        <v>0</v>
      </c>
      <c r="G73" s="60">
        <v>0</v>
      </c>
      <c r="H73" s="112"/>
      <c r="I73" s="112"/>
      <c r="J73" s="60">
        <v>18</v>
      </c>
      <c r="K73" s="112"/>
      <c r="L73" s="112"/>
      <c r="M73" s="93" t="s">
        <v>424</v>
      </c>
      <c r="N73" s="95" t="s">
        <v>511</v>
      </c>
      <c r="O73" s="95" t="s">
        <v>489</v>
      </c>
      <c r="Q73" s="101">
        <v>9.9499999999999993</v>
      </c>
      <c r="R73" s="102">
        <v>85.16</v>
      </c>
      <c r="S73" s="101">
        <v>62.990000000000101</v>
      </c>
      <c r="T73" s="113">
        <v>51.65</v>
      </c>
      <c r="V73" s="66">
        <v>84200</v>
      </c>
      <c r="X73" s="114">
        <v>6.2</v>
      </c>
      <c r="Y73" s="114">
        <v>2115.3000000000002</v>
      </c>
      <c r="Z73" s="71">
        <v>1194</v>
      </c>
      <c r="AA73" s="80">
        <v>16.600000000000001</v>
      </c>
      <c r="AB73" s="80">
        <v>53.2</v>
      </c>
      <c r="AC73" s="58">
        <v>27.4</v>
      </c>
      <c r="AD73" s="84">
        <v>70.61</v>
      </c>
      <c r="AE73" s="84">
        <v>64.8</v>
      </c>
      <c r="AF73" s="60">
        <v>76.459999999999994</v>
      </c>
      <c r="AG73" s="60">
        <v>19539</v>
      </c>
      <c r="AH73" s="60">
        <f t="shared" si="0"/>
        <v>19.539000000000001</v>
      </c>
      <c r="AI73" s="71">
        <v>639.06500000000005</v>
      </c>
      <c r="AJ73" s="70">
        <v>1.278</v>
      </c>
      <c r="AK73" s="70">
        <v>733</v>
      </c>
      <c r="AL73" s="146" t="s">
        <v>23</v>
      </c>
      <c r="AM73" s="77">
        <v>14</v>
      </c>
      <c r="AO73" s="116">
        <v>59.4</v>
      </c>
      <c r="AP73" s="71">
        <v>41274</v>
      </c>
      <c r="AQ73" s="117" t="s">
        <v>2246</v>
      </c>
      <c r="AR73" s="100">
        <v>69.5</v>
      </c>
      <c r="AS73" s="81">
        <v>0.2</v>
      </c>
      <c r="AT73" s="118">
        <v>3.4</v>
      </c>
      <c r="AU73" s="106">
        <v>17.100000000000001</v>
      </c>
      <c r="AV73" s="71">
        <v>46.6</v>
      </c>
      <c r="AX73" s="119"/>
      <c r="AY73" s="112"/>
      <c r="AZ73" s="82" t="s">
        <v>1935</v>
      </c>
      <c r="BA73" s="79" t="s">
        <v>1936</v>
      </c>
      <c r="BB73" s="79" t="s">
        <v>1937</v>
      </c>
      <c r="BD73" s="78">
        <v>107.3</v>
      </c>
      <c r="BE73" s="120">
        <v>102.7</v>
      </c>
      <c r="BF73" s="64" t="s">
        <v>1938</v>
      </c>
      <c r="BG73" s="60">
        <v>112</v>
      </c>
      <c r="BH73" s="68">
        <v>53778</v>
      </c>
      <c r="BI73" s="121"/>
      <c r="BJ73" s="112"/>
      <c r="BK73" s="122">
        <v>8.6</v>
      </c>
      <c r="BL73" s="123">
        <v>32507</v>
      </c>
      <c r="BM73" s="115" t="s">
        <v>1939</v>
      </c>
      <c r="BN73" s="115" t="s">
        <v>1940</v>
      </c>
      <c r="BP73" s="115">
        <v>0.83399999999999996</v>
      </c>
      <c r="BQ73" s="84">
        <v>0.32200000000000001</v>
      </c>
      <c r="BR73" s="85" t="s">
        <v>1941</v>
      </c>
      <c r="BS73" s="85" t="s">
        <v>1942</v>
      </c>
      <c r="BT73" s="115">
        <v>36.5</v>
      </c>
      <c r="BU73" s="124">
        <v>37.799999999999997</v>
      </c>
      <c r="BV73" s="125">
        <v>1064</v>
      </c>
      <c r="BW73" s="80">
        <v>356</v>
      </c>
      <c r="BX73" s="80">
        <v>3</v>
      </c>
      <c r="BY73" s="78">
        <v>67.8</v>
      </c>
      <c r="BZ73" s="115">
        <v>68.61</v>
      </c>
      <c r="CA73" s="115">
        <v>52.88</v>
      </c>
      <c r="CB73" s="112"/>
      <c r="CC73" s="112"/>
      <c r="CE73" s="70">
        <v>142.1</v>
      </c>
      <c r="CF73" s="70">
        <v>8.9</v>
      </c>
      <c r="CG73" s="69">
        <v>186</v>
      </c>
      <c r="CH73" s="69">
        <v>177</v>
      </c>
      <c r="CI73" s="69">
        <v>4.3</v>
      </c>
      <c r="CJ73" s="126">
        <v>108.04</v>
      </c>
      <c r="CK73" s="60">
        <v>108</v>
      </c>
      <c r="CL73" s="127">
        <v>49.19</v>
      </c>
      <c r="CM73" s="127">
        <v>661.2</v>
      </c>
      <c r="CN73" s="107">
        <v>5.7</v>
      </c>
      <c r="CO73" s="58">
        <v>854.1</v>
      </c>
      <c r="CQ73" s="108" t="s">
        <v>2440</v>
      </c>
      <c r="CR73" s="78">
        <v>3.4</v>
      </c>
      <c r="CS73" s="78">
        <v>532.1</v>
      </c>
      <c r="CT73" s="78">
        <v>116.5</v>
      </c>
      <c r="CU73" s="128" t="s">
        <v>1943</v>
      </c>
      <c r="CV73" s="128">
        <v>145.4</v>
      </c>
      <c r="CW73" s="128" t="s">
        <v>1944</v>
      </c>
      <c r="CX73" s="60" t="s">
        <v>1945</v>
      </c>
      <c r="CY73" s="60">
        <v>34.1</v>
      </c>
      <c r="CZ73" s="112" t="s">
        <v>361</v>
      </c>
      <c r="DA73" s="129">
        <v>292263</v>
      </c>
      <c r="DB73" s="129">
        <v>80965</v>
      </c>
      <c r="DC73" s="70">
        <v>1274.5999999999999</v>
      </c>
      <c r="DD73" s="86" t="s">
        <v>1946</v>
      </c>
      <c r="DE73" s="60" t="s">
        <v>1947</v>
      </c>
      <c r="DF73" s="60" t="s">
        <v>1948</v>
      </c>
      <c r="DG73" s="60" t="s">
        <v>1949</v>
      </c>
      <c r="DI73" s="70">
        <v>258</v>
      </c>
      <c r="DJ73" s="70">
        <v>87</v>
      </c>
      <c r="DK73" s="130">
        <v>120.2</v>
      </c>
      <c r="DM73" s="80">
        <v>350</v>
      </c>
      <c r="DN73" s="80">
        <v>746</v>
      </c>
      <c r="DO73" s="70">
        <v>6456</v>
      </c>
      <c r="DP73" s="131">
        <v>100</v>
      </c>
      <c r="DQ73" s="132">
        <v>26.8</v>
      </c>
      <c r="DR73" s="60">
        <v>25.2</v>
      </c>
      <c r="DS73" s="78"/>
      <c r="DT73" s="90">
        <v>108</v>
      </c>
      <c r="DU73" s="60">
        <v>218</v>
      </c>
      <c r="DV73" s="70">
        <v>69</v>
      </c>
      <c r="DW73" s="70">
        <v>89.3</v>
      </c>
      <c r="DX73" s="78"/>
      <c r="DY73" s="70">
        <v>107.4</v>
      </c>
      <c r="DZ73" s="70">
        <v>105.3</v>
      </c>
      <c r="EA73" s="70">
        <v>106.9</v>
      </c>
      <c r="EB73" s="70">
        <v>103.9</v>
      </c>
      <c r="EC73" s="86" t="s">
        <v>1941</v>
      </c>
      <c r="ED73" s="60" t="s">
        <v>1942</v>
      </c>
      <c r="EE73" s="60">
        <v>112.7</v>
      </c>
      <c r="EF73" s="60">
        <v>116.5</v>
      </c>
      <c r="EG73" s="60">
        <v>94.1</v>
      </c>
      <c r="EH73" s="78"/>
      <c r="EI73" s="60">
        <v>33.6</v>
      </c>
      <c r="EJ73" s="89">
        <v>4809.6000000000004</v>
      </c>
      <c r="EK73" s="89">
        <v>235</v>
      </c>
      <c r="EL73" s="141">
        <v>3151</v>
      </c>
      <c r="EM73" s="133">
        <v>21.2</v>
      </c>
      <c r="EN73" s="142" t="s">
        <v>1950</v>
      </c>
      <c r="EO73" s="78"/>
      <c r="EP73" s="133" t="s">
        <v>1951</v>
      </c>
      <c r="EQ73" s="134">
        <v>9977</v>
      </c>
      <c r="ER73" s="60">
        <v>52921</v>
      </c>
      <c r="ES73" s="60">
        <v>199668</v>
      </c>
      <c r="ET73" s="110" t="s">
        <v>2441</v>
      </c>
      <c r="EU73" s="110" t="s">
        <v>2442</v>
      </c>
      <c r="EV73" s="78"/>
      <c r="EW73" s="135">
        <v>75.3</v>
      </c>
      <c r="EX73" s="136">
        <v>37.1</v>
      </c>
      <c r="EY73" s="137"/>
      <c r="EZ73" s="136">
        <v>1977.1</v>
      </c>
      <c r="FA73" s="109">
        <v>21.7</v>
      </c>
      <c r="FB73" s="78"/>
      <c r="FC73" s="137"/>
      <c r="FD73" s="137"/>
      <c r="FE73" s="70">
        <v>774</v>
      </c>
      <c r="FF73" s="137"/>
      <c r="FG73" s="137"/>
      <c r="FH73" s="70">
        <v>432</v>
      </c>
      <c r="FI73" s="70">
        <v>2214</v>
      </c>
      <c r="FJ73" s="137"/>
      <c r="FK73" s="70"/>
      <c r="FL73" s="90" t="s">
        <v>1952</v>
      </c>
      <c r="FM73" s="90" t="s">
        <v>1953</v>
      </c>
      <c r="FN73" s="90">
        <v>-233</v>
      </c>
    </row>
    <row r="74" spans="1:170" ht="15.6">
      <c r="A74" s="2">
        <v>70</v>
      </c>
      <c r="B74" s="52" t="s">
        <v>343</v>
      </c>
      <c r="D74" s="63">
        <v>64.86</v>
      </c>
      <c r="E74" s="63">
        <v>34.090000000000003</v>
      </c>
      <c r="F74" s="60">
        <v>0</v>
      </c>
      <c r="G74" s="60">
        <v>0</v>
      </c>
      <c r="H74" s="112"/>
      <c r="I74" s="112"/>
      <c r="J74" s="60">
        <v>39</v>
      </c>
      <c r="K74" s="112"/>
      <c r="L74" s="112"/>
      <c r="M74" s="93" t="s">
        <v>421</v>
      </c>
      <c r="N74" s="95" t="s">
        <v>489</v>
      </c>
      <c r="O74" s="95" t="s">
        <v>489</v>
      </c>
      <c r="Q74" s="101">
        <v>9.9499999999999993</v>
      </c>
      <c r="R74" s="102">
        <v>85.16</v>
      </c>
      <c r="S74" s="101">
        <v>62.990000000000101</v>
      </c>
      <c r="T74" s="113">
        <v>50.85</v>
      </c>
      <c r="V74" s="66">
        <v>314400</v>
      </c>
      <c r="X74" s="114">
        <v>6.5</v>
      </c>
      <c r="Y74" s="114">
        <v>2115.3000000000002</v>
      </c>
      <c r="Z74" s="71">
        <v>1145</v>
      </c>
      <c r="AA74" s="80">
        <v>16.8</v>
      </c>
      <c r="AB74" s="80">
        <v>56.5</v>
      </c>
      <c r="AC74" s="58">
        <v>22.4</v>
      </c>
      <c r="AD74" s="84">
        <v>73.05</v>
      </c>
      <c r="AE74" s="84">
        <v>67.36</v>
      </c>
      <c r="AF74" s="60">
        <v>78.77</v>
      </c>
      <c r="AG74" s="60">
        <v>11906</v>
      </c>
      <c r="AH74" s="60">
        <f t="shared" si="0"/>
        <v>11.906000000000001</v>
      </c>
      <c r="AI74" s="71">
        <v>485.73500000000001</v>
      </c>
      <c r="AJ74" s="115">
        <v>1.25644</v>
      </c>
      <c r="AK74" s="70">
        <v>782</v>
      </c>
      <c r="AL74" s="90">
        <v>3</v>
      </c>
      <c r="AM74" s="77">
        <v>112</v>
      </c>
      <c r="AO74" s="116">
        <v>58.1</v>
      </c>
      <c r="AP74" s="71">
        <v>41600</v>
      </c>
      <c r="AQ74" s="117" t="s">
        <v>2353</v>
      </c>
      <c r="AR74" s="100">
        <v>70.3</v>
      </c>
      <c r="AS74" s="81">
        <v>0.4</v>
      </c>
      <c r="AT74" s="118">
        <v>3.7</v>
      </c>
      <c r="AU74" s="106">
        <v>17</v>
      </c>
      <c r="AV74" s="71">
        <v>30.1</v>
      </c>
      <c r="AX74" s="119"/>
      <c r="AY74" s="112"/>
      <c r="AZ74" s="82" t="s">
        <v>1954</v>
      </c>
      <c r="BA74" s="79" t="s">
        <v>1955</v>
      </c>
      <c r="BB74" s="79" t="s">
        <v>1956</v>
      </c>
      <c r="BD74" s="78">
        <v>102.6</v>
      </c>
      <c r="BE74" s="120">
        <v>102.4</v>
      </c>
      <c r="BF74" s="64" t="s">
        <v>1957</v>
      </c>
      <c r="BG74" s="60">
        <v>110.6</v>
      </c>
      <c r="BH74" s="68">
        <v>67744</v>
      </c>
      <c r="BI74" s="121"/>
      <c r="BJ74" s="112"/>
      <c r="BK74" s="122">
        <v>11.3</v>
      </c>
      <c r="BL74" s="123">
        <v>32494</v>
      </c>
      <c r="BM74" s="115" t="s">
        <v>1958</v>
      </c>
      <c r="BN74" s="115" t="s">
        <v>1959</v>
      </c>
      <c r="BP74" s="115">
        <v>0.53500000000000003</v>
      </c>
      <c r="BQ74" s="84">
        <v>0.26100000000000001</v>
      </c>
      <c r="BR74" s="85" t="s">
        <v>1960</v>
      </c>
      <c r="BS74" s="85" t="s">
        <v>1961</v>
      </c>
      <c r="BT74" s="115">
        <v>27.6</v>
      </c>
      <c r="BU74" s="124">
        <v>33.5</v>
      </c>
      <c r="BV74" s="125">
        <v>1482</v>
      </c>
      <c r="BW74" s="80">
        <v>175</v>
      </c>
      <c r="BX74" s="80">
        <v>58</v>
      </c>
      <c r="BY74" s="78">
        <v>84.1</v>
      </c>
      <c r="BZ74" s="115">
        <v>83.64</v>
      </c>
      <c r="CA74" s="115">
        <v>66.56</v>
      </c>
      <c r="CB74" s="112"/>
      <c r="CC74" s="112"/>
      <c r="CE74" s="70">
        <v>129</v>
      </c>
      <c r="CF74" s="70">
        <v>8.1</v>
      </c>
      <c r="CG74" s="69">
        <v>623</v>
      </c>
      <c r="CH74" s="69">
        <v>623</v>
      </c>
      <c r="CI74" s="69">
        <v>8.8000000000000007</v>
      </c>
      <c r="CJ74" s="126">
        <v>94.53</v>
      </c>
      <c r="CK74" s="60">
        <v>94.5</v>
      </c>
      <c r="CL74" s="127">
        <v>63.91</v>
      </c>
      <c r="CM74" s="127">
        <v>503.8</v>
      </c>
      <c r="CN74" s="107">
        <v>4.7</v>
      </c>
      <c r="CO74" s="58">
        <v>774.7</v>
      </c>
      <c r="CQ74" s="108" t="s">
        <v>2443</v>
      </c>
      <c r="CR74" s="78">
        <v>234.5</v>
      </c>
      <c r="CS74" s="78">
        <v>328.3</v>
      </c>
      <c r="CT74" s="78">
        <v>94.6</v>
      </c>
      <c r="CU74" s="128" t="s">
        <v>1962</v>
      </c>
      <c r="CV74" s="128">
        <v>111</v>
      </c>
      <c r="CW74" s="128" t="s">
        <v>1963</v>
      </c>
      <c r="CX74" s="60" t="s">
        <v>1964</v>
      </c>
      <c r="CY74" s="71">
        <v>27.7</v>
      </c>
      <c r="CZ74" s="60" t="s">
        <v>1965</v>
      </c>
      <c r="DA74" s="129">
        <v>257944</v>
      </c>
      <c r="DB74" s="129">
        <v>63125</v>
      </c>
      <c r="DC74" s="70">
        <v>702.4</v>
      </c>
      <c r="DD74" s="86" t="s">
        <v>1966</v>
      </c>
      <c r="DE74" s="60" t="s">
        <v>1967</v>
      </c>
      <c r="DF74" s="60" t="s">
        <v>1968</v>
      </c>
      <c r="DG74" s="60" t="s">
        <v>388</v>
      </c>
      <c r="DI74" s="70">
        <v>26</v>
      </c>
      <c r="DJ74" s="70">
        <v>91</v>
      </c>
      <c r="DK74" s="130">
        <v>39.1</v>
      </c>
      <c r="DM74" s="80">
        <v>278</v>
      </c>
      <c r="DN74" s="80">
        <v>683</v>
      </c>
      <c r="DO74" s="70">
        <v>1549</v>
      </c>
      <c r="DP74" s="131">
        <v>97.4</v>
      </c>
      <c r="DQ74" s="132">
        <v>11</v>
      </c>
      <c r="DR74" s="60">
        <v>38.700000000000003</v>
      </c>
      <c r="DS74" s="78"/>
      <c r="DT74" s="90">
        <v>157</v>
      </c>
      <c r="DU74" s="60">
        <v>331</v>
      </c>
      <c r="DV74" s="70">
        <v>140</v>
      </c>
      <c r="DW74" s="70">
        <v>105.9</v>
      </c>
      <c r="DX74" s="78"/>
      <c r="DY74" s="70">
        <v>108.5</v>
      </c>
      <c r="DZ74" s="70">
        <v>105.5</v>
      </c>
      <c r="EA74" s="70">
        <v>109</v>
      </c>
      <c r="EB74" s="70">
        <v>105.2</v>
      </c>
      <c r="EC74" s="86" t="s">
        <v>1960</v>
      </c>
      <c r="ED74" s="60" t="s">
        <v>1961</v>
      </c>
      <c r="EE74" s="60">
        <v>179.6</v>
      </c>
      <c r="EF74" s="60">
        <v>94.6</v>
      </c>
      <c r="EG74" s="60">
        <v>97.1</v>
      </c>
      <c r="EH74" s="78"/>
      <c r="EI74" s="60">
        <v>51.9</v>
      </c>
      <c r="EJ74" s="89">
        <v>21137.3</v>
      </c>
      <c r="EK74" s="89">
        <v>1922</v>
      </c>
      <c r="EL74" s="87">
        <v>1931</v>
      </c>
      <c r="EM74" s="133">
        <v>25.8</v>
      </c>
      <c r="EN74" s="133" t="s">
        <v>1969</v>
      </c>
      <c r="EO74" s="78"/>
      <c r="EP74" s="133" t="s">
        <v>1970</v>
      </c>
      <c r="EQ74" s="134">
        <v>10631</v>
      </c>
      <c r="ER74" s="60">
        <v>49244</v>
      </c>
      <c r="ES74" s="60">
        <v>183505</v>
      </c>
      <c r="ET74" s="110" t="s">
        <v>2444</v>
      </c>
      <c r="EU74" s="110" t="s">
        <v>2445</v>
      </c>
      <c r="EV74" s="78"/>
      <c r="EW74" s="135">
        <v>84.2</v>
      </c>
      <c r="EX74" s="136">
        <v>48.2</v>
      </c>
      <c r="EY74" s="137"/>
      <c r="EZ74" s="136">
        <v>1791.6</v>
      </c>
      <c r="FA74" s="109">
        <v>27.2</v>
      </c>
      <c r="FB74" s="78"/>
      <c r="FC74" s="137"/>
      <c r="FD74" s="137"/>
      <c r="FE74" s="70">
        <v>741</v>
      </c>
      <c r="FF74" s="137"/>
      <c r="FG74" s="137"/>
      <c r="FH74" s="70">
        <v>1217</v>
      </c>
      <c r="FI74" s="70">
        <v>2231</v>
      </c>
      <c r="FJ74" s="137"/>
      <c r="FK74" s="70"/>
      <c r="FL74" s="90" t="s">
        <v>1971</v>
      </c>
      <c r="FM74" s="90" t="s">
        <v>1972</v>
      </c>
      <c r="FN74" s="90" t="s">
        <v>1973</v>
      </c>
    </row>
    <row r="75" spans="1:170" ht="15.6">
      <c r="A75" s="2">
        <v>71</v>
      </c>
      <c r="B75" s="52" t="s">
        <v>344</v>
      </c>
      <c r="D75" s="63">
        <v>83.06</v>
      </c>
      <c r="E75" s="63">
        <v>16.239999999999998</v>
      </c>
      <c r="F75" s="60">
        <v>0</v>
      </c>
      <c r="G75" s="60">
        <v>0</v>
      </c>
      <c r="H75" s="112"/>
      <c r="I75" s="112"/>
      <c r="J75" s="60">
        <v>33</v>
      </c>
      <c r="K75" s="112"/>
      <c r="L75" s="112"/>
      <c r="M75" s="93" t="s">
        <v>421</v>
      </c>
      <c r="N75" s="95" t="s">
        <v>570</v>
      </c>
      <c r="O75" s="95" t="s">
        <v>489</v>
      </c>
      <c r="Q75" s="101">
        <v>9.9499999999999993</v>
      </c>
      <c r="R75" s="102">
        <v>85.16</v>
      </c>
      <c r="S75" s="101">
        <v>62.990000000000101</v>
      </c>
      <c r="T75" s="113">
        <v>53.84</v>
      </c>
      <c r="V75" s="66">
        <v>25700</v>
      </c>
      <c r="X75" s="114">
        <v>6.1</v>
      </c>
      <c r="Y75" s="114">
        <v>2115.3000000000002</v>
      </c>
      <c r="Z75" s="71">
        <v>1210</v>
      </c>
      <c r="AA75" s="80">
        <v>14.6</v>
      </c>
      <c r="AB75" s="80">
        <v>54.2</v>
      </c>
      <c r="AC75" s="58">
        <v>28.4</v>
      </c>
      <c r="AD75" s="84">
        <v>72.150000000000006</v>
      </c>
      <c r="AE75" s="84">
        <v>66.430000000000007</v>
      </c>
      <c r="AF75" s="60">
        <v>77.8</v>
      </c>
      <c r="AG75" s="60">
        <v>22309</v>
      </c>
      <c r="AH75" s="60">
        <f t="shared" si="0"/>
        <v>22.309000000000001</v>
      </c>
      <c r="AI75" s="71">
        <v>611.2299999999999</v>
      </c>
      <c r="AJ75" s="70">
        <v>1.179</v>
      </c>
      <c r="AK75" s="70">
        <v>640</v>
      </c>
      <c r="AL75" s="90">
        <v>23</v>
      </c>
      <c r="AM75" s="77">
        <v>54</v>
      </c>
      <c r="AO75" s="116">
        <v>60.3</v>
      </c>
      <c r="AP75" s="71">
        <v>42375</v>
      </c>
      <c r="AQ75" s="117" t="s">
        <v>2418</v>
      </c>
      <c r="AR75" s="100">
        <v>70.400000000000006</v>
      </c>
      <c r="AS75" s="81">
        <v>0</v>
      </c>
      <c r="AT75" s="118">
        <v>2.9</v>
      </c>
      <c r="AU75" s="106">
        <v>17.399999999999999</v>
      </c>
      <c r="AV75" s="71">
        <v>42.3</v>
      </c>
      <c r="AX75" s="119"/>
      <c r="AY75" s="112"/>
      <c r="AZ75" s="82" t="s">
        <v>1974</v>
      </c>
      <c r="BA75" s="79" t="s">
        <v>1975</v>
      </c>
      <c r="BB75" s="79" t="s">
        <v>1976</v>
      </c>
      <c r="BD75" s="78">
        <v>107</v>
      </c>
      <c r="BE75" s="120">
        <v>105.3</v>
      </c>
      <c r="BF75" s="64" t="s">
        <v>1977</v>
      </c>
      <c r="BG75" s="60">
        <v>111.7</v>
      </c>
      <c r="BH75" s="68">
        <v>60464</v>
      </c>
      <c r="BI75" s="121"/>
      <c r="BJ75" s="112"/>
      <c r="BK75" s="122">
        <v>8.4</v>
      </c>
      <c r="BL75" s="123">
        <v>34064</v>
      </c>
      <c r="BM75" s="115" t="s">
        <v>1978</v>
      </c>
      <c r="BN75" s="115" t="s">
        <v>1979</v>
      </c>
      <c r="BP75" s="115">
        <v>1.105</v>
      </c>
      <c r="BQ75" s="84">
        <v>0.46200000000000002</v>
      </c>
      <c r="BR75" s="85" t="s">
        <v>1980</v>
      </c>
      <c r="BS75" s="85" t="s">
        <v>1981</v>
      </c>
      <c r="BT75" s="115">
        <v>32.4</v>
      </c>
      <c r="BU75" s="124">
        <v>42.3</v>
      </c>
      <c r="BV75" s="125">
        <v>1570</v>
      </c>
      <c r="BW75" s="80">
        <v>290</v>
      </c>
      <c r="BX75" s="80">
        <v>25</v>
      </c>
      <c r="BY75" s="78">
        <v>91.5</v>
      </c>
      <c r="BZ75" s="115">
        <v>94.56</v>
      </c>
      <c r="CA75" s="115">
        <v>78.319999999999993</v>
      </c>
      <c r="CB75" s="112"/>
      <c r="CC75" s="112"/>
      <c r="CE75" s="70">
        <v>150.5</v>
      </c>
      <c r="CF75" s="70">
        <v>10</v>
      </c>
      <c r="CG75" s="69">
        <v>220</v>
      </c>
      <c r="CH75" s="69">
        <v>209</v>
      </c>
      <c r="CI75" s="69">
        <v>5.7</v>
      </c>
      <c r="CJ75" s="126">
        <v>126.28</v>
      </c>
      <c r="CK75" s="60">
        <v>126.3</v>
      </c>
      <c r="CL75" s="127">
        <v>41.92</v>
      </c>
      <c r="CM75" s="127">
        <v>591.70000000000005</v>
      </c>
      <c r="CN75" s="107">
        <v>6.3</v>
      </c>
      <c r="CO75" s="58">
        <v>767</v>
      </c>
      <c r="CQ75" s="108" t="s">
        <v>2446</v>
      </c>
      <c r="CR75" s="78">
        <v>15.9</v>
      </c>
      <c r="CS75" s="78" t="s">
        <v>1982</v>
      </c>
      <c r="CT75" s="78">
        <v>107.1</v>
      </c>
      <c r="CU75" s="128" t="s">
        <v>1983</v>
      </c>
      <c r="CV75" s="128">
        <v>101.6</v>
      </c>
      <c r="CW75" s="128" t="s">
        <v>1984</v>
      </c>
      <c r="CX75" s="60" t="s">
        <v>1985</v>
      </c>
      <c r="CY75" s="60">
        <v>24.8</v>
      </c>
      <c r="CZ75" s="112" t="s">
        <v>361</v>
      </c>
      <c r="DA75" s="129">
        <v>294998</v>
      </c>
      <c r="DB75" s="129">
        <v>107450</v>
      </c>
      <c r="DC75" s="70">
        <v>1027.8</v>
      </c>
      <c r="DD75" s="86" t="s">
        <v>1986</v>
      </c>
      <c r="DE75" s="60" t="s">
        <v>1987</v>
      </c>
      <c r="DF75" s="60" t="s">
        <v>1988</v>
      </c>
      <c r="DG75" s="60" t="s">
        <v>1989</v>
      </c>
      <c r="DI75" s="70">
        <v>427</v>
      </c>
      <c r="DJ75" s="70">
        <v>118</v>
      </c>
      <c r="DK75" s="130">
        <v>117.7</v>
      </c>
      <c r="DM75" s="80">
        <v>237</v>
      </c>
      <c r="DN75" s="80" t="s">
        <v>449</v>
      </c>
      <c r="DO75" s="70">
        <v>6632</v>
      </c>
      <c r="DP75" s="131">
        <v>98.8</v>
      </c>
      <c r="DQ75" s="132">
        <v>35.200000000000003</v>
      </c>
      <c r="DR75" s="60">
        <v>30</v>
      </c>
      <c r="DS75" s="78"/>
      <c r="DT75" s="90">
        <v>101</v>
      </c>
      <c r="DU75" s="60">
        <v>180</v>
      </c>
      <c r="DV75" s="70">
        <v>122</v>
      </c>
      <c r="DW75" s="70">
        <v>78.2</v>
      </c>
      <c r="DX75" s="78"/>
      <c r="DY75" s="70">
        <v>109.7</v>
      </c>
      <c r="DZ75" s="70">
        <v>106.1</v>
      </c>
      <c r="EA75" s="70">
        <v>106.2</v>
      </c>
      <c r="EB75" s="70">
        <v>106.1</v>
      </c>
      <c r="EC75" s="86" t="s">
        <v>1980</v>
      </c>
      <c r="ED75" s="60" t="s">
        <v>1981</v>
      </c>
      <c r="EE75" s="60">
        <v>112</v>
      </c>
      <c r="EF75" s="60">
        <v>107.1</v>
      </c>
      <c r="EG75" s="60">
        <v>100.6</v>
      </c>
      <c r="EH75" s="78"/>
      <c r="EI75" s="60">
        <v>51</v>
      </c>
      <c r="EJ75" s="89">
        <v>8100.1</v>
      </c>
      <c r="EK75" s="89">
        <v>229</v>
      </c>
      <c r="EL75" s="141">
        <v>3886</v>
      </c>
      <c r="EM75" s="133">
        <v>23.3</v>
      </c>
      <c r="EN75" s="142" t="s">
        <v>1990</v>
      </c>
      <c r="EO75" s="78"/>
      <c r="EP75" s="133" t="s">
        <v>1991</v>
      </c>
      <c r="EQ75" s="134">
        <v>11274</v>
      </c>
      <c r="ER75" s="60">
        <v>70631</v>
      </c>
      <c r="ES75" s="60">
        <v>241379</v>
      </c>
      <c r="ET75" s="110" t="s">
        <v>2447</v>
      </c>
      <c r="EU75" s="110" t="s">
        <v>2448</v>
      </c>
      <c r="EV75" s="78"/>
      <c r="EW75" s="135">
        <v>93.2</v>
      </c>
      <c r="EX75" s="136">
        <v>42.1</v>
      </c>
      <c r="EY75" s="137"/>
      <c r="EZ75" s="136">
        <v>1906.7</v>
      </c>
      <c r="FA75" s="109">
        <v>29.1</v>
      </c>
      <c r="FB75" s="78"/>
      <c r="FC75" s="137"/>
      <c r="FD75" s="137"/>
      <c r="FE75" s="70">
        <v>844</v>
      </c>
      <c r="FF75" s="137"/>
      <c r="FG75" s="137"/>
      <c r="FH75" s="70">
        <v>578</v>
      </c>
      <c r="FI75" s="70">
        <v>1563</v>
      </c>
      <c r="FJ75" s="137"/>
      <c r="FK75" s="70"/>
      <c r="FL75" s="90" t="s">
        <v>1992</v>
      </c>
      <c r="FM75" s="90" t="s">
        <v>1993</v>
      </c>
      <c r="FN75" s="90" t="s">
        <v>1994</v>
      </c>
    </row>
    <row r="76" spans="1:170" ht="15.6">
      <c r="A76" s="2">
        <v>72</v>
      </c>
      <c r="B76" s="52" t="s">
        <v>345</v>
      </c>
      <c r="D76" s="65">
        <v>85.57</v>
      </c>
      <c r="E76" s="63">
        <v>14.04</v>
      </c>
      <c r="F76" s="60">
        <v>0</v>
      </c>
      <c r="G76" s="60">
        <v>0</v>
      </c>
      <c r="H76" s="112"/>
      <c r="I76" s="112"/>
      <c r="J76" s="60">
        <v>24</v>
      </c>
      <c r="K76" s="112"/>
      <c r="L76" s="112"/>
      <c r="M76" s="93" t="s">
        <v>591</v>
      </c>
      <c r="N76" s="95" t="s">
        <v>592</v>
      </c>
      <c r="O76" s="95" t="s">
        <v>592</v>
      </c>
      <c r="Q76" s="101">
        <v>9.9499999999999993</v>
      </c>
      <c r="R76" s="102">
        <v>85.16</v>
      </c>
      <c r="S76" s="101">
        <v>62.990000000000101</v>
      </c>
      <c r="T76" s="113">
        <v>53.16</v>
      </c>
      <c r="V76" s="66">
        <v>160100</v>
      </c>
      <c r="X76" s="114">
        <v>7.4</v>
      </c>
      <c r="Y76" s="114">
        <v>2115.3000000000002</v>
      </c>
      <c r="Z76" s="71">
        <v>1171</v>
      </c>
      <c r="AA76" s="80">
        <v>22.2</v>
      </c>
      <c r="AB76" s="80">
        <v>57.4</v>
      </c>
      <c r="AC76" s="58">
        <v>22</v>
      </c>
      <c r="AD76" s="84">
        <v>74.39</v>
      </c>
      <c r="AE76" s="84">
        <v>68.599999999999994</v>
      </c>
      <c r="AF76" s="60">
        <v>79.849999999999994</v>
      </c>
      <c r="AG76" s="60">
        <v>15950</v>
      </c>
      <c r="AH76" s="60">
        <f t="shared" si="0"/>
        <v>15.95</v>
      </c>
      <c r="AI76" s="71">
        <v>458.94499999999999</v>
      </c>
      <c r="AJ76" s="115">
        <v>1.7402299999999999</v>
      </c>
      <c r="AK76" s="70">
        <v>681</v>
      </c>
      <c r="AL76" s="146" t="s">
        <v>23</v>
      </c>
      <c r="AM76" s="77">
        <v>273</v>
      </c>
      <c r="AO76" s="116">
        <v>57</v>
      </c>
      <c r="AP76" s="71">
        <v>43350</v>
      </c>
      <c r="AQ76" s="117" t="s">
        <v>2242</v>
      </c>
      <c r="AR76" s="100">
        <v>62.6</v>
      </c>
      <c r="AS76" s="81">
        <v>0.2</v>
      </c>
      <c r="AT76" s="118">
        <v>2.7</v>
      </c>
      <c r="AU76" s="106">
        <v>21.7</v>
      </c>
      <c r="AV76" s="71">
        <v>52.9</v>
      </c>
      <c r="AX76" s="119"/>
      <c r="AY76" s="112"/>
      <c r="AZ76" s="82" t="s">
        <v>1995</v>
      </c>
      <c r="BA76" s="79" t="s">
        <v>1996</v>
      </c>
      <c r="BB76" s="79" t="s">
        <v>1997</v>
      </c>
      <c r="BD76" s="78">
        <v>109.1</v>
      </c>
      <c r="BE76" s="120">
        <v>106.4</v>
      </c>
      <c r="BF76" s="64">
        <v>20118</v>
      </c>
      <c r="BG76" s="60">
        <v>112.5</v>
      </c>
      <c r="BH76" s="68">
        <v>71184</v>
      </c>
      <c r="BI76" s="121"/>
      <c r="BJ76" s="112"/>
      <c r="BK76" s="122">
        <v>11.2</v>
      </c>
      <c r="BL76" s="123">
        <v>42728</v>
      </c>
      <c r="BM76" s="115" t="s">
        <v>1998</v>
      </c>
      <c r="BN76" s="115" t="s">
        <v>1999</v>
      </c>
      <c r="BP76" s="115">
        <v>2.4860000000000002</v>
      </c>
      <c r="BQ76" s="84">
        <v>2.1589999999999998</v>
      </c>
      <c r="BR76" s="85" t="s">
        <v>2000</v>
      </c>
      <c r="BS76" s="85" t="s">
        <v>2001</v>
      </c>
      <c r="BT76" s="115">
        <v>31.3</v>
      </c>
      <c r="BU76" s="124">
        <v>33.1</v>
      </c>
      <c r="BV76" s="125">
        <v>2005</v>
      </c>
      <c r="BW76" s="80">
        <v>238</v>
      </c>
      <c r="BX76" s="80">
        <v>32</v>
      </c>
      <c r="BY76" s="78">
        <v>88.4</v>
      </c>
      <c r="BZ76" s="115">
        <v>89.92</v>
      </c>
      <c r="CA76" s="115">
        <v>75.430000000000007</v>
      </c>
      <c r="CB76" s="112"/>
      <c r="CC76" s="112"/>
      <c r="CE76" s="70">
        <v>249.6</v>
      </c>
      <c r="CF76" s="70">
        <v>11.1</v>
      </c>
      <c r="CG76" s="69">
        <v>303</v>
      </c>
      <c r="CH76" s="69">
        <v>300</v>
      </c>
      <c r="CI76" s="69">
        <v>8.9</v>
      </c>
      <c r="CJ76" s="126">
        <v>136.63999999999999</v>
      </c>
      <c r="CK76" s="60">
        <v>136.6</v>
      </c>
      <c r="CL76" s="127">
        <v>59.77</v>
      </c>
      <c r="CM76" s="139">
        <v>463.9</v>
      </c>
      <c r="CN76" s="107">
        <v>3.8</v>
      </c>
      <c r="CO76" s="58">
        <v>723.3</v>
      </c>
      <c r="CQ76" s="108" t="s">
        <v>2449</v>
      </c>
      <c r="CR76" s="78">
        <v>286.3</v>
      </c>
      <c r="CS76" s="78" t="s">
        <v>2002</v>
      </c>
      <c r="CT76" s="78">
        <v>93.5</v>
      </c>
      <c r="CU76" s="128" t="s">
        <v>2003</v>
      </c>
      <c r="CV76" s="128">
        <v>85</v>
      </c>
      <c r="CW76" s="128" t="s">
        <v>2004</v>
      </c>
      <c r="CX76" s="60" t="s">
        <v>2005</v>
      </c>
      <c r="CY76" s="60">
        <v>30.5</v>
      </c>
      <c r="CZ76" s="112" t="s">
        <v>361</v>
      </c>
      <c r="DA76" s="129">
        <v>351195</v>
      </c>
      <c r="DB76" s="129">
        <v>165081</v>
      </c>
      <c r="DC76" s="70">
        <v>1091.5999999999999</v>
      </c>
      <c r="DD76" s="86" t="s">
        <v>2006</v>
      </c>
      <c r="DE76" s="60" t="s">
        <v>2007</v>
      </c>
      <c r="DF76" s="60" t="s">
        <v>2008</v>
      </c>
      <c r="DG76" s="60" t="s">
        <v>2009</v>
      </c>
      <c r="DI76" s="70">
        <v>93</v>
      </c>
      <c r="DJ76" s="70">
        <v>154</v>
      </c>
      <c r="DK76" s="130">
        <v>177.2</v>
      </c>
      <c r="DM76" s="80">
        <v>304</v>
      </c>
      <c r="DN76" s="80" t="s">
        <v>2010</v>
      </c>
      <c r="DO76" s="70">
        <v>5351</v>
      </c>
      <c r="DP76" s="131">
        <v>99.2</v>
      </c>
      <c r="DQ76" s="132">
        <v>74.900000000000006</v>
      </c>
      <c r="DR76" s="60">
        <v>74.900000000000006</v>
      </c>
      <c r="DS76" s="78"/>
      <c r="DT76" s="90">
        <v>151</v>
      </c>
      <c r="DU76" s="60">
        <v>384</v>
      </c>
      <c r="DV76" s="70">
        <v>86</v>
      </c>
      <c r="DW76" s="70">
        <v>112.4</v>
      </c>
      <c r="DX76" s="78"/>
      <c r="DY76" s="70">
        <v>107.5</v>
      </c>
      <c r="DZ76" s="70">
        <v>99.5</v>
      </c>
      <c r="EA76" s="70">
        <v>107.4</v>
      </c>
      <c r="EB76" s="70">
        <v>102</v>
      </c>
      <c r="EC76" s="86" t="s">
        <v>2000</v>
      </c>
      <c r="ED76" s="60" t="s">
        <v>2001</v>
      </c>
      <c r="EE76" s="60">
        <v>106.5</v>
      </c>
      <c r="EF76" s="60">
        <v>93.5</v>
      </c>
      <c r="EG76" s="60">
        <v>104.3</v>
      </c>
      <c r="EH76" s="78"/>
      <c r="EI76" s="60">
        <v>55.6</v>
      </c>
      <c r="EJ76" s="89">
        <v>24979.9</v>
      </c>
      <c r="EK76" s="87">
        <v>457</v>
      </c>
      <c r="EL76" s="87">
        <v>2318</v>
      </c>
      <c r="EM76" s="133">
        <v>21.4</v>
      </c>
      <c r="EN76" s="142" t="s">
        <v>2011</v>
      </c>
      <c r="EO76" s="78"/>
      <c r="EP76" s="133" t="s">
        <v>2012</v>
      </c>
      <c r="EQ76" s="134">
        <v>17541</v>
      </c>
      <c r="ER76" s="60">
        <v>131669</v>
      </c>
      <c r="ES76" s="60">
        <v>381882</v>
      </c>
      <c r="ET76" s="110" t="s">
        <v>2450</v>
      </c>
      <c r="EU76" s="110" t="s">
        <v>2451</v>
      </c>
      <c r="EV76" s="78"/>
      <c r="EW76" s="135">
        <v>85.3</v>
      </c>
      <c r="EX76" s="136">
        <v>39.700000000000003</v>
      </c>
      <c r="EY76" s="137"/>
      <c r="EZ76" s="136">
        <v>2013.1</v>
      </c>
      <c r="FA76" s="109">
        <v>29.5</v>
      </c>
      <c r="FB76" s="78"/>
      <c r="FC76" s="137"/>
      <c r="FD76" s="137"/>
      <c r="FE76" s="143" t="s">
        <v>400</v>
      </c>
      <c r="FF76" s="137"/>
      <c r="FG76" s="137"/>
      <c r="FH76" s="143" t="s">
        <v>2013</v>
      </c>
      <c r="FI76" s="143" t="s">
        <v>393</v>
      </c>
      <c r="FJ76" s="137"/>
      <c r="FK76" s="70"/>
      <c r="FL76" s="90" t="s">
        <v>387</v>
      </c>
      <c r="FM76" s="90" t="s">
        <v>2014</v>
      </c>
      <c r="FN76" s="90" t="s">
        <v>2015</v>
      </c>
    </row>
    <row r="77" spans="1:170" ht="15.6">
      <c r="A77" s="2">
        <v>18</v>
      </c>
      <c r="B77" s="52" t="s">
        <v>346</v>
      </c>
      <c r="D77" s="65">
        <v>68.92</v>
      </c>
      <c r="E77" s="63">
        <v>30.1</v>
      </c>
      <c r="F77" s="60">
        <v>0</v>
      </c>
      <c r="G77" s="60">
        <v>0</v>
      </c>
      <c r="H77" s="112"/>
      <c r="I77" s="112"/>
      <c r="J77" s="60">
        <v>23</v>
      </c>
      <c r="K77" s="112"/>
      <c r="L77" s="112"/>
      <c r="M77" s="93" t="s">
        <v>428</v>
      </c>
      <c r="N77" s="95" t="s">
        <v>570</v>
      </c>
      <c r="O77" s="95" t="s">
        <v>489</v>
      </c>
      <c r="Q77" s="101">
        <v>9.9499999999999993</v>
      </c>
      <c r="R77" s="102">
        <v>85.16</v>
      </c>
      <c r="S77" s="101">
        <v>62.990000000000101</v>
      </c>
      <c r="T77" s="113">
        <v>52.32</v>
      </c>
      <c r="V77" s="66">
        <v>42100</v>
      </c>
      <c r="X77" s="114">
        <v>5.7</v>
      </c>
      <c r="Y77" s="114">
        <v>2115.3000000000002</v>
      </c>
      <c r="Z77" s="71">
        <v>1188</v>
      </c>
      <c r="AA77" s="80">
        <v>20.3</v>
      </c>
      <c r="AB77" s="80">
        <v>53.6</v>
      </c>
      <c r="AC77" s="58">
        <v>23.6</v>
      </c>
      <c r="AD77" s="84">
        <v>72.34</v>
      </c>
      <c r="AE77" s="84">
        <v>65.709999999999994</v>
      </c>
      <c r="AF77" s="60">
        <v>78.930000000000007</v>
      </c>
      <c r="AG77" s="60">
        <v>17641</v>
      </c>
      <c r="AH77" s="60">
        <f t="shared" si="0"/>
        <v>17.640999999999998</v>
      </c>
      <c r="AI77" s="71">
        <v>511.95499999999993</v>
      </c>
      <c r="AJ77" s="115">
        <v>1.44834</v>
      </c>
      <c r="AK77" s="70">
        <v>696</v>
      </c>
      <c r="AL77" s="146" t="s">
        <v>23</v>
      </c>
      <c r="AM77" s="147" t="s">
        <v>23</v>
      </c>
      <c r="AO77" s="116">
        <v>60.8</v>
      </c>
      <c r="AP77" s="71">
        <v>38939</v>
      </c>
      <c r="AQ77" s="117" t="s">
        <v>2385</v>
      </c>
      <c r="AR77" s="100">
        <v>81.2</v>
      </c>
      <c r="AS77" s="81">
        <v>0.2</v>
      </c>
      <c r="AT77" s="118">
        <v>2.2999999999999998</v>
      </c>
      <c r="AU77" s="106">
        <v>18.899999999999999</v>
      </c>
      <c r="AV77" s="71">
        <v>45.1</v>
      </c>
      <c r="AX77" s="119"/>
      <c r="AY77" s="112"/>
      <c r="AZ77" s="82" t="s">
        <v>2016</v>
      </c>
      <c r="BA77" s="79" t="s">
        <v>2017</v>
      </c>
      <c r="BB77" s="79" t="s">
        <v>2018</v>
      </c>
      <c r="BD77" s="78">
        <v>107.8</v>
      </c>
      <c r="BE77" s="120">
        <v>102.2</v>
      </c>
      <c r="BF77" s="64" t="s">
        <v>2019</v>
      </c>
      <c r="BG77" s="60">
        <v>110.3</v>
      </c>
      <c r="BH77" s="68">
        <v>53721</v>
      </c>
      <c r="BI77" s="121"/>
      <c r="BJ77" s="112"/>
      <c r="BK77" s="122">
        <v>8.8000000000000007</v>
      </c>
      <c r="BL77" s="123">
        <v>29170</v>
      </c>
      <c r="BM77" s="115" t="s">
        <v>2020</v>
      </c>
      <c r="BN77" s="115" t="s">
        <v>2021</v>
      </c>
      <c r="BP77" s="115">
        <v>1.39</v>
      </c>
      <c r="BQ77" s="84">
        <v>0.52800000000000002</v>
      </c>
      <c r="BR77" s="85" t="s">
        <v>2022</v>
      </c>
      <c r="BS77" s="85" t="s">
        <v>2023</v>
      </c>
      <c r="BT77" s="115">
        <v>26.6</v>
      </c>
      <c r="BU77" s="124">
        <v>33.700000000000003</v>
      </c>
      <c r="BV77" s="125">
        <v>1931</v>
      </c>
      <c r="BW77" s="80">
        <v>361</v>
      </c>
      <c r="BX77" s="80">
        <v>65</v>
      </c>
      <c r="BY77" s="78">
        <v>90</v>
      </c>
      <c r="BZ77" s="115">
        <v>88.77</v>
      </c>
      <c r="CA77" s="115">
        <v>65.239999999999995</v>
      </c>
      <c r="CB77" s="112"/>
      <c r="CC77" s="112"/>
      <c r="CE77" s="70">
        <v>200.5</v>
      </c>
      <c r="CF77" s="70">
        <v>12.5</v>
      </c>
      <c r="CG77" s="69">
        <v>282</v>
      </c>
      <c r="CH77" s="69">
        <v>278</v>
      </c>
      <c r="CI77" s="69">
        <v>7.3</v>
      </c>
      <c r="CJ77" s="126">
        <v>124.21</v>
      </c>
      <c r="CK77" s="60">
        <v>124.2</v>
      </c>
      <c r="CL77" s="127">
        <v>53.97</v>
      </c>
      <c r="CM77" s="127">
        <v>572</v>
      </c>
      <c r="CN77" s="107">
        <v>2.4</v>
      </c>
      <c r="CO77" s="58">
        <v>898.1</v>
      </c>
      <c r="CQ77" s="108" t="s">
        <v>2452</v>
      </c>
      <c r="CR77" s="78">
        <v>353.5</v>
      </c>
      <c r="CS77" s="78">
        <v>592.20000000000005</v>
      </c>
      <c r="CT77" s="78">
        <v>99</v>
      </c>
      <c r="CU77" s="128" t="s">
        <v>2024</v>
      </c>
      <c r="CV77" s="128">
        <v>106</v>
      </c>
      <c r="CW77" s="128" t="s">
        <v>2025</v>
      </c>
      <c r="CX77" s="60" t="s">
        <v>2026</v>
      </c>
      <c r="CY77" s="60">
        <v>24.7</v>
      </c>
      <c r="CZ77" s="60" t="s">
        <v>2027</v>
      </c>
      <c r="DA77" s="129">
        <v>235386</v>
      </c>
      <c r="DB77" s="129">
        <v>105541</v>
      </c>
      <c r="DC77" s="70">
        <v>1559.5</v>
      </c>
      <c r="DD77" s="86" t="s">
        <v>2028</v>
      </c>
      <c r="DE77" s="60" t="s">
        <v>2029</v>
      </c>
      <c r="DF77" s="60" t="s">
        <v>2030</v>
      </c>
      <c r="DG77" s="60" t="s">
        <v>483</v>
      </c>
      <c r="DI77" s="70">
        <v>270</v>
      </c>
      <c r="DJ77" s="70">
        <v>60</v>
      </c>
      <c r="DK77" s="130">
        <v>90.5</v>
      </c>
      <c r="DM77" s="80">
        <v>312</v>
      </c>
      <c r="DN77" s="80">
        <v>572</v>
      </c>
      <c r="DO77" s="70">
        <v>5226</v>
      </c>
      <c r="DP77" s="131">
        <v>99.3</v>
      </c>
      <c r="DQ77" s="132">
        <v>31.7</v>
      </c>
      <c r="DR77" s="60">
        <v>36</v>
      </c>
      <c r="DS77" s="78"/>
      <c r="DT77" s="90">
        <v>148</v>
      </c>
      <c r="DU77" s="60">
        <v>234</v>
      </c>
      <c r="DV77" s="70">
        <v>68</v>
      </c>
      <c r="DW77" s="70">
        <v>123.9</v>
      </c>
      <c r="DX77" s="78"/>
      <c r="DY77" s="70">
        <v>107.6</v>
      </c>
      <c r="DZ77" s="70">
        <v>106.6</v>
      </c>
      <c r="EA77" s="70">
        <v>108.5</v>
      </c>
      <c r="EB77" s="70">
        <v>105.9</v>
      </c>
      <c r="EC77" s="86" t="s">
        <v>2022</v>
      </c>
      <c r="ED77" s="60" t="s">
        <v>2023</v>
      </c>
      <c r="EE77" s="60">
        <v>103</v>
      </c>
      <c r="EF77" s="60">
        <v>99</v>
      </c>
      <c r="EG77" s="60">
        <v>98.3</v>
      </c>
      <c r="EH77" s="78"/>
      <c r="EI77" s="60">
        <v>45.3</v>
      </c>
      <c r="EJ77" s="89">
        <v>2399</v>
      </c>
      <c r="EK77" s="89">
        <v>237</v>
      </c>
      <c r="EL77" s="87">
        <v>7021</v>
      </c>
      <c r="EM77" s="133">
        <v>21.2</v>
      </c>
      <c r="EN77" s="133" t="s">
        <v>2031</v>
      </c>
      <c r="EO77" s="78"/>
      <c r="EP77" s="133" t="s">
        <v>2032</v>
      </c>
      <c r="EQ77" s="134">
        <v>9907</v>
      </c>
      <c r="ER77" s="60">
        <v>86938</v>
      </c>
      <c r="ES77" s="60">
        <v>279987</v>
      </c>
      <c r="ET77" s="110" t="s">
        <v>2453</v>
      </c>
      <c r="EU77" s="110" t="s">
        <v>2454</v>
      </c>
      <c r="EV77" s="78"/>
      <c r="EW77" s="135">
        <v>81.3</v>
      </c>
      <c r="EX77" s="136">
        <v>43.6</v>
      </c>
      <c r="EY77" s="137"/>
      <c r="EZ77" s="136">
        <v>1871.1</v>
      </c>
      <c r="FA77" s="109">
        <v>23.5</v>
      </c>
      <c r="FB77" s="78"/>
      <c r="FC77" s="137"/>
      <c r="FD77" s="137"/>
      <c r="FE77" s="70">
        <v>1432</v>
      </c>
      <c r="FF77" s="137"/>
      <c r="FG77" s="137"/>
      <c r="FH77" s="70">
        <v>1405</v>
      </c>
      <c r="FI77" s="70">
        <v>3980</v>
      </c>
      <c r="FJ77" s="137"/>
      <c r="FK77" s="70"/>
      <c r="FL77" s="90" t="s">
        <v>2033</v>
      </c>
      <c r="FM77" s="90" t="s">
        <v>2034</v>
      </c>
      <c r="FN77" s="90" t="s">
        <v>2035</v>
      </c>
    </row>
    <row r="78" spans="1:170" ht="15.6">
      <c r="A78" s="2">
        <v>73</v>
      </c>
      <c r="B78" s="52" t="s">
        <v>347</v>
      </c>
      <c r="D78" s="63">
        <v>71.16</v>
      </c>
      <c r="E78" s="63">
        <v>27.85</v>
      </c>
      <c r="F78" s="60">
        <v>0</v>
      </c>
      <c r="G78" s="60">
        <v>0</v>
      </c>
      <c r="H78" s="112"/>
      <c r="I78" s="112"/>
      <c r="J78" s="60">
        <v>42</v>
      </c>
      <c r="K78" s="112"/>
      <c r="L78" s="112"/>
      <c r="M78" s="93" t="s">
        <v>430</v>
      </c>
      <c r="N78" s="95" t="s">
        <v>511</v>
      </c>
      <c r="O78" s="95" t="s">
        <v>489</v>
      </c>
      <c r="Q78" s="101">
        <v>9.9499999999999993</v>
      </c>
      <c r="R78" s="102">
        <v>85.16</v>
      </c>
      <c r="S78" s="101">
        <v>62.990000000000101</v>
      </c>
      <c r="T78" s="113">
        <v>52.5</v>
      </c>
      <c r="V78" s="66">
        <v>37200</v>
      </c>
      <c r="X78" s="114">
        <v>5.7</v>
      </c>
      <c r="Y78" s="114">
        <v>2115.3000000000002</v>
      </c>
      <c r="Z78" s="71">
        <v>1177</v>
      </c>
      <c r="AA78" s="80">
        <v>16.899999999999999</v>
      </c>
      <c r="AB78" s="80">
        <v>52.7</v>
      </c>
      <c r="AC78" s="58">
        <v>27.4</v>
      </c>
      <c r="AD78" s="84">
        <v>72.040000000000006</v>
      </c>
      <c r="AE78" s="84">
        <v>66</v>
      </c>
      <c r="AF78" s="60">
        <v>78.150000000000006</v>
      </c>
      <c r="AG78" s="60">
        <v>16506</v>
      </c>
      <c r="AH78" s="60">
        <f t="shared" si="0"/>
        <v>16.506</v>
      </c>
      <c r="AI78" s="71">
        <v>552.995</v>
      </c>
      <c r="AJ78" s="115">
        <v>1.33118</v>
      </c>
      <c r="AK78" s="70">
        <v>708</v>
      </c>
      <c r="AL78" s="90">
        <v>31</v>
      </c>
      <c r="AM78" s="77">
        <v>112</v>
      </c>
      <c r="AO78" s="116">
        <v>58.8</v>
      </c>
      <c r="AP78" s="71">
        <v>35783</v>
      </c>
      <c r="AQ78" s="117" t="s">
        <v>2304</v>
      </c>
      <c r="AR78" s="100">
        <v>70.2</v>
      </c>
      <c r="AS78" s="81">
        <v>0.2</v>
      </c>
      <c r="AT78" s="118">
        <v>2.6</v>
      </c>
      <c r="AU78" s="106">
        <v>12.4</v>
      </c>
      <c r="AV78" s="71">
        <v>37.299999999999997</v>
      </c>
      <c r="AX78" s="119"/>
      <c r="AY78" s="112"/>
      <c r="AZ78" s="82" t="s">
        <v>2036</v>
      </c>
      <c r="BA78" s="79" t="s">
        <v>2037</v>
      </c>
      <c r="BB78" s="79" t="s">
        <v>2038</v>
      </c>
      <c r="BD78" s="78">
        <v>105</v>
      </c>
      <c r="BE78" s="120">
        <v>101.9</v>
      </c>
      <c r="BF78" s="64" t="s">
        <v>2039</v>
      </c>
      <c r="BG78" s="60">
        <v>110.3</v>
      </c>
      <c r="BH78" s="68">
        <v>48890</v>
      </c>
      <c r="BI78" s="121"/>
      <c r="BJ78" s="112"/>
      <c r="BK78" s="122">
        <v>11.7</v>
      </c>
      <c r="BL78" s="123">
        <v>28003</v>
      </c>
      <c r="BM78" s="115" t="s">
        <v>2040</v>
      </c>
      <c r="BN78" s="115" t="s">
        <v>2041</v>
      </c>
      <c r="BP78" s="115">
        <v>0.79700000000000004</v>
      </c>
      <c r="BQ78" s="84">
        <v>0.38700000000000001</v>
      </c>
      <c r="BR78" s="85" t="s">
        <v>2042</v>
      </c>
      <c r="BS78" s="85" t="s">
        <v>2043</v>
      </c>
      <c r="BT78" s="115">
        <v>33.4</v>
      </c>
      <c r="BU78" s="124">
        <v>32.1</v>
      </c>
      <c r="BV78" s="125">
        <v>924</v>
      </c>
      <c r="BW78" s="80">
        <v>411</v>
      </c>
      <c r="BX78" s="80">
        <v>17</v>
      </c>
      <c r="BY78" s="78">
        <v>89.5</v>
      </c>
      <c r="BZ78" s="115">
        <v>92.49</v>
      </c>
      <c r="CA78" s="115">
        <v>78.14</v>
      </c>
      <c r="CB78" s="112"/>
      <c r="CC78" s="112"/>
      <c r="CE78" s="70">
        <v>131.1</v>
      </c>
      <c r="CF78" s="70">
        <v>8.1999999999999993</v>
      </c>
      <c r="CG78" s="69">
        <v>300</v>
      </c>
      <c r="CH78" s="69">
        <v>300</v>
      </c>
      <c r="CI78" s="69">
        <v>6.7</v>
      </c>
      <c r="CJ78" s="126">
        <v>121.12</v>
      </c>
      <c r="CK78" s="60">
        <v>121.1</v>
      </c>
      <c r="CL78" s="127">
        <v>44.15</v>
      </c>
      <c r="CM78" s="127">
        <v>608.70000000000005</v>
      </c>
      <c r="CN78" s="107">
        <v>4.8</v>
      </c>
      <c r="CO78" s="58">
        <v>722.7</v>
      </c>
      <c r="CQ78" s="108" t="s">
        <v>2455</v>
      </c>
      <c r="CR78" s="78">
        <v>25.4</v>
      </c>
      <c r="CS78" s="78">
        <v>462.3</v>
      </c>
      <c r="CT78" s="78">
        <v>93.7</v>
      </c>
      <c r="CU78" s="128" t="s">
        <v>2044</v>
      </c>
      <c r="CV78" s="128">
        <v>102.3</v>
      </c>
      <c r="CW78" s="128" t="s">
        <v>2045</v>
      </c>
      <c r="CX78" s="60" t="s">
        <v>2046</v>
      </c>
      <c r="CY78" s="60">
        <v>27.1</v>
      </c>
      <c r="CZ78" s="112" t="s">
        <v>361</v>
      </c>
      <c r="DA78" s="129">
        <v>233474</v>
      </c>
      <c r="DB78" s="129">
        <v>78418</v>
      </c>
      <c r="DC78" s="70">
        <v>715.1</v>
      </c>
      <c r="DD78" s="86" t="s">
        <v>2047</v>
      </c>
      <c r="DE78" s="60" t="s">
        <v>2048</v>
      </c>
      <c r="DF78" s="60" t="s">
        <v>2049</v>
      </c>
      <c r="DG78" s="60" t="s">
        <v>2050</v>
      </c>
      <c r="DI78" s="70">
        <v>263</v>
      </c>
      <c r="DJ78" s="70">
        <v>111</v>
      </c>
      <c r="DK78" s="130">
        <v>87.8</v>
      </c>
      <c r="DM78" s="80">
        <v>189</v>
      </c>
      <c r="DN78" s="80">
        <v>565</v>
      </c>
      <c r="DO78" s="70">
        <v>2179</v>
      </c>
      <c r="DP78" s="131">
        <v>98.9</v>
      </c>
      <c r="DQ78" s="132">
        <v>16.3</v>
      </c>
      <c r="DR78" s="60">
        <v>17</v>
      </c>
      <c r="DS78" s="78"/>
      <c r="DT78" s="90">
        <v>27</v>
      </c>
      <c r="DU78" s="60">
        <v>116</v>
      </c>
      <c r="DV78" s="70">
        <v>87</v>
      </c>
      <c r="DW78" s="70">
        <v>121</v>
      </c>
      <c r="DX78" s="78"/>
      <c r="DY78" s="70">
        <v>107.7</v>
      </c>
      <c r="DZ78" s="70">
        <v>106.5</v>
      </c>
      <c r="EA78" s="70">
        <v>108.3</v>
      </c>
      <c r="EB78" s="70">
        <v>106.3</v>
      </c>
      <c r="EC78" s="86" t="s">
        <v>2042</v>
      </c>
      <c r="ED78" s="60" t="s">
        <v>2043</v>
      </c>
      <c r="EE78" s="60">
        <v>105.9</v>
      </c>
      <c r="EF78" s="60">
        <v>93.7</v>
      </c>
      <c r="EG78" s="60">
        <v>100.6</v>
      </c>
      <c r="EH78" s="78"/>
      <c r="EI78" s="60">
        <v>45.5</v>
      </c>
      <c r="EJ78" s="89">
        <v>25274.3</v>
      </c>
      <c r="EK78" s="89">
        <v>210</v>
      </c>
      <c r="EL78" s="87">
        <v>1996</v>
      </c>
      <c r="EM78" s="133">
        <v>25</v>
      </c>
      <c r="EN78" s="133" t="s">
        <v>2051</v>
      </c>
      <c r="EO78" s="78"/>
      <c r="EP78" s="133" t="s">
        <v>2052</v>
      </c>
      <c r="EQ78" s="134">
        <v>6291</v>
      </c>
      <c r="ER78" s="60">
        <v>49431</v>
      </c>
      <c r="ES78" s="60">
        <v>173066</v>
      </c>
      <c r="ET78" s="110" t="s">
        <v>2456</v>
      </c>
      <c r="EU78" s="110" t="s">
        <v>2457</v>
      </c>
      <c r="EV78" s="78"/>
      <c r="EW78" s="135">
        <v>80.900000000000006</v>
      </c>
      <c r="EX78" s="136">
        <v>35.200000000000003</v>
      </c>
      <c r="EY78" s="137"/>
      <c r="EZ78" s="136">
        <v>1891.8</v>
      </c>
      <c r="FA78" s="109">
        <v>22.6</v>
      </c>
      <c r="FB78" s="78"/>
      <c r="FC78" s="137"/>
      <c r="FD78" s="137"/>
      <c r="FE78" s="70">
        <v>725</v>
      </c>
      <c r="FF78" s="137"/>
      <c r="FG78" s="137"/>
      <c r="FH78" s="70">
        <v>926</v>
      </c>
      <c r="FI78" s="70">
        <v>1854</v>
      </c>
      <c r="FJ78" s="137"/>
      <c r="FK78" s="70"/>
      <c r="FL78" s="90" t="s">
        <v>2053</v>
      </c>
      <c r="FM78" s="90" t="s">
        <v>2054</v>
      </c>
      <c r="FN78" s="90">
        <v>-493</v>
      </c>
    </row>
    <row r="79" spans="1:170" ht="15.6">
      <c r="A79" s="2">
        <v>27</v>
      </c>
      <c r="B79" s="52" t="s">
        <v>348</v>
      </c>
      <c r="D79" s="63">
        <v>62.28</v>
      </c>
      <c r="E79" s="63">
        <v>36.64</v>
      </c>
      <c r="F79" s="60">
        <v>0</v>
      </c>
      <c r="G79" s="60">
        <v>0</v>
      </c>
      <c r="H79" s="112"/>
      <c r="I79" s="112"/>
      <c r="J79" s="60">
        <v>55</v>
      </c>
      <c r="K79" s="112"/>
      <c r="L79" s="112"/>
      <c r="M79" s="93" t="s">
        <v>424</v>
      </c>
      <c r="N79" s="95" t="s">
        <v>614</v>
      </c>
      <c r="O79" s="95" t="s">
        <v>489</v>
      </c>
      <c r="Q79" s="101">
        <v>9.9499999999999993</v>
      </c>
      <c r="R79" s="102">
        <v>85.16</v>
      </c>
      <c r="S79" s="101">
        <v>62.990000000000101</v>
      </c>
      <c r="T79" s="113">
        <v>54</v>
      </c>
      <c r="V79" s="66">
        <v>787600</v>
      </c>
      <c r="X79" s="114">
        <v>7.5</v>
      </c>
      <c r="Y79" s="114">
        <v>2115.3000000000002</v>
      </c>
      <c r="Z79" s="71">
        <v>1121</v>
      </c>
      <c r="AA79" s="80">
        <v>18.8</v>
      </c>
      <c r="AB79" s="80">
        <v>57.3</v>
      </c>
      <c r="AC79" s="58">
        <v>21.6</v>
      </c>
      <c r="AD79" s="84">
        <v>70.33</v>
      </c>
      <c r="AE79" s="84">
        <v>64.36</v>
      </c>
      <c r="AF79" s="60">
        <v>76.709999999999994</v>
      </c>
      <c r="AG79" s="60">
        <v>16952</v>
      </c>
      <c r="AH79" s="60">
        <f t="shared" si="0"/>
        <v>16.952000000000002</v>
      </c>
      <c r="AI79" s="71">
        <v>590.70999999999992</v>
      </c>
      <c r="AJ79" s="115">
        <v>1.51298</v>
      </c>
      <c r="AK79" s="70">
        <v>787</v>
      </c>
      <c r="AL79" s="90">
        <v>21</v>
      </c>
      <c r="AM79" s="77">
        <v>184</v>
      </c>
      <c r="AO79" s="116">
        <v>65.3</v>
      </c>
      <c r="AP79" s="71">
        <v>58092</v>
      </c>
      <c r="AQ79" s="117" t="s">
        <v>2277</v>
      </c>
      <c r="AR79" s="100">
        <v>73.8</v>
      </c>
      <c r="AS79" s="81">
        <v>0.1</v>
      </c>
      <c r="AT79" s="118">
        <v>2</v>
      </c>
      <c r="AU79" s="106">
        <v>17.8</v>
      </c>
      <c r="AV79" s="71">
        <v>33.299999999999997</v>
      </c>
      <c r="AX79" s="119"/>
      <c r="AY79" s="112"/>
      <c r="AZ79" s="82" t="s">
        <v>2055</v>
      </c>
      <c r="BA79" s="79" t="s">
        <v>2056</v>
      </c>
      <c r="BB79" s="79" t="s">
        <v>2057</v>
      </c>
      <c r="BD79" s="78">
        <v>105</v>
      </c>
      <c r="BE79" s="120">
        <v>103.9</v>
      </c>
      <c r="BF79" s="64" t="s">
        <v>444</v>
      </c>
      <c r="BG79" s="60">
        <v>109.3</v>
      </c>
      <c r="BH79" s="68">
        <v>75227</v>
      </c>
      <c r="BI79" s="121"/>
      <c r="BJ79" s="112"/>
      <c r="BK79" s="122">
        <v>9.6999999999999993</v>
      </c>
      <c r="BL79" s="123">
        <v>47075</v>
      </c>
      <c r="BM79" s="115" t="s">
        <v>2058</v>
      </c>
      <c r="BN79" s="115" t="s">
        <v>465</v>
      </c>
      <c r="BP79" s="115">
        <v>0.57799999999999996</v>
      </c>
      <c r="BQ79" s="84">
        <v>0.30399999999999999</v>
      </c>
      <c r="BR79" s="85" t="s">
        <v>2059</v>
      </c>
      <c r="BS79" s="85" t="s">
        <v>2060</v>
      </c>
      <c r="BT79" s="115">
        <v>26</v>
      </c>
      <c r="BU79" s="124">
        <v>33</v>
      </c>
      <c r="BV79" s="125">
        <v>1653</v>
      </c>
      <c r="BW79" s="80">
        <v>267</v>
      </c>
      <c r="BX79" s="80">
        <v>69</v>
      </c>
      <c r="BY79" s="78">
        <v>83</v>
      </c>
      <c r="BZ79" s="115">
        <v>86.22</v>
      </c>
      <c r="CA79" s="115">
        <v>79.260000000000005</v>
      </c>
      <c r="CB79" s="112"/>
      <c r="CC79" s="112"/>
      <c r="CE79" s="70">
        <v>155.69999999999999</v>
      </c>
      <c r="CF79" s="70">
        <v>8.4</v>
      </c>
      <c r="CG79" s="69">
        <v>315</v>
      </c>
      <c r="CH79" s="69">
        <v>315</v>
      </c>
      <c r="CI79" s="69">
        <v>7.1</v>
      </c>
      <c r="CJ79" s="126">
        <v>117.32</v>
      </c>
      <c r="CK79" s="60">
        <v>117.3</v>
      </c>
      <c r="CL79" s="127">
        <v>54.99</v>
      </c>
      <c r="CM79" s="127">
        <v>679.9</v>
      </c>
      <c r="CN79" s="107">
        <v>3.7</v>
      </c>
      <c r="CO79" s="58">
        <v>726.3</v>
      </c>
      <c r="CQ79" s="108" t="s">
        <v>2458</v>
      </c>
      <c r="CR79" s="78">
        <v>72.8</v>
      </c>
      <c r="CS79" s="78">
        <v>535.70000000000005</v>
      </c>
      <c r="CT79" s="78">
        <v>94.4</v>
      </c>
      <c r="CU79" s="128" t="s">
        <v>2061</v>
      </c>
      <c r="CV79" s="128">
        <v>138.5</v>
      </c>
      <c r="CW79" s="128" t="s">
        <v>2062</v>
      </c>
      <c r="CX79" s="60" t="s">
        <v>2063</v>
      </c>
      <c r="CY79" s="60">
        <v>38.799999999999997</v>
      </c>
      <c r="CZ79" s="112" t="s">
        <v>361</v>
      </c>
      <c r="DA79" s="129">
        <v>364484</v>
      </c>
      <c r="DB79" s="129">
        <v>161163</v>
      </c>
      <c r="DC79" s="70">
        <v>1475.7</v>
      </c>
      <c r="DD79" s="86" t="s">
        <v>2064</v>
      </c>
      <c r="DE79" s="60" t="s">
        <v>2065</v>
      </c>
      <c r="DF79" s="60" t="s">
        <v>2066</v>
      </c>
      <c r="DG79" s="60" t="s">
        <v>2067</v>
      </c>
      <c r="DI79" s="70">
        <v>13</v>
      </c>
      <c r="DJ79" s="70">
        <v>74</v>
      </c>
      <c r="DK79" s="130">
        <v>103.4</v>
      </c>
      <c r="DM79" s="80">
        <v>246</v>
      </c>
      <c r="DN79" s="80">
        <v>302</v>
      </c>
      <c r="DO79" s="70">
        <v>2270</v>
      </c>
      <c r="DP79" s="131">
        <v>98.5</v>
      </c>
      <c r="DQ79" s="132">
        <v>26.8</v>
      </c>
      <c r="DR79" s="60">
        <v>29.4</v>
      </c>
      <c r="DS79" s="78"/>
      <c r="DT79" s="90">
        <v>144</v>
      </c>
      <c r="DU79" s="60">
        <v>367</v>
      </c>
      <c r="DV79" s="70">
        <v>174</v>
      </c>
      <c r="DW79" s="70">
        <v>91</v>
      </c>
      <c r="DX79" s="78"/>
      <c r="DY79" s="70">
        <v>108.3</v>
      </c>
      <c r="DZ79" s="70">
        <v>106.7</v>
      </c>
      <c r="EA79" s="70">
        <v>105.4</v>
      </c>
      <c r="EB79" s="70">
        <v>105.7</v>
      </c>
      <c r="EC79" s="86" t="s">
        <v>2059</v>
      </c>
      <c r="ED79" s="60" t="s">
        <v>2060</v>
      </c>
      <c r="EE79" s="60">
        <v>119.2</v>
      </c>
      <c r="EF79" s="60">
        <v>94.4</v>
      </c>
      <c r="EG79" s="60">
        <v>108.1</v>
      </c>
      <c r="EH79" s="78"/>
      <c r="EI79" s="60">
        <v>30.7</v>
      </c>
      <c r="EJ79" s="89">
        <v>2524.4</v>
      </c>
      <c r="EK79" s="89">
        <v>492</v>
      </c>
      <c r="EL79" s="87">
        <v>2082</v>
      </c>
      <c r="EM79" s="133">
        <v>18.399999999999999</v>
      </c>
      <c r="EN79" s="133" t="s">
        <v>2068</v>
      </c>
      <c r="EO79" s="78"/>
      <c r="EP79" s="133" t="s">
        <v>2069</v>
      </c>
      <c r="EQ79" s="134">
        <v>14532</v>
      </c>
      <c r="ER79" s="60">
        <v>84208</v>
      </c>
      <c r="ES79" s="60">
        <v>283825</v>
      </c>
      <c r="ET79" s="110" t="s">
        <v>2459</v>
      </c>
      <c r="EU79" s="110" t="s">
        <v>2460</v>
      </c>
      <c r="EV79" s="78"/>
      <c r="EW79" s="135">
        <v>81.8</v>
      </c>
      <c r="EX79" s="136">
        <v>41.1</v>
      </c>
      <c r="EY79" s="137"/>
      <c r="EZ79" s="136">
        <v>2263.6</v>
      </c>
      <c r="FA79" s="109">
        <v>28.4</v>
      </c>
      <c r="FB79" s="78"/>
      <c r="FC79" s="137"/>
      <c r="FD79" s="137"/>
      <c r="FE79" s="70">
        <v>651</v>
      </c>
      <c r="FF79" s="137"/>
      <c r="FG79" s="137"/>
      <c r="FH79" s="70">
        <v>861</v>
      </c>
      <c r="FI79" s="70">
        <v>2288</v>
      </c>
      <c r="FJ79" s="137"/>
      <c r="FK79" s="70"/>
      <c r="FL79" s="90" t="s">
        <v>2070</v>
      </c>
      <c r="FM79" s="90" t="s">
        <v>2071</v>
      </c>
      <c r="FN79" s="90">
        <v>-509</v>
      </c>
    </row>
    <row r="80" spans="1:170" ht="15.6">
      <c r="A80" s="2">
        <v>86</v>
      </c>
      <c r="B80" s="52" t="s">
        <v>349</v>
      </c>
      <c r="D80" s="65">
        <v>69</v>
      </c>
      <c r="E80" s="63">
        <v>30.5</v>
      </c>
      <c r="F80" s="60">
        <v>0</v>
      </c>
      <c r="G80" s="60">
        <v>0</v>
      </c>
      <c r="H80" s="112"/>
      <c r="I80" s="112"/>
      <c r="J80" s="60">
        <v>27</v>
      </c>
      <c r="K80" s="112"/>
      <c r="L80" s="112"/>
      <c r="M80" s="93" t="s">
        <v>434</v>
      </c>
      <c r="N80" s="95" t="s">
        <v>592</v>
      </c>
      <c r="O80" s="95" t="s">
        <v>489</v>
      </c>
      <c r="Q80" s="101">
        <v>9.9499999999999993</v>
      </c>
      <c r="R80" s="102">
        <v>85.16</v>
      </c>
      <c r="S80" s="101">
        <v>62.990000000000101</v>
      </c>
      <c r="T80" s="113">
        <v>52.8</v>
      </c>
      <c r="V80" s="66">
        <v>534800</v>
      </c>
      <c r="X80" s="114">
        <v>6.7</v>
      </c>
      <c r="Y80" s="114">
        <v>2115.3000000000002</v>
      </c>
      <c r="Z80" s="71">
        <v>1081</v>
      </c>
      <c r="AA80" s="80">
        <v>22.5</v>
      </c>
      <c r="AB80" s="80">
        <v>59.2</v>
      </c>
      <c r="AC80" s="58">
        <v>16</v>
      </c>
      <c r="AD80" s="84">
        <v>76.319999999999993</v>
      </c>
      <c r="AE80" s="84">
        <v>71.599999999999994</v>
      </c>
      <c r="AF80" s="60">
        <v>80.87</v>
      </c>
      <c r="AG80" s="60">
        <v>11111</v>
      </c>
      <c r="AH80" s="60">
        <f t="shared" si="0"/>
        <v>11.111000000000001</v>
      </c>
      <c r="AI80" s="71">
        <v>367.65</v>
      </c>
      <c r="AJ80" s="115">
        <v>1.6856899999999999</v>
      </c>
      <c r="AK80" s="70">
        <v>855</v>
      </c>
      <c r="AL80" s="90">
        <v>26</v>
      </c>
      <c r="AM80" s="77">
        <v>57</v>
      </c>
      <c r="AO80" s="116">
        <v>67.599999999999994</v>
      </c>
      <c r="AP80" s="71">
        <v>72634</v>
      </c>
      <c r="AQ80" s="117" t="s">
        <v>2250</v>
      </c>
      <c r="AR80" s="100">
        <v>72.400000000000006</v>
      </c>
      <c r="AS80" s="81">
        <v>0.2</v>
      </c>
      <c r="AT80" s="118">
        <v>1.7</v>
      </c>
      <c r="AU80" s="106">
        <v>15.2</v>
      </c>
      <c r="AV80" s="71">
        <v>26.8</v>
      </c>
      <c r="AX80" s="119"/>
      <c r="AY80" s="112"/>
      <c r="AZ80" s="82" t="s">
        <v>2072</v>
      </c>
      <c r="BA80" s="79" t="s">
        <v>2073</v>
      </c>
      <c r="BB80" s="79" t="s">
        <v>2074</v>
      </c>
      <c r="BD80" s="78">
        <v>108.1</v>
      </c>
      <c r="BE80" s="120">
        <v>106.3</v>
      </c>
      <c r="BF80" s="64">
        <v>27986</v>
      </c>
      <c r="BG80" s="60">
        <v>108.4</v>
      </c>
      <c r="BH80" s="68">
        <v>108148</v>
      </c>
      <c r="BI80" s="121"/>
      <c r="BJ80" s="112"/>
      <c r="BK80" s="122">
        <v>6.5</v>
      </c>
      <c r="BL80" s="123">
        <v>43555</v>
      </c>
      <c r="BM80" s="115" t="s">
        <v>2075</v>
      </c>
      <c r="BN80" s="115" t="s">
        <v>2076</v>
      </c>
      <c r="BP80" s="115">
        <v>0.95499999999999996</v>
      </c>
      <c r="BQ80" s="84">
        <v>0.54700000000000004</v>
      </c>
      <c r="BR80" s="85" t="s">
        <v>2077</v>
      </c>
      <c r="BS80" s="85" t="s">
        <v>2078</v>
      </c>
      <c r="BT80" s="115">
        <v>21.6</v>
      </c>
      <c r="BU80" s="124">
        <v>31.5</v>
      </c>
      <c r="BV80" s="125">
        <v>2300</v>
      </c>
      <c r="BW80" s="80">
        <v>369</v>
      </c>
      <c r="BX80" s="80">
        <v>83</v>
      </c>
      <c r="BY80" s="78">
        <v>94.4</v>
      </c>
      <c r="BZ80" s="115">
        <v>95.48</v>
      </c>
      <c r="CA80" s="115">
        <v>87.1</v>
      </c>
      <c r="CB80" s="112"/>
      <c r="CC80" s="112"/>
      <c r="CE80" s="70">
        <v>240.9</v>
      </c>
      <c r="CF80" s="70">
        <v>13.2</v>
      </c>
      <c r="CG80" s="69">
        <v>115</v>
      </c>
      <c r="CH80" s="69">
        <v>115</v>
      </c>
      <c r="CI80" s="69">
        <v>4</v>
      </c>
      <c r="CJ80" s="126">
        <v>140.26</v>
      </c>
      <c r="CK80" s="60">
        <v>140.30000000000001</v>
      </c>
      <c r="CL80" s="127">
        <v>58.22</v>
      </c>
      <c r="CM80" s="139">
        <v>361.4</v>
      </c>
      <c r="CN80" s="107">
        <v>3</v>
      </c>
      <c r="CO80" s="58">
        <v>878.9</v>
      </c>
      <c r="CQ80" s="108" t="s">
        <v>2461</v>
      </c>
      <c r="CR80" s="78" t="s">
        <v>2079</v>
      </c>
      <c r="CS80" s="78" t="s">
        <v>2080</v>
      </c>
      <c r="CT80" s="78">
        <v>98.4</v>
      </c>
      <c r="CU80" s="128" t="s">
        <v>2081</v>
      </c>
      <c r="CV80" s="128">
        <v>107.5</v>
      </c>
      <c r="CW80" s="128" t="s">
        <v>2082</v>
      </c>
      <c r="CX80" s="60" t="s">
        <v>2083</v>
      </c>
      <c r="CY80" s="60">
        <v>30.1</v>
      </c>
      <c r="CZ80" s="112" t="s">
        <v>361</v>
      </c>
      <c r="DA80" s="129">
        <v>319586</v>
      </c>
      <c r="DB80" s="129">
        <v>166924</v>
      </c>
      <c r="DC80" s="70">
        <v>1339.2</v>
      </c>
      <c r="DD80" s="86" t="s">
        <v>2084</v>
      </c>
      <c r="DE80" s="60" t="s">
        <v>2085</v>
      </c>
      <c r="DF80" s="60" t="s">
        <v>2086</v>
      </c>
      <c r="DG80" s="60" t="s">
        <v>2087</v>
      </c>
      <c r="DI80" s="70">
        <v>12</v>
      </c>
      <c r="DJ80" s="70">
        <v>58</v>
      </c>
      <c r="DK80" s="130">
        <v>73.900000000000006</v>
      </c>
      <c r="DM80" s="80">
        <v>162</v>
      </c>
      <c r="DN80" s="80">
        <v>278</v>
      </c>
      <c r="DO80" s="70">
        <v>2448</v>
      </c>
      <c r="DP80" s="131">
        <v>99.6</v>
      </c>
      <c r="DQ80" s="132">
        <v>22.9</v>
      </c>
      <c r="DR80" s="60">
        <v>43.8</v>
      </c>
      <c r="DS80" s="78"/>
      <c r="DT80" s="90" t="s">
        <v>2088</v>
      </c>
      <c r="DU80" s="60" t="s">
        <v>2089</v>
      </c>
      <c r="DV80" s="70">
        <v>69</v>
      </c>
      <c r="DW80" s="70">
        <v>115.4</v>
      </c>
      <c r="DX80" s="78"/>
      <c r="DY80" s="70">
        <v>106.6</v>
      </c>
      <c r="DZ80" s="70">
        <v>100.8</v>
      </c>
      <c r="EA80" s="70">
        <v>107.4</v>
      </c>
      <c r="EB80" s="70">
        <v>104.4</v>
      </c>
      <c r="EC80" s="86" t="s">
        <v>2077</v>
      </c>
      <c r="ED80" s="60" t="s">
        <v>2078</v>
      </c>
      <c r="EE80" s="60">
        <v>85.3</v>
      </c>
      <c r="EF80" s="60">
        <v>98.4</v>
      </c>
      <c r="EG80" s="60">
        <v>100.8</v>
      </c>
      <c r="EH80" s="78"/>
      <c r="EI80" s="60">
        <v>52.1</v>
      </c>
      <c r="EJ80" s="89">
        <v>4773</v>
      </c>
      <c r="EK80" s="140"/>
      <c r="EL80" s="87">
        <v>2062</v>
      </c>
      <c r="EM80" s="133">
        <v>9.6999999999999993</v>
      </c>
      <c r="EN80" s="142" t="s">
        <v>2090</v>
      </c>
      <c r="EO80" s="78"/>
      <c r="EP80" s="133" t="s">
        <v>2091</v>
      </c>
      <c r="EQ80" s="134">
        <v>171869</v>
      </c>
      <c r="ER80" s="60">
        <v>158932</v>
      </c>
      <c r="ES80" s="60">
        <v>580892</v>
      </c>
      <c r="ET80" s="110" t="s">
        <v>2462</v>
      </c>
      <c r="EU80" s="110" t="s">
        <v>2463</v>
      </c>
      <c r="EV80" s="78"/>
      <c r="EW80" s="135">
        <v>96.3</v>
      </c>
      <c r="EX80" s="136">
        <v>44</v>
      </c>
      <c r="EY80" s="137"/>
      <c r="EZ80" s="136">
        <v>1917.8</v>
      </c>
      <c r="FA80" s="109">
        <v>25.2</v>
      </c>
      <c r="FB80" s="78"/>
      <c r="FC80" s="137"/>
      <c r="FD80" s="137"/>
      <c r="FE80" s="143" t="s">
        <v>375</v>
      </c>
      <c r="FF80" s="137"/>
      <c r="FG80" s="137"/>
      <c r="FH80" s="143" t="s">
        <v>2092</v>
      </c>
      <c r="FI80" s="143" t="s">
        <v>382</v>
      </c>
      <c r="FJ80" s="137"/>
      <c r="FK80" s="70"/>
      <c r="FL80" s="90" t="s">
        <v>2093</v>
      </c>
      <c r="FM80" s="90" t="s">
        <v>2094</v>
      </c>
      <c r="FN80" s="90" t="s">
        <v>2095</v>
      </c>
    </row>
    <row r="81" spans="1:170" ht="15.6">
      <c r="A81" s="2">
        <v>74</v>
      </c>
      <c r="B81" s="52" t="s">
        <v>350</v>
      </c>
      <c r="D81" s="63">
        <v>69.540000000000006</v>
      </c>
      <c r="E81" s="63">
        <v>29.55</v>
      </c>
      <c r="F81" s="60">
        <v>0</v>
      </c>
      <c r="G81" s="60">
        <v>0</v>
      </c>
      <c r="H81" s="112"/>
      <c r="I81" s="112"/>
      <c r="J81" s="60">
        <v>7</v>
      </c>
      <c r="K81" s="112"/>
      <c r="L81" s="112"/>
      <c r="M81" s="93" t="s">
        <v>636</v>
      </c>
      <c r="N81" s="95" t="s">
        <v>946</v>
      </c>
      <c r="O81" s="95" t="s">
        <v>489</v>
      </c>
      <c r="Q81" s="101">
        <v>9.9499999999999993</v>
      </c>
      <c r="R81" s="102">
        <v>85.16</v>
      </c>
      <c r="S81" s="101">
        <v>62.990000000000101</v>
      </c>
      <c r="T81" s="113">
        <v>51.1</v>
      </c>
      <c r="V81" s="66">
        <v>88600</v>
      </c>
      <c r="X81" s="114">
        <v>6.8</v>
      </c>
      <c r="Y81" s="114">
        <v>2115.3000000000002</v>
      </c>
      <c r="Z81" s="71">
        <v>1185</v>
      </c>
      <c r="AA81" s="80">
        <v>19.5</v>
      </c>
      <c r="AB81" s="80">
        <v>54.2</v>
      </c>
      <c r="AC81" s="58">
        <v>23.7</v>
      </c>
      <c r="AD81" s="84">
        <v>72.430000000000007</v>
      </c>
      <c r="AE81" s="84">
        <v>66.540000000000006</v>
      </c>
      <c r="AF81" s="60">
        <v>78.14</v>
      </c>
      <c r="AG81" s="60">
        <v>43356</v>
      </c>
      <c r="AH81" s="60">
        <f t="shared" si="0"/>
        <v>43.356000000000002</v>
      </c>
      <c r="AI81" s="71">
        <v>544.82499999999993</v>
      </c>
      <c r="AJ81" s="115">
        <v>1.48268</v>
      </c>
      <c r="AK81" s="70">
        <v>732</v>
      </c>
      <c r="AL81" s="90">
        <v>24</v>
      </c>
      <c r="AM81" s="77">
        <v>242</v>
      </c>
      <c r="AO81" s="116">
        <v>64.599999999999994</v>
      </c>
      <c r="AP81" s="71">
        <v>39703</v>
      </c>
      <c r="AQ81" s="117" t="s">
        <v>2214</v>
      </c>
      <c r="AR81" s="100">
        <v>73.400000000000006</v>
      </c>
      <c r="AS81" s="81">
        <v>0.3</v>
      </c>
      <c r="AT81" s="118">
        <v>1.7</v>
      </c>
      <c r="AU81" s="106">
        <v>20.9</v>
      </c>
      <c r="AV81" s="71">
        <v>45</v>
      </c>
      <c r="AX81" s="119"/>
      <c r="AY81" s="112"/>
      <c r="AZ81" s="82" t="s">
        <v>2096</v>
      </c>
      <c r="BA81" s="79" t="s">
        <v>2097</v>
      </c>
      <c r="BB81" s="79" t="s">
        <v>2098</v>
      </c>
      <c r="BD81" s="78">
        <v>105.9</v>
      </c>
      <c r="BE81" s="120">
        <v>104.8</v>
      </c>
      <c r="BF81" s="64" t="s">
        <v>2099</v>
      </c>
      <c r="BG81" s="60">
        <v>110.4</v>
      </c>
      <c r="BH81" s="68">
        <v>58424</v>
      </c>
      <c r="BI81" s="121"/>
      <c r="BJ81" s="112"/>
      <c r="BK81" s="144">
        <v>10</v>
      </c>
      <c r="BL81" s="123">
        <v>31694</v>
      </c>
      <c r="BM81" s="115" t="s">
        <v>2100</v>
      </c>
      <c r="BN81" s="115" t="s">
        <v>2101</v>
      </c>
      <c r="BP81" s="115">
        <v>2.0910000000000002</v>
      </c>
      <c r="BQ81" s="84">
        <v>0.96299999999999997</v>
      </c>
      <c r="BR81" s="85" t="s">
        <v>2102</v>
      </c>
      <c r="BS81" s="85" t="s">
        <v>2103</v>
      </c>
      <c r="BT81" s="115">
        <v>29.1</v>
      </c>
      <c r="BU81" s="124">
        <v>33.6</v>
      </c>
      <c r="BV81" s="125">
        <v>1328</v>
      </c>
      <c r="BW81" s="80">
        <v>728</v>
      </c>
      <c r="BX81" s="80">
        <v>46</v>
      </c>
      <c r="BY81" s="78">
        <v>86.8</v>
      </c>
      <c r="BZ81" s="115">
        <v>88.19</v>
      </c>
      <c r="CA81" s="115">
        <v>72.349999999999994</v>
      </c>
      <c r="CB81" s="112"/>
      <c r="CC81" s="112"/>
      <c r="CE81" s="70">
        <v>440.3</v>
      </c>
      <c r="CF81" s="70">
        <v>23.8</v>
      </c>
      <c r="CG81" s="69">
        <v>247</v>
      </c>
      <c r="CH81" s="69">
        <v>226</v>
      </c>
      <c r="CI81" s="69">
        <v>14.7</v>
      </c>
      <c r="CJ81" s="126">
        <v>136.19999999999999</v>
      </c>
      <c r="CK81" s="60">
        <v>136.19999999999999</v>
      </c>
      <c r="CL81" s="127">
        <v>43.15</v>
      </c>
      <c r="CM81" s="127">
        <v>556.1</v>
      </c>
      <c r="CN81" s="107">
        <v>4.5</v>
      </c>
      <c r="CO81" s="58">
        <v>939.3</v>
      </c>
      <c r="CQ81" s="108" t="s">
        <v>2464</v>
      </c>
      <c r="CR81" s="78">
        <v>246.1</v>
      </c>
      <c r="CS81" s="78" t="s">
        <v>2104</v>
      </c>
      <c r="CT81" s="78">
        <v>92.3</v>
      </c>
      <c r="CU81" s="128" t="s">
        <v>2105</v>
      </c>
      <c r="CV81" s="128">
        <v>107.8</v>
      </c>
      <c r="CW81" s="128" t="s">
        <v>2106</v>
      </c>
      <c r="CX81" s="60" t="s">
        <v>2107</v>
      </c>
      <c r="CY81" s="60">
        <v>24.9</v>
      </c>
      <c r="CZ81" s="112" t="s">
        <v>361</v>
      </c>
      <c r="DA81" s="129">
        <v>262784</v>
      </c>
      <c r="DB81" s="129">
        <v>264649</v>
      </c>
      <c r="DC81" s="70">
        <v>2381.6999999999998</v>
      </c>
      <c r="DD81" s="86" t="s">
        <v>2108</v>
      </c>
      <c r="DE81" s="60" t="s">
        <v>2109</v>
      </c>
      <c r="DF81" s="60" t="s">
        <v>2110</v>
      </c>
      <c r="DG81" s="60" t="s">
        <v>2111</v>
      </c>
      <c r="DI81" s="70">
        <v>249</v>
      </c>
      <c r="DJ81" s="70">
        <v>89</v>
      </c>
      <c r="DK81" s="130">
        <v>108.5</v>
      </c>
      <c r="DM81" s="80">
        <v>225</v>
      </c>
      <c r="DN81" s="80">
        <v>221</v>
      </c>
      <c r="DO81" s="70">
        <v>2309</v>
      </c>
      <c r="DP81" s="131">
        <v>98.7</v>
      </c>
      <c r="DQ81" s="132">
        <v>79.2</v>
      </c>
      <c r="DR81" s="60">
        <v>82.9</v>
      </c>
      <c r="DS81" s="78"/>
      <c r="DT81" s="90">
        <v>410</v>
      </c>
      <c r="DU81" s="60">
        <v>915</v>
      </c>
      <c r="DV81" s="70">
        <v>244</v>
      </c>
      <c r="DW81" s="70">
        <v>91.6</v>
      </c>
      <c r="DX81" s="78"/>
      <c r="DY81" s="70">
        <v>107.8</v>
      </c>
      <c r="DZ81" s="70">
        <v>104</v>
      </c>
      <c r="EA81" s="70">
        <v>110.9</v>
      </c>
      <c r="EB81" s="70">
        <v>105.3</v>
      </c>
      <c r="EC81" s="86" t="s">
        <v>2102</v>
      </c>
      <c r="ED81" s="60" t="s">
        <v>2103</v>
      </c>
      <c r="EE81" s="60">
        <v>120.6</v>
      </c>
      <c r="EF81" s="60">
        <v>92.3</v>
      </c>
      <c r="EG81" s="60">
        <v>92.1</v>
      </c>
      <c r="EH81" s="78"/>
      <c r="EI81" s="60">
        <v>39.700000000000003</v>
      </c>
      <c r="EJ81" s="89">
        <v>31259.200000000001</v>
      </c>
      <c r="EK81" s="89">
        <v>1148</v>
      </c>
      <c r="EL81" s="87">
        <v>8441</v>
      </c>
      <c r="EM81" s="133">
        <v>23.4</v>
      </c>
      <c r="EN81" s="142" t="s">
        <v>2112</v>
      </c>
      <c r="EO81" s="78"/>
      <c r="EP81" s="133" t="s">
        <v>2113</v>
      </c>
      <c r="EQ81" s="134">
        <v>50599</v>
      </c>
      <c r="ER81" s="60">
        <v>167396</v>
      </c>
      <c r="ES81" s="60">
        <v>545337</v>
      </c>
      <c r="ET81" s="110" t="s">
        <v>2465</v>
      </c>
      <c r="EU81" s="110" t="s">
        <v>2466</v>
      </c>
      <c r="EV81" s="78"/>
      <c r="EW81" s="135">
        <v>91</v>
      </c>
      <c r="EX81" s="136">
        <v>41.6</v>
      </c>
      <c r="EY81" s="137"/>
      <c r="EZ81" s="136">
        <v>1898.3</v>
      </c>
      <c r="FA81" s="109">
        <v>27.6</v>
      </c>
      <c r="FB81" s="78"/>
      <c r="FC81" s="137"/>
      <c r="FD81" s="137"/>
      <c r="FE81" s="70">
        <v>3142</v>
      </c>
      <c r="FF81" s="137"/>
      <c r="FG81" s="137"/>
      <c r="FH81" s="70">
        <v>4586</v>
      </c>
      <c r="FI81" s="70">
        <v>8779</v>
      </c>
      <c r="FJ81" s="137"/>
      <c r="FK81" s="70"/>
      <c r="FL81" s="90" t="s">
        <v>2114</v>
      </c>
      <c r="FM81" s="90" t="s">
        <v>2115</v>
      </c>
      <c r="FN81" s="90" t="s">
        <v>2116</v>
      </c>
    </row>
    <row r="82" spans="1:170" ht="15.6">
      <c r="A82" s="2">
        <v>20</v>
      </c>
      <c r="B82" s="52" t="s">
        <v>351</v>
      </c>
      <c r="D82" s="63">
        <v>97.92</v>
      </c>
      <c r="E82" s="63">
        <v>1.94</v>
      </c>
      <c r="F82" s="60">
        <v>0</v>
      </c>
      <c r="G82" s="60">
        <v>0</v>
      </c>
      <c r="H82" s="112"/>
      <c r="I82" s="112"/>
      <c r="J82" s="60">
        <v>63</v>
      </c>
      <c r="K82" s="112"/>
      <c r="L82" s="112"/>
      <c r="M82" s="93" t="s">
        <v>802</v>
      </c>
      <c r="N82" s="95" t="s">
        <v>570</v>
      </c>
      <c r="O82" s="95" t="s">
        <v>489</v>
      </c>
      <c r="Q82" s="101">
        <v>9.9499999999999993</v>
      </c>
      <c r="R82" s="102">
        <v>85.16</v>
      </c>
      <c r="S82" s="101">
        <v>62.990000000000101</v>
      </c>
      <c r="T82" s="113">
        <v>55.64</v>
      </c>
      <c r="V82" s="66">
        <v>16200</v>
      </c>
      <c r="X82" s="114">
        <v>1.8</v>
      </c>
      <c r="Y82" s="114">
        <v>2115.3000000000002</v>
      </c>
      <c r="Z82" s="71">
        <v>995</v>
      </c>
      <c r="AA82" s="80">
        <v>32.299999999999997</v>
      </c>
      <c r="AB82" s="80">
        <v>56.2</v>
      </c>
      <c r="AC82" s="58">
        <v>9.9</v>
      </c>
      <c r="AD82" s="84">
        <v>76.260000000000005</v>
      </c>
      <c r="AE82" s="84">
        <v>73.87</v>
      </c>
      <c r="AF82" s="60">
        <v>78.61</v>
      </c>
      <c r="AG82" s="60">
        <v>6583</v>
      </c>
      <c r="AH82" s="60">
        <f t="shared" si="0"/>
        <v>6.5830000000000002</v>
      </c>
      <c r="AI82" s="71">
        <v>172.32999999999998</v>
      </c>
      <c r="AJ82" s="70">
        <v>2.66</v>
      </c>
      <c r="AK82" s="70">
        <v>2413</v>
      </c>
      <c r="AL82" s="90">
        <v>5</v>
      </c>
      <c r="AM82" s="77">
        <v>212</v>
      </c>
      <c r="AO82" s="116">
        <v>55.9</v>
      </c>
      <c r="AP82" s="71">
        <v>35920</v>
      </c>
      <c r="AQ82" s="117" t="s">
        <v>2467</v>
      </c>
      <c r="AR82" s="100">
        <v>66.099999999999994</v>
      </c>
      <c r="AS82" s="81">
        <v>30.7</v>
      </c>
      <c r="AT82" s="118">
        <v>11</v>
      </c>
      <c r="AU82" s="106">
        <v>20.6</v>
      </c>
      <c r="AV82" s="71">
        <v>35.1</v>
      </c>
      <c r="AX82" s="119"/>
      <c r="AY82" s="112"/>
      <c r="AZ82" s="82" t="s">
        <v>2117</v>
      </c>
      <c r="BA82" s="79" t="s">
        <v>2118</v>
      </c>
      <c r="BB82" s="79" t="s">
        <v>2119</v>
      </c>
      <c r="BD82" s="78">
        <v>111.9</v>
      </c>
      <c r="BE82" s="120">
        <v>100.5</v>
      </c>
      <c r="BF82" s="64" t="s">
        <v>376</v>
      </c>
      <c r="BG82" s="60">
        <v>105.4</v>
      </c>
      <c r="BH82" s="68">
        <v>37589</v>
      </c>
      <c r="BI82" s="121"/>
      <c r="BJ82" s="112"/>
      <c r="BK82" s="122">
        <v>17.399999999999999</v>
      </c>
      <c r="BL82" s="123">
        <v>25262</v>
      </c>
      <c r="BM82" s="115" t="s">
        <v>2120</v>
      </c>
      <c r="BN82" s="115" t="s">
        <v>2121</v>
      </c>
      <c r="BP82" s="115">
        <v>2.3319999999999999</v>
      </c>
      <c r="BQ82" s="84">
        <v>0.29599999999999999</v>
      </c>
      <c r="BR82" s="85" t="s">
        <v>2122</v>
      </c>
      <c r="BS82" s="85" t="s">
        <v>2123</v>
      </c>
      <c r="BT82" s="115">
        <v>21.2</v>
      </c>
      <c r="BU82" s="124">
        <v>43.5</v>
      </c>
      <c r="BV82" s="125">
        <v>2426</v>
      </c>
      <c r="BW82" s="80">
        <v>280</v>
      </c>
      <c r="BX82" s="80">
        <v>85</v>
      </c>
      <c r="BY82" s="78">
        <v>92.2</v>
      </c>
      <c r="BZ82" s="115">
        <v>94.72</v>
      </c>
      <c r="CA82" s="115">
        <v>84.69</v>
      </c>
      <c r="CB82" s="112"/>
      <c r="CC82" s="112"/>
      <c r="CE82" s="70">
        <v>312.10000000000002</v>
      </c>
      <c r="CF82" s="70">
        <v>24.1</v>
      </c>
      <c r="CG82" s="69">
        <v>242</v>
      </c>
      <c r="CH82" s="69">
        <v>236</v>
      </c>
      <c r="CI82" s="69">
        <v>5.6</v>
      </c>
      <c r="CJ82" s="126">
        <v>179.03</v>
      </c>
      <c r="CK82" s="60">
        <v>179</v>
      </c>
      <c r="CL82" s="127">
        <v>33.32</v>
      </c>
      <c r="CM82" s="127">
        <v>164.4</v>
      </c>
      <c r="CN82" s="107">
        <v>5.2</v>
      </c>
      <c r="CO82" s="58">
        <v>428.3</v>
      </c>
      <c r="CQ82" s="108" t="s">
        <v>2468</v>
      </c>
      <c r="CR82" s="78">
        <v>5</v>
      </c>
      <c r="CS82" s="78">
        <v>23.7</v>
      </c>
      <c r="CT82" s="78">
        <v>110.9</v>
      </c>
      <c r="CU82" s="128" t="s">
        <v>385</v>
      </c>
      <c r="CV82" s="128">
        <v>129.19999999999999</v>
      </c>
      <c r="CW82" s="128" t="s">
        <v>2124</v>
      </c>
      <c r="CX82" s="60" t="s">
        <v>2125</v>
      </c>
      <c r="CY82" s="60">
        <v>27.1</v>
      </c>
      <c r="CZ82" s="112" t="s">
        <v>361</v>
      </c>
      <c r="DA82" s="129">
        <v>183985</v>
      </c>
      <c r="DB82" s="129">
        <v>80843</v>
      </c>
      <c r="DC82" s="70">
        <v>9.9</v>
      </c>
      <c r="DD82" s="86" t="s">
        <v>2126</v>
      </c>
      <c r="DE82" s="60" t="s">
        <v>2127</v>
      </c>
      <c r="DF82" s="60" t="s">
        <v>2128</v>
      </c>
      <c r="DG82" s="60" t="s">
        <v>2129</v>
      </c>
      <c r="DI82" s="70">
        <v>652</v>
      </c>
      <c r="DJ82" s="70">
        <v>81</v>
      </c>
      <c r="DK82" s="130">
        <v>10.9</v>
      </c>
      <c r="DM82" s="80">
        <v>154</v>
      </c>
      <c r="DN82" s="80">
        <v>268</v>
      </c>
      <c r="DO82" s="70">
        <v>720</v>
      </c>
      <c r="DP82" s="131">
        <v>99.5</v>
      </c>
      <c r="DQ82" s="132">
        <v>2.6</v>
      </c>
      <c r="DR82" s="60">
        <v>3.5</v>
      </c>
      <c r="DS82" s="78"/>
      <c r="DT82" s="90">
        <v>5</v>
      </c>
      <c r="DU82" s="60">
        <v>386</v>
      </c>
      <c r="DV82" s="70">
        <v>0</v>
      </c>
      <c r="DW82" s="70">
        <v>34.200000000000003</v>
      </c>
      <c r="DX82" s="78"/>
      <c r="DY82" s="70">
        <v>107.7</v>
      </c>
      <c r="DZ82" s="70">
        <v>101.9</v>
      </c>
      <c r="EA82" s="70">
        <v>104.5</v>
      </c>
      <c r="EB82" s="70">
        <v>101.6</v>
      </c>
      <c r="EC82" s="86" t="s">
        <v>2122</v>
      </c>
      <c r="ED82" s="60" t="s">
        <v>2123</v>
      </c>
      <c r="EE82" s="60">
        <v>100.2</v>
      </c>
      <c r="EF82" s="60">
        <v>110.9</v>
      </c>
      <c r="EG82" s="60">
        <v>107.9</v>
      </c>
      <c r="EH82" s="78"/>
      <c r="EI82" s="60">
        <v>37.4</v>
      </c>
      <c r="EJ82" s="89">
        <v>445.5</v>
      </c>
      <c r="EK82" s="89">
        <v>129</v>
      </c>
      <c r="EL82" s="87">
        <v>425</v>
      </c>
      <c r="EM82" s="133">
        <v>7.9</v>
      </c>
      <c r="EN82" s="142">
        <v>112.1</v>
      </c>
      <c r="EO82" s="78"/>
      <c r="EP82" s="133" t="s">
        <v>2130</v>
      </c>
      <c r="EQ82" s="134">
        <v>275</v>
      </c>
      <c r="ER82" s="60">
        <v>23547</v>
      </c>
      <c r="ES82" s="60">
        <v>55477</v>
      </c>
      <c r="ET82" s="110" t="s">
        <v>2469</v>
      </c>
      <c r="EU82" s="110">
        <v>84</v>
      </c>
      <c r="EV82" s="78"/>
      <c r="EW82" s="135">
        <v>97.5</v>
      </c>
      <c r="EX82" s="136">
        <v>40.700000000000003</v>
      </c>
      <c r="EY82" s="137"/>
      <c r="EZ82" s="136">
        <v>1159.8</v>
      </c>
      <c r="FA82" s="109">
        <v>6.6</v>
      </c>
      <c r="FB82" s="78"/>
      <c r="FC82" s="137"/>
      <c r="FD82" s="137"/>
      <c r="FE82" s="70">
        <v>319</v>
      </c>
      <c r="FF82" s="137"/>
      <c r="FG82" s="137"/>
      <c r="FH82" s="70">
        <v>270</v>
      </c>
      <c r="FI82" s="70">
        <v>118</v>
      </c>
      <c r="FJ82" s="137"/>
      <c r="FK82" s="70"/>
      <c r="FL82" s="90" t="s">
        <v>2131</v>
      </c>
      <c r="FM82" s="90" t="s">
        <v>2132</v>
      </c>
      <c r="FN82" s="90" t="s">
        <v>2133</v>
      </c>
    </row>
    <row r="83" spans="1:170" ht="15.6">
      <c r="A83" s="2">
        <v>21</v>
      </c>
      <c r="B83" s="52" t="s">
        <v>352</v>
      </c>
      <c r="D83" s="63">
        <v>72.569999999999993</v>
      </c>
      <c r="E83" s="63">
        <v>26.25</v>
      </c>
      <c r="F83" s="60">
        <v>0</v>
      </c>
      <c r="G83" s="60">
        <v>0</v>
      </c>
      <c r="H83" s="112"/>
      <c r="I83" s="112"/>
      <c r="J83" s="60">
        <v>30</v>
      </c>
      <c r="K83" s="112"/>
      <c r="L83" s="112"/>
      <c r="M83" s="93" t="s">
        <v>591</v>
      </c>
      <c r="N83" s="95" t="s">
        <v>570</v>
      </c>
      <c r="O83" s="95" t="s">
        <v>489</v>
      </c>
      <c r="Q83" s="101">
        <v>9.9499999999999993</v>
      </c>
      <c r="R83" s="102">
        <v>85.16</v>
      </c>
      <c r="S83" s="101">
        <v>62.990000000000101</v>
      </c>
      <c r="T83" s="113">
        <v>51.95</v>
      </c>
      <c r="V83" s="66">
        <v>18300</v>
      </c>
      <c r="X83" s="114">
        <v>5.2</v>
      </c>
      <c r="Y83" s="114">
        <v>2115.3000000000002</v>
      </c>
      <c r="Z83" s="71">
        <v>1165</v>
      </c>
      <c r="AA83" s="80">
        <v>19.5</v>
      </c>
      <c r="AB83" s="80">
        <v>53.5</v>
      </c>
      <c r="AC83" s="58">
        <v>24.3</v>
      </c>
      <c r="AD83" s="84">
        <v>73.069999999999993</v>
      </c>
      <c r="AE83" s="84">
        <v>66.64</v>
      </c>
      <c r="AF83" s="60">
        <v>79.64</v>
      </c>
      <c r="AG83" s="60">
        <v>14606</v>
      </c>
      <c r="AH83" s="60">
        <f t="shared" si="0"/>
        <v>14.606</v>
      </c>
      <c r="AI83" s="71">
        <v>559.26499999999999</v>
      </c>
      <c r="AJ83" s="115">
        <v>1.43723</v>
      </c>
      <c r="AK83" s="70">
        <v>682</v>
      </c>
      <c r="AL83" s="146" t="s">
        <v>23</v>
      </c>
      <c r="AM83" s="147" t="s">
        <v>23</v>
      </c>
      <c r="AO83" s="116">
        <v>60.3</v>
      </c>
      <c r="AP83" s="71">
        <v>34129</v>
      </c>
      <c r="AQ83" s="117" t="s">
        <v>2214</v>
      </c>
      <c r="AR83" s="100">
        <v>73.2</v>
      </c>
      <c r="AS83" s="81">
        <v>0.3</v>
      </c>
      <c r="AT83" s="118">
        <v>2.9</v>
      </c>
      <c r="AU83" s="106">
        <v>21.7</v>
      </c>
      <c r="AV83" s="71">
        <v>34</v>
      </c>
      <c r="AX83" s="119"/>
      <c r="AY83" s="112"/>
      <c r="AZ83" s="82" t="s">
        <v>2134</v>
      </c>
      <c r="BA83" s="79" t="s">
        <v>2135</v>
      </c>
      <c r="BB83" s="79" t="s">
        <v>2136</v>
      </c>
      <c r="BD83" s="78">
        <v>112.1</v>
      </c>
      <c r="BE83" s="120">
        <v>102.7</v>
      </c>
      <c r="BF83" s="64" t="s">
        <v>2137</v>
      </c>
      <c r="BG83" s="60">
        <v>114.8</v>
      </c>
      <c r="BH83" s="68">
        <v>50263</v>
      </c>
      <c r="BI83" s="121"/>
      <c r="BJ83" s="112"/>
      <c r="BK83" s="144">
        <v>13</v>
      </c>
      <c r="BL83" s="123">
        <v>25976</v>
      </c>
      <c r="BM83" s="115" t="s">
        <v>2138</v>
      </c>
      <c r="BN83" s="115" t="s">
        <v>2139</v>
      </c>
      <c r="BP83" s="115">
        <v>0.78100000000000003</v>
      </c>
      <c r="BQ83" s="84">
        <v>0.39700000000000002</v>
      </c>
      <c r="BR83" s="85" t="s">
        <v>2140</v>
      </c>
      <c r="BS83" s="85" t="s">
        <v>2141</v>
      </c>
      <c r="BT83" s="115">
        <v>31.7</v>
      </c>
      <c r="BU83" s="124">
        <v>38.1</v>
      </c>
      <c r="BV83" s="125">
        <v>997</v>
      </c>
      <c r="BW83" s="80">
        <v>249</v>
      </c>
      <c r="BX83" s="80">
        <v>30</v>
      </c>
      <c r="BY83" s="78">
        <v>73.8</v>
      </c>
      <c r="BZ83" s="115">
        <v>96.25</v>
      </c>
      <c r="CA83" s="115">
        <v>63.9</v>
      </c>
      <c r="CB83" s="112"/>
      <c r="CC83" s="112"/>
      <c r="CE83" s="70">
        <v>152.1</v>
      </c>
      <c r="CF83" s="70">
        <v>8.9</v>
      </c>
      <c r="CG83" s="69">
        <v>306</v>
      </c>
      <c r="CH83" s="69">
        <v>280</v>
      </c>
      <c r="CI83" s="69">
        <v>6.3</v>
      </c>
      <c r="CJ83" s="126">
        <v>124.23</v>
      </c>
      <c r="CK83" s="60">
        <v>124.2</v>
      </c>
      <c r="CL83" s="127">
        <v>54.64</v>
      </c>
      <c r="CM83" s="139">
        <v>583.20000000000005</v>
      </c>
      <c r="CN83" s="107">
        <v>2.1</v>
      </c>
      <c r="CO83" s="58">
        <v>861.8</v>
      </c>
      <c r="CQ83" s="108" t="s">
        <v>2470</v>
      </c>
      <c r="CR83" s="78">
        <v>1</v>
      </c>
      <c r="CS83" s="78">
        <v>402.9</v>
      </c>
      <c r="CT83" s="78">
        <v>100.5</v>
      </c>
      <c r="CU83" s="128" t="s">
        <v>2142</v>
      </c>
      <c r="CV83" s="128">
        <v>113.2</v>
      </c>
      <c r="CW83" s="128" t="s">
        <v>2143</v>
      </c>
      <c r="CX83" s="60" t="s">
        <v>2144</v>
      </c>
      <c r="CY83" s="60">
        <v>20.3</v>
      </c>
      <c r="CZ83" s="60" t="s">
        <v>2145</v>
      </c>
      <c r="DA83" s="129">
        <v>220764</v>
      </c>
      <c r="DB83" s="129">
        <v>72948</v>
      </c>
      <c r="DC83" s="70">
        <v>1119.2</v>
      </c>
      <c r="DD83" s="86" t="s">
        <v>2146</v>
      </c>
      <c r="DE83" s="60" t="s">
        <v>2147</v>
      </c>
      <c r="DF83" s="60" t="s">
        <v>2148</v>
      </c>
      <c r="DG83" s="60" t="s">
        <v>2149</v>
      </c>
      <c r="DI83" s="70">
        <v>472</v>
      </c>
      <c r="DJ83" s="70">
        <v>109</v>
      </c>
      <c r="DK83" s="130">
        <v>75.400000000000006</v>
      </c>
      <c r="DM83" s="80">
        <v>388</v>
      </c>
      <c r="DN83" s="80">
        <v>347</v>
      </c>
      <c r="DO83" s="70">
        <v>4237</v>
      </c>
      <c r="DP83" s="131">
        <v>99.1</v>
      </c>
      <c r="DQ83" s="132">
        <v>13.1</v>
      </c>
      <c r="DR83" s="60">
        <v>20.3</v>
      </c>
      <c r="DS83" s="78"/>
      <c r="DT83" s="90">
        <v>26</v>
      </c>
      <c r="DU83" s="60">
        <v>90</v>
      </c>
      <c r="DV83" s="70">
        <v>58</v>
      </c>
      <c r="DW83" s="70">
        <v>97.1</v>
      </c>
      <c r="DX83" s="78"/>
      <c r="DY83" s="70">
        <v>108</v>
      </c>
      <c r="DZ83" s="70">
        <v>106.2</v>
      </c>
      <c r="EA83" s="70">
        <v>107.4</v>
      </c>
      <c r="EB83" s="70">
        <v>104.7</v>
      </c>
      <c r="EC83" s="86" t="s">
        <v>2140</v>
      </c>
      <c r="ED83" s="60" t="s">
        <v>2141</v>
      </c>
      <c r="EE83" s="60">
        <v>122.2</v>
      </c>
      <c r="EF83" s="60">
        <v>100.5</v>
      </c>
      <c r="EG83" s="60">
        <v>95.9</v>
      </c>
      <c r="EH83" s="78"/>
      <c r="EI83" s="60">
        <v>48.6</v>
      </c>
      <c r="EJ83" s="89">
        <v>1298.7</v>
      </c>
      <c r="EK83" s="89">
        <v>76</v>
      </c>
      <c r="EL83" s="87">
        <v>2578</v>
      </c>
      <c r="EM83" s="133">
        <v>30.7</v>
      </c>
      <c r="EN83" s="133" t="s">
        <v>2150</v>
      </c>
      <c r="EO83" s="78"/>
      <c r="EP83" s="133" t="s">
        <v>2151</v>
      </c>
      <c r="EQ83" s="134">
        <v>7367</v>
      </c>
      <c r="ER83" s="60">
        <v>65710</v>
      </c>
      <c r="ES83" s="60">
        <v>191550</v>
      </c>
      <c r="ET83" s="110" t="s">
        <v>2471</v>
      </c>
      <c r="EU83" s="110" t="s">
        <v>2472</v>
      </c>
      <c r="EV83" s="78"/>
      <c r="EW83" s="135">
        <v>81</v>
      </c>
      <c r="EX83" s="136">
        <v>42.3</v>
      </c>
      <c r="EY83" s="137"/>
      <c r="EZ83" s="136">
        <v>1820.3</v>
      </c>
      <c r="FA83" s="109">
        <v>20.399999999999999</v>
      </c>
      <c r="FB83" s="78"/>
      <c r="FC83" s="137"/>
      <c r="FD83" s="137"/>
      <c r="FE83" s="143">
        <v>719</v>
      </c>
      <c r="FF83" s="137"/>
      <c r="FG83" s="137"/>
      <c r="FH83" s="143">
        <v>754</v>
      </c>
      <c r="FI83" s="143" t="s">
        <v>2152</v>
      </c>
      <c r="FJ83" s="137"/>
      <c r="FK83" s="70"/>
      <c r="FL83" s="90" t="s">
        <v>2153</v>
      </c>
      <c r="FM83" s="90" t="s">
        <v>2154</v>
      </c>
      <c r="FN83" s="90">
        <v>-942</v>
      </c>
    </row>
    <row r="84" spans="1:170" ht="15.6">
      <c r="A84" s="2">
        <v>87</v>
      </c>
      <c r="B84" s="52" t="s">
        <v>353</v>
      </c>
      <c r="D84" s="65">
        <v>80.3</v>
      </c>
      <c r="E84" s="63">
        <v>18.600000000000001</v>
      </c>
      <c r="F84" s="60">
        <v>0</v>
      </c>
      <c r="G84" s="60">
        <v>0</v>
      </c>
      <c r="H84" s="112"/>
      <c r="I84" s="112"/>
      <c r="J84" s="60">
        <v>85</v>
      </c>
      <c r="K84" s="112"/>
      <c r="L84" s="112"/>
      <c r="M84" s="93" t="s">
        <v>432</v>
      </c>
      <c r="N84" s="95" t="s">
        <v>570</v>
      </c>
      <c r="O84" s="95" t="s">
        <v>489</v>
      </c>
      <c r="Q84" s="101">
        <v>9.9499999999999993</v>
      </c>
      <c r="R84" s="102">
        <v>85.16</v>
      </c>
      <c r="S84" s="101">
        <v>62.990000000000101</v>
      </c>
      <c r="T84" s="113">
        <v>62.35</v>
      </c>
      <c r="V84" s="66">
        <v>721500</v>
      </c>
      <c r="X84" s="114">
        <v>6.1</v>
      </c>
      <c r="Y84" s="114">
        <v>2115.3000000000002</v>
      </c>
      <c r="Z84" s="71">
        <v>1038</v>
      </c>
      <c r="AA84" s="80">
        <v>22.1</v>
      </c>
      <c r="AB84" s="80">
        <v>62.4</v>
      </c>
      <c r="AC84" s="58">
        <v>13</v>
      </c>
      <c r="AD84" s="84">
        <v>66.56</v>
      </c>
      <c r="AE84" s="84">
        <v>58.67</v>
      </c>
      <c r="AF84" s="60">
        <v>76.39</v>
      </c>
      <c r="AG84" s="60">
        <v>479</v>
      </c>
      <c r="AH84" s="60">
        <f t="shared" si="0"/>
        <v>0.47899999999999998</v>
      </c>
      <c r="AI84" s="71">
        <v>779</v>
      </c>
      <c r="AJ84" s="115">
        <v>1.6715500000000001</v>
      </c>
      <c r="AK84" s="70">
        <v>771</v>
      </c>
      <c r="AL84" s="90">
        <v>3</v>
      </c>
      <c r="AM84" s="77">
        <v>20</v>
      </c>
      <c r="AO84" s="116">
        <v>77.8</v>
      </c>
      <c r="AP84" s="71">
        <v>156988</v>
      </c>
      <c r="AQ84" s="117" t="s">
        <v>2473</v>
      </c>
      <c r="AR84" s="100">
        <v>76.099999999999994</v>
      </c>
      <c r="AS84" s="81">
        <v>0.2</v>
      </c>
      <c r="AT84" s="118">
        <v>0.7</v>
      </c>
      <c r="AU84" s="106">
        <v>3.3</v>
      </c>
      <c r="AV84" s="71">
        <v>75.7</v>
      </c>
      <c r="AX84" s="119"/>
      <c r="AY84" s="112"/>
      <c r="AZ84" s="82" t="s">
        <v>2155</v>
      </c>
      <c r="BA84" s="79" t="s">
        <v>2156</v>
      </c>
      <c r="BB84" s="79" t="s">
        <v>2157</v>
      </c>
      <c r="BD84" s="78">
        <v>107.5</v>
      </c>
      <c r="BE84" s="120">
        <v>105.5</v>
      </c>
      <c r="BF84" s="64" t="s">
        <v>2158</v>
      </c>
      <c r="BG84" s="60">
        <v>106.8</v>
      </c>
      <c r="BH84" s="68">
        <v>159071</v>
      </c>
      <c r="BI84" s="121"/>
      <c r="BJ84" s="112"/>
      <c r="BK84" s="122">
        <v>5.2</v>
      </c>
      <c r="BL84" s="123">
        <v>45215</v>
      </c>
      <c r="BM84" s="115" t="s">
        <v>2159</v>
      </c>
      <c r="BN84" s="115" t="s">
        <v>2160</v>
      </c>
      <c r="BP84" s="115">
        <v>6.0000000000000001E-3</v>
      </c>
      <c r="BQ84" s="84">
        <v>6.0000000000000001E-3</v>
      </c>
      <c r="BR84" s="85" t="s">
        <v>2161</v>
      </c>
      <c r="BS84" s="157" t="s">
        <v>2474</v>
      </c>
      <c r="BT84" s="115">
        <v>25</v>
      </c>
      <c r="BU84" s="124">
        <v>42.4</v>
      </c>
      <c r="BV84" s="125">
        <v>2175</v>
      </c>
      <c r="BW84" s="80">
        <v>10</v>
      </c>
      <c r="BX84" s="80">
        <v>73</v>
      </c>
      <c r="BY84" s="78">
        <v>93.8</v>
      </c>
      <c r="BZ84" s="115">
        <v>98.12</v>
      </c>
      <c r="CA84" s="115">
        <v>89.9</v>
      </c>
      <c r="CB84" s="112"/>
      <c r="CC84" s="112"/>
      <c r="CE84" s="70">
        <v>7.2</v>
      </c>
      <c r="CF84" s="70">
        <v>0.6</v>
      </c>
      <c r="CG84" s="69">
        <v>26</v>
      </c>
      <c r="CH84" s="69">
        <v>26</v>
      </c>
      <c r="CI84" s="153" t="s">
        <v>23</v>
      </c>
      <c r="CJ84" s="126">
        <v>74.23</v>
      </c>
      <c r="CK84" s="60">
        <v>74.2</v>
      </c>
      <c r="CL84" s="127">
        <v>76.41</v>
      </c>
      <c r="CM84" s="127">
        <v>918.9</v>
      </c>
      <c r="CN84" s="107">
        <v>19.100000000000001</v>
      </c>
      <c r="CO84" s="58">
        <v>1259.0999999999999</v>
      </c>
      <c r="CQ84" s="108" t="s">
        <v>2475</v>
      </c>
      <c r="CR84" s="78">
        <v>14.6</v>
      </c>
      <c r="CS84" s="78">
        <v>125.9</v>
      </c>
      <c r="CT84" s="78">
        <v>91.5</v>
      </c>
      <c r="CU84" s="128" t="s">
        <v>2162</v>
      </c>
      <c r="CV84" s="128">
        <v>100.4</v>
      </c>
      <c r="CW84" s="128" t="s">
        <v>2163</v>
      </c>
      <c r="CX84" s="60" t="s">
        <v>427</v>
      </c>
      <c r="CY84" s="60">
        <v>47.5</v>
      </c>
      <c r="CZ84" s="112" t="s">
        <v>361</v>
      </c>
      <c r="DA84" s="129">
        <v>301633</v>
      </c>
      <c r="DB84" s="129">
        <v>4777</v>
      </c>
      <c r="DC84" s="70">
        <v>61.3</v>
      </c>
      <c r="DD84" s="60" t="s">
        <v>2164</v>
      </c>
      <c r="DE84" s="60" t="s">
        <v>2165</v>
      </c>
      <c r="DF84" s="60" t="s">
        <v>2166</v>
      </c>
      <c r="DG84" s="60" t="s">
        <v>2167</v>
      </c>
      <c r="DI84" s="70">
        <v>1.3</v>
      </c>
      <c r="DJ84" s="70">
        <v>94</v>
      </c>
      <c r="DK84" s="130">
        <v>27.1</v>
      </c>
      <c r="DM84" s="80">
        <v>0</v>
      </c>
      <c r="DN84" s="80" t="s">
        <v>405</v>
      </c>
      <c r="DO84" s="70">
        <v>75</v>
      </c>
      <c r="DP84" s="131">
        <v>96.4</v>
      </c>
      <c r="DQ84" s="148" t="s">
        <v>433</v>
      </c>
      <c r="DR84" s="112" t="s">
        <v>2168</v>
      </c>
      <c r="DS84" s="78"/>
      <c r="DT84" s="90">
        <v>20</v>
      </c>
      <c r="DU84" s="60">
        <v>100</v>
      </c>
      <c r="DV84" s="70">
        <v>3</v>
      </c>
      <c r="DW84" s="70">
        <v>84.5</v>
      </c>
      <c r="DX84" s="78"/>
      <c r="DY84" s="70">
        <v>106.4</v>
      </c>
      <c r="DZ84" s="70">
        <v>104.4</v>
      </c>
      <c r="EA84" s="70">
        <v>102.2</v>
      </c>
      <c r="EB84" s="70">
        <v>105.6</v>
      </c>
      <c r="EC84" s="86" t="s">
        <v>2161</v>
      </c>
      <c r="ED84" s="137"/>
      <c r="EE84" s="60">
        <v>108.5</v>
      </c>
      <c r="EF84" s="60">
        <v>91.5</v>
      </c>
      <c r="EG84" s="60">
        <v>98.2</v>
      </c>
      <c r="EH84" s="78"/>
      <c r="EI84" s="60">
        <v>46.4</v>
      </c>
      <c r="EJ84" s="140"/>
      <c r="EK84" s="140"/>
      <c r="EL84" s="87">
        <v>178</v>
      </c>
      <c r="EM84" s="133">
        <v>13.6</v>
      </c>
      <c r="EN84" s="133">
        <v>677.5</v>
      </c>
      <c r="EO84" s="78"/>
      <c r="EP84" s="133" t="s">
        <v>2169</v>
      </c>
      <c r="EQ84" s="134">
        <v>1515</v>
      </c>
      <c r="ER84" s="60">
        <v>4371</v>
      </c>
      <c r="ES84" s="60">
        <v>15409</v>
      </c>
      <c r="ET84" s="110" t="s">
        <v>2476</v>
      </c>
      <c r="EU84" s="110">
        <v>454</v>
      </c>
      <c r="EV84" s="78"/>
      <c r="EW84" s="135">
        <v>90.5</v>
      </c>
      <c r="EX84" s="136">
        <v>48</v>
      </c>
      <c r="EY84" s="137"/>
      <c r="EZ84" s="136">
        <v>1928.2</v>
      </c>
      <c r="FA84" s="109">
        <v>21.5</v>
      </c>
      <c r="FB84" s="78"/>
      <c r="FC84" s="137"/>
      <c r="FD84" s="137"/>
      <c r="FE84" s="70">
        <v>97</v>
      </c>
      <c r="FF84" s="137"/>
      <c r="FG84" s="137"/>
      <c r="FH84" s="70">
        <v>15</v>
      </c>
      <c r="FI84" s="70">
        <v>212</v>
      </c>
      <c r="FJ84" s="137"/>
      <c r="FK84" s="70"/>
      <c r="FL84" s="90" t="s">
        <v>2170</v>
      </c>
      <c r="FM84" s="90" t="s">
        <v>2171</v>
      </c>
      <c r="FN84" s="90">
        <v>150</v>
      </c>
    </row>
    <row r="85" spans="1:170" ht="15.6">
      <c r="A85" s="2">
        <v>89</v>
      </c>
      <c r="B85" s="52" t="s">
        <v>354</v>
      </c>
      <c r="D85" s="63">
        <v>89.16</v>
      </c>
      <c r="E85" s="63">
        <v>10.29</v>
      </c>
      <c r="F85" s="60">
        <v>0</v>
      </c>
      <c r="G85" s="60">
        <v>0</v>
      </c>
      <c r="H85" s="112"/>
      <c r="I85" s="112"/>
      <c r="J85" s="60">
        <v>73</v>
      </c>
      <c r="K85" s="112"/>
      <c r="L85" s="112"/>
      <c r="M85" s="93" t="s">
        <v>926</v>
      </c>
      <c r="N85" s="95" t="s">
        <v>511</v>
      </c>
      <c r="O85" s="95" t="s">
        <v>592</v>
      </c>
      <c r="Q85" s="101">
        <v>9.9499999999999993</v>
      </c>
      <c r="R85" s="102">
        <v>85.16</v>
      </c>
      <c r="S85" s="101">
        <v>62.990000000000101</v>
      </c>
      <c r="T85" s="113">
        <v>52.76</v>
      </c>
      <c r="V85" s="66">
        <v>769300</v>
      </c>
      <c r="X85" s="114">
        <v>7.4</v>
      </c>
      <c r="Y85" s="114">
        <v>2115.3000000000002</v>
      </c>
      <c r="Z85" s="71">
        <v>1061</v>
      </c>
      <c r="AA85" s="80">
        <v>23.2</v>
      </c>
      <c r="AB85" s="80">
        <v>62.2</v>
      </c>
      <c r="AC85" s="58">
        <v>12.6</v>
      </c>
      <c r="AD85" s="84">
        <v>75.3</v>
      </c>
      <c r="AE85" s="84">
        <v>70.41</v>
      </c>
      <c r="AF85" s="60">
        <v>80.19</v>
      </c>
      <c r="AG85" s="60">
        <v>2812</v>
      </c>
      <c r="AH85" s="60">
        <f t="shared" si="0"/>
        <v>2.8119999999999998</v>
      </c>
      <c r="AI85" s="71">
        <v>405.84</v>
      </c>
      <c r="AJ85" s="115">
        <v>1.93516</v>
      </c>
      <c r="AK85" s="70">
        <v>795</v>
      </c>
      <c r="AL85" s="146" t="s">
        <v>23</v>
      </c>
      <c r="AM85" s="147" t="s">
        <v>23</v>
      </c>
      <c r="AO85" s="116">
        <v>74</v>
      </c>
      <c r="AP85" s="71">
        <v>139651</v>
      </c>
      <c r="AQ85" s="117" t="s">
        <v>2477</v>
      </c>
      <c r="AR85" s="100">
        <v>82.4</v>
      </c>
      <c r="AS85" s="81">
        <v>0.1</v>
      </c>
      <c r="AT85" s="118">
        <v>0.9</v>
      </c>
      <c r="AU85" s="106">
        <v>27.9</v>
      </c>
      <c r="AV85" s="71">
        <v>42.6</v>
      </c>
      <c r="AX85" s="119"/>
      <c r="AY85" s="112"/>
      <c r="AZ85" s="82" t="s">
        <v>2172</v>
      </c>
      <c r="BA85" s="79" t="s">
        <v>2173</v>
      </c>
      <c r="BB85" s="79" t="s">
        <v>2174</v>
      </c>
      <c r="BD85" s="78">
        <v>113</v>
      </c>
      <c r="BE85" s="120">
        <v>104.7</v>
      </c>
      <c r="BF85" s="64" t="s">
        <v>2175</v>
      </c>
      <c r="BG85" s="60">
        <v>106.6</v>
      </c>
      <c r="BH85" s="68">
        <v>145050</v>
      </c>
      <c r="BI85" s="121"/>
      <c r="BJ85" s="112"/>
      <c r="BK85" s="122">
        <v>3.6</v>
      </c>
      <c r="BL85" s="123">
        <v>56231</v>
      </c>
      <c r="BM85" s="115" t="s">
        <v>2176</v>
      </c>
      <c r="BN85" s="115" t="s">
        <v>2177</v>
      </c>
      <c r="BP85" s="115">
        <v>0.28999999999999998</v>
      </c>
      <c r="BQ85" s="84">
        <v>0.22500000000000001</v>
      </c>
      <c r="BR85" s="85" t="s">
        <v>2178</v>
      </c>
      <c r="BS85" s="85" t="s">
        <v>2179</v>
      </c>
      <c r="BT85" s="115">
        <v>22.3</v>
      </c>
      <c r="BU85" s="124">
        <v>30.8</v>
      </c>
      <c r="BV85" s="125">
        <v>3018</v>
      </c>
      <c r="BW85" s="80">
        <v>134</v>
      </c>
      <c r="BX85" s="80">
        <v>79</v>
      </c>
      <c r="BY85" s="78">
        <v>98</v>
      </c>
      <c r="BZ85" s="115">
        <v>99.34</v>
      </c>
      <c r="CA85" s="115">
        <v>92.96</v>
      </c>
      <c r="CB85" s="112"/>
      <c r="CC85" s="112"/>
      <c r="CE85" s="70">
        <v>82</v>
      </c>
      <c r="CF85" s="70">
        <v>5.5</v>
      </c>
      <c r="CG85" s="69">
        <v>2</v>
      </c>
      <c r="CH85" s="69">
        <v>2</v>
      </c>
      <c r="CI85" s="153" t="s">
        <v>23</v>
      </c>
      <c r="CJ85" s="126">
        <v>125.14</v>
      </c>
      <c r="CK85" s="60">
        <v>125.1</v>
      </c>
      <c r="CL85" s="127">
        <v>69.849999999999994</v>
      </c>
      <c r="CM85" s="139">
        <v>406.9</v>
      </c>
      <c r="CN85" s="107">
        <v>4.0999999999999996</v>
      </c>
      <c r="CO85" s="58">
        <v>1428.9</v>
      </c>
      <c r="CQ85" s="108" t="s">
        <v>2478</v>
      </c>
      <c r="CR85" s="78" t="s">
        <v>2180</v>
      </c>
      <c r="CS85" s="78">
        <v>949.1</v>
      </c>
      <c r="CT85" s="78">
        <v>80.7</v>
      </c>
      <c r="CU85" s="128" t="s">
        <v>2181</v>
      </c>
      <c r="CV85" s="128">
        <v>97.1</v>
      </c>
      <c r="CW85" s="128" t="s">
        <v>2182</v>
      </c>
      <c r="CX85" s="60" t="s">
        <v>2183</v>
      </c>
      <c r="CY85" s="60">
        <v>30.5</v>
      </c>
      <c r="CZ85" s="112" t="s">
        <v>361</v>
      </c>
      <c r="DA85" s="129">
        <v>399312</v>
      </c>
      <c r="DB85" s="129">
        <v>62525</v>
      </c>
      <c r="DC85" s="70">
        <v>529.20000000000005</v>
      </c>
      <c r="DD85" s="86" t="s">
        <v>2184</v>
      </c>
      <c r="DE85" s="60" t="s">
        <v>2185</v>
      </c>
      <c r="DF85" s="60" t="s">
        <v>2186</v>
      </c>
      <c r="DG85" s="60" t="s">
        <v>2187</v>
      </c>
      <c r="DI85" s="70">
        <v>3.7</v>
      </c>
      <c r="DJ85" s="70">
        <v>76</v>
      </c>
      <c r="DK85" s="130">
        <v>51.9</v>
      </c>
      <c r="DM85" s="80">
        <v>0</v>
      </c>
      <c r="DN85" s="80">
        <v>490</v>
      </c>
      <c r="DO85" s="70">
        <v>2495</v>
      </c>
      <c r="DP85" s="131">
        <v>97.9</v>
      </c>
      <c r="DQ85" s="132">
        <v>4.5999999999999996</v>
      </c>
      <c r="DR85" s="60">
        <v>5</v>
      </c>
      <c r="DS85" s="78"/>
      <c r="DT85" s="90">
        <v>879</v>
      </c>
      <c r="DU85" s="60">
        <v>189</v>
      </c>
      <c r="DV85" s="70">
        <v>25</v>
      </c>
      <c r="DW85" s="70">
        <v>113.3</v>
      </c>
      <c r="DX85" s="78"/>
      <c r="DY85" s="70">
        <v>105.2</v>
      </c>
      <c r="DZ85" s="70">
        <v>105</v>
      </c>
      <c r="EA85" s="70">
        <v>107.2</v>
      </c>
      <c r="EB85" s="70">
        <v>105.9</v>
      </c>
      <c r="EC85" s="86" t="s">
        <v>2178</v>
      </c>
      <c r="ED85" s="60" t="s">
        <v>2179</v>
      </c>
      <c r="EE85" s="60">
        <v>98.9</v>
      </c>
      <c r="EF85" s="60">
        <v>80.7</v>
      </c>
      <c r="EG85" s="60">
        <v>105.8</v>
      </c>
      <c r="EH85" s="78"/>
      <c r="EI85" s="60">
        <v>55.8</v>
      </c>
      <c r="EJ85" s="89">
        <v>415.1</v>
      </c>
      <c r="EK85" s="140"/>
      <c r="EL85" s="87">
        <v>3520</v>
      </c>
      <c r="EM85" s="133">
        <v>7.7</v>
      </c>
      <c r="EN85" s="142" t="s">
        <v>2188</v>
      </c>
      <c r="EO85" s="78"/>
      <c r="EP85" s="133" t="s">
        <v>470</v>
      </c>
      <c r="EQ85" s="134">
        <v>5321</v>
      </c>
      <c r="ER85" s="60">
        <v>61285</v>
      </c>
      <c r="ES85" s="60">
        <v>212141</v>
      </c>
      <c r="ET85" s="110" t="s">
        <v>2479</v>
      </c>
      <c r="EU85" s="110" t="s">
        <v>2480</v>
      </c>
      <c r="EV85" s="78"/>
      <c r="EW85" s="135">
        <v>98.6</v>
      </c>
      <c r="EX85" s="136">
        <v>43.9</v>
      </c>
      <c r="EY85" s="137"/>
      <c r="EZ85" s="136">
        <v>2435.9</v>
      </c>
      <c r="FA85" s="109">
        <v>25</v>
      </c>
      <c r="FB85" s="78"/>
      <c r="FC85" s="137"/>
      <c r="FD85" s="137"/>
      <c r="FE85" s="70">
        <v>298</v>
      </c>
      <c r="FF85" s="137"/>
      <c r="FG85" s="137"/>
      <c r="FH85" s="70">
        <v>872</v>
      </c>
      <c r="FI85" s="70">
        <v>1284</v>
      </c>
      <c r="FJ85" s="137"/>
      <c r="FK85" s="70"/>
      <c r="FL85" s="90" t="s">
        <v>2189</v>
      </c>
      <c r="FM85" s="90" t="s">
        <v>396</v>
      </c>
      <c r="FN85" s="90">
        <v>-256</v>
      </c>
    </row>
    <row r="86" spans="1:170" ht="15.6">
      <c r="A86" s="2">
        <v>76</v>
      </c>
      <c r="B86" s="52" t="s">
        <v>355</v>
      </c>
      <c r="D86" s="63">
        <v>70.69</v>
      </c>
      <c r="E86" s="63">
        <v>28.62</v>
      </c>
      <c r="F86" s="60">
        <v>0</v>
      </c>
      <c r="G86" s="60">
        <v>0</v>
      </c>
      <c r="H86" s="112"/>
      <c r="I86" s="112"/>
      <c r="J86" s="60">
        <v>44</v>
      </c>
      <c r="K86" s="112"/>
      <c r="L86" s="112"/>
      <c r="M86" s="93" t="s">
        <v>697</v>
      </c>
      <c r="N86" s="95" t="s">
        <v>592</v>
      </c>
      <c r="O86" s="95" t="s">
        <v>489</v>
      </c>
      <c r="Q86" s="101">
        <v>9.9499999999999993</v>
      </c>
      <c r="R86" s="102">
        <v>85.16</v>
      </c>
      <c r="S86" s="101">
        <v>62.990000000000101</v>
      </c>
      <c r="T86" s="113">
        <v>51.8</v>
      </c>
      <c r="V86" s="66">
        <v>36200</v>
      </c>
      <c r="X86" s="114">
        <v>6.5</v>
      </c>
      <c r="Y86" s="114">
        <v>2115.3000000000002</v>
      </c>
      <c r="Z86" s="71">
        <v>1227</v>
      </c>
      <c r="AA86" s="80">
        <v>17.7</v>
      </c>
      <c r="AB86" s="80">
        <v>53.6</v>
      </c>
      <c r="AC86" s="58">
        <v>26.1</v>
      </c>
      <c r="AD86" s="84">
        <v>71.989999999999995</v>
      </c>
      <c r="AE86" s="84">
        <v>65.760000000000005</v>
      </c>
      <c r="AF86" s="60">
        <v>78</v>
      </c>
      <c r="AG86" s="60">
        <v>17723</v>
      </c>
      <c r="AH86" s="60">
        <f t="shared" si="0"/>
        <v>17.722999999999999</v>
      </c>
      <c r="AI86" s="71">
        <v>590.42499999999995</v>
      </c>
      <c r="AJ86" s="70">
        <v>1.3160000000000001</v>
      </c>
      <c r="AK86" s="70">
        <v>680</v>
      </c>
      <c r="AL86" s="90">
        <v>10</v>
      </c>
      <c r="AM86" s="77">
        <v>67</v>
      </c>
      <c r="AO86" s="116">
        <v>60.8</v>
      </c>
      <c r="AP86" s="71">
        <v>46684</v>
      </c>
      <c r="AQ86" s="117" t="s">
        <v>2433</v>
      </c>
      <c r="AR86" s="100">
        <v>78.099999999999994</v>
      </c>
      <c r="AS86" s="81">
        <v>0.2</v>
      </c>
      <c r="AT86" s="118">
        <v>3.6</v>
      </c>
      <c r="AU86" s="106">
        <v>14.1</v>
      </c>
      <c r="AV86" s="71">
        <v>52.1</v>
      </c>
      <c r="AX86" s="119"/>
      <c r="AY86" s="112"/>
      <c r="AZ86" s="82" t="s">
        <v>2190</v>
      </c>
      <c r="BA86" s="79" t="s">
        <v>2191</v>
      </c>
      <c r="BB86" s="79" t="s">
        <v>2192</v>
      </c>
      <c r="BD86" s="78">
        <v>108.4</v>
      </c>
      <c r="BE86" s="120">
        <v>104.8</v>
      </c>
      <c r="BF86" s="64" t="s">
        <v>2193</v>
      </c>
      <c r="BG86" s="60">
        <v>111.5</v>
      </c>
      <c r="BH86" s="68">
        <v>55536</v>
      </c>
      <c r="BI86" s="121"/>
      <c r="BJ86" s="112"/>
      <c r="BK86" s="144">
        <v>8</v>
      </c>
      <c r="BL86" s="123">
        <v>34156</v>
      </c>
      <c r="BM86" s="115" t="s">
        <v>2194</v>
      </c>
      <c r="BN86" s="115" t="s">
        <v>2195</v>
      </c>
      <c r="BP86" s="115">
        <v>0.95399999999999996</v>
      </c>
      <c r="BQ86" s="84">
        <v>0.43099999999999999</v>
      </c>
      <c r="BR86" s="85" t="s">
        <v>2196</v>
      </c>
      <c r="BS86" s="85" t="s">
        <v>2197</v>
      </c>
      <c r="BT86" s="115">
        <v>32.299999999999997</v>
      </c>
      <c r="BU86" s="124">
        <v>37.1</v>
      </c>
      <c r="BV86" s="125">
        <v>3018</v>
      </c>
      <c r="BW86" s="80">
        <v>259</v>
      </c>
      <c r="BX86" s="80">
        <v>26</v>
      </c>
      <c r="BY86" s="78">
        <v>82.7</v>
      </c>
      <c r="BZ86" s="115">
        <v>85.4</v>
      </c>
      <c r="CA86" s="115">
        <v>71.75</v>
      </c>
      <c r="CB86" s="112"/>
      <c r="CC86" s="112"/>
      <c r="CE86" s="70">
        <v>145.1</v>
      </c>
      <c r="CF86" s="70">
        <v>8.4</v>
      </c>
      <c r="CG86" s="69">
        <v>265</v>
      </c>
      <c r="CH86" s="69">
        <v>229</v>
      </c>
      <c r="CI86" s="69">
        <v>4.9000000000000004</v>
      </c>
      <c r="CJ86" s="126">
        <v>109.61</v>
      </c>
      <c r="CK86" s="60">
        <v>109.6</v>
      </c>
      <c r="CL86" s="127">
        <v>55.47</v>
      </c>
      <c r="CM86" s="127">
        <v>583.70000000000005</v>
      </c>
      <c r="CN86" s="107">
        <v>5.0999999999999996</v>
      </c>
      <c r="CO86" s="58">
        <v>922.4</v>
      </c>
      <c r="CQ86" s="108" t="s">
        <v>2481</v>
      </c>
      <c r="CR86" s="78">
        <v>2.6</v>
      </c>
      <c r="CS86" s="78">
        <v>642.29999999999995</v>
      </c>
      <c r="CT86" s="78">
        <v>105.1</v>
      </c>
      <c r="CU86" s="128" t="s">
        <v>2198</v>
      </c>
      <c r="CV86" s="128">
        <v>106.1</v>
      </c>
      <c r="CW86" s="128" t="s">
        <v>2199</v>
      </c>
      <c r="CX86" s="60" t="s">
        <v>2200</v>
      </c>
      <c r="CY86" s="60">
        <v>25.2</v>
      </c>
      <c r="CZ86" s="112" t="s">
        <v>361</v>
      </c>
      <c r="DA86" s="129">
        <v>301750</v>
      </c>
      <c r="DB86" s="129">
        <v>89822</v>
      </c>
      <c r="DC86" s="70">
        <v>1281.2</v>
      </c>
      <c r="DD86" s="86" t="s">
        <v>2201</v>
      </c>
      <c r="DE86" s="60" t="s">
        <v>2202</v>
      </c>
      <c r="DF86" s="60" t="s">
        <v>2203</v>
      </c>
      <c r="DG86" s="60" t="s">
        <v>367</v>
      </c>
      <c r="DI86" s="70">
        <v>287</v>
      </c>
      <c r="DJ86" s="70">
        <v>108</v>
      </c>
      <c r="DK86" s="130">
        <v>119.9</v>
      </c>
      <c r="DM86" s="80">
        <v>287</v>
      </c>
      <c r="DN86" s="80" t="s">
        <v>1665</v>
      </c>
      <c r="DO86" s="70">
        <v>453</v>
      </c>
      <c r="DP86" s="131">
        <v>100</v>
      </c>
      <c r="DQ86" s="132">
        <v>60.1</v>
      </c>
      <c r="DR86" s="60">
        <v>31.6</v>
      </c>
      <c r="DS86" s="78"/>
      <c r="DT86" s="90">
        <v>63</v>
      </c>
      <c r="DU86" s="60">
        <v>180</v>
      </c>
      <c r="DV86" s="70">
        <v>143</v>
      </c>
      <c r="DW86" s="70">
        <v>112.6</v>
      </c>
      <c r="DX86" s="78"/>
      <c r="DY86" s="70">
        <v>106.6</v>
      </c>
      <c r="DZ86" s="70">
        <v>103.1</v>
      </c>
      <c r="EA86" s="70">
        <v>108.5</v>
      </c>
      <c r="EB86" s="70">
        <v>102.8</v>
      </c>
      <c r="EC86" s="86" t="s">
        <v>2196</v>
      </c>
      <c r="ED86" s="60" t="s">
        <v>2197</v>
      </c>
      <c r="EE86" s="60">
        <v>121.7</v>
      </c>
      <c r="EF86" s="60">
        <v>105.1</v>
      </c>
      <c r="EG86" s="60">
        <v>97.7</v>
      </c>
      <c r="EH86" s="78"/>
      <c r="EI86" s="60">
        <v>36.700000000000003</v>
      </c>
      <c r="EJ86" s="89">
        <v>14766.6</v>
      </c>
      <c r="EK86" s="89">
        <v>713</v>
      </c>
      <c r="EL86" s="141">
        <v>3819</v>
      </c>
      <c r="EM86" s="133">
        <v>22</v>
      </c>
      <c r="EN86" s="142" t="s">
        <v>2204</v>
      </c>
      <c r="EO86" s="78"/>
      <c r="EP86" s="133" t="s">
        <v>2205</v>
      </c>
      <c r="EQ86" s="134">
        <v>21255</v>
      </c>
      <c r="ER86" s="60">
        <v>47711</v>
      </c>
      <c r="ES86" s="60">
        <v>169038</v>
      </c>
      <c r="ET86" s="110" t="s">
        <v>2482</v>
      </c>
      <c r="EU86" s="110" t="s">
        <v>473</v>
      </c>
      <c r="EV86" s="78"/>
      <c r="EW86" s="135">
        <v>80.400000000000006</v>
      </c>
      <c r="EX86" s="136">
        <v>42.9</v>
      </c>
      <c r="EY86" s="137"/>
      <c r="EZ86" s="136">
        <v>2141.5</v>
      </c>
      <c r="FA86" s="109">
        <v>28.1</v>
      </c>
      <c r="FB86" s="78"/>
      <c r="FC86" s="137"/>
      <c r="FD86" s="137"/>
      <c r="FE86" s="70">
        <v>759</v>
      </c>
      <c r="FF86" s="137"/>
      <c r="FG86" s="137"/>
      <c r="FH86" s="70">
        <v>653</v>
      </c>
      <c r="FI86" s="70">
        <v>1504</v>
      </c>
      <c r="FJ86" s="137"/>
      <c r="FK86" s="70"/>
      <c r="FL86" s="90" t="s">
        <v>2206</v>
      </c>
      <c r="FM86" s="90" t="s">
        <v>2207</v>
      </c>
      <c r="FN86" s="90" t="s">
        <v>2208</v>
      </c>
    </row>
    <row r="87" spans="1:170" ht="14.4">
      <c r="AQ87" s="158"/>
      <c r="BD87" s="159"/>
      <c r="BE87" s="159"/>
      <c r="BF87" s="67"/>
      <c r="BL87" s="134"/>
      <c r="BP87" s="67"/>
      <c r="BQ87" s="84"/>
      <c r="CN87" s="105"/>
      <c r="CO87" s="105"/>
      <c r="CQ87" s="105"/>
      <c r="CR87" s="78"/>
      <c r="EC87" s="86"/>
      <c r="EG87" s="105"/>
      <c r="EQ87" s="134"/>
      <c r="EU87" s="105"/>
    </row>
    <row r="88" spans="1:170" ht="15.6">
      <c r="A88" s="60" t="s">
        <v>2483</v>
      </c>
      <c r="B88" s="60" t="s">
        <v>2484</v>
      </c>
      <c r="AQ88" s="158"/>
      <c r="BD88" s="160"/>
      <c r="BE88" s="160"/>
      <c r="BF88" s="67"/>
      <c r="BL88" s="134"/>
      <c r="BP88" s="5"/>
      <c r="BQ88" s="84"/>
      <c r="CN88" s="105"/>
      <c r="CO88" s="105"/>
      <c r="CQ88" s="105"/>
      <c r="EC88" s="86"/>
      <c r="EG88" s="105"/>
      <c r="EQ88" s="134"/>
    </row>
    <row r="89" spans="1:170" ht="15.6">
      <c r="A89" s="60" t="s">
        <v>2485</v>
      </c>
      <c r="B89" s="60" t="s">
        <v>2486</v>
      </c>
      <c r="AQ89" s="158"/>
      <c r="BD89" s="160"/>
      <c r="BE89" s="160"/>
      <c r="BF89" s="67"/>
      <c r="BL89" s="134"/>
      <c r="BP89" s="5"/>
      <c r="CN89" s="105"/>
      <c r="CO89" s="105"/>
      <c r="CQ89" s="105"/>
      <c r="EC89" s="86"/>
      <c r="EG89" s="105"/>
      <c r="EQ89" s="134"/>
    </row>
    <row r="90" spans="1:170" ht="15.6">
      <c r="A90" s="60" t="s">
        <v>2487</v>
      </c>
      <c r="B90" s="60" t="s">
        <v>2488</v>
      </c>
      <c r="AQ90" s="158"/>
      <c r="BD90" s="160"/>
      <c r="BE90" s="160"/>
      <c r="BF90" s="67"/>
      <c r="BL90" s="134"/>
      <c r="BP90" s="5"/>
      <c r="CN90" s="105"/>
      <c r="CO90" s="105"/>
      <c r="CQ90" s="105"/>
      <c r="EC90" s="86"/>
      <c r="EG90" s="105"/>
      <c r="EQ90" s="134"/>
    </row>
    <row r="91" spans="1:170" ht="15.6">
      <c r="A91" s="60" t="s">
        <v>2489</v>
      </c>
      <c r="B91" s="60" t="s">
        <v>2490</v>
      </c>
      <c r="AQ91" s="158"/>
      <c r="BD91" s="160"/>
      <c r="BE91" s="67"/>
      <c r="BF91" s="67"/>
      <c r="BL91" s="134"/>
      <c r="BP91" s="5"/>
      <c r="CN91" s="105"/>
      <c r="CO91" s="105"/>
      <c r="CQ91" s="105"/>
      <c r="EC91" s="86"/>
      <c r="EG91" s="105"/>
      <c r="EQ91" s="134"/>
    </row>
    <row r="92" spans="1:170" ht="15.6">
      <c r="A92" s="60" t="s">
        <v>2491</v>
      </c>
      <c r="B92" s="60" t="s">
        <v>2492</v>
      </c>
      <c r="AQ92" s="158"/>
      <c r="BD92" s="67"/>
      <c r="BE92" s="67"/>
      <c r="BF92" s="67"/>
      <c r="BL92" s="134"/>
      <c r="BP92" s="5"/>
      <c r="CN92" s="105"/>
      <c r="CO92" s="105" t="s">
        <v>0</v>
      </c>
      <c r="CQ92" s="105"/>
      <c r="EC92" s="86"/>
      <c r="EG92" s="105"/>
      <c r="EQ92" s="134"/>
    </row>
    <row r="93" spans="1:170" ht="15.6">
      <c r="A93" s="60" t="s">
        <v>2493</v>
      </c>
      <c r="B93" s="60" t="s">
        <v>2486</v>
      </c>
      <c r="AQ93" s="158"/>
      <c r="BD93" s="67"/>
      <c r="BE93" s="67"/>
      <c r="BF93" s="67"/>
      <c r="BL93" s="134"/>
      <c r="BP93" s="5"/>
      <c r="CN93" s="105"/>
      <c r="CO93" s="105"/>
      <c r="CQ93" s="105"/>
      <c r="EC93" s="86"/>
      <c r="EG93" s="105"/>
      <c r="EQ93" s="134"/>
    </row>
    <row r="94" spans="1:170" ht="15.6">
      <c r="A94" s="60" t="s">
        <v>2494</v>
      </c>
      <c r="B94" s="60" t="s">
        <v>2495</v>
      </c>
      <c r="AQ94" s="158"/>
      <c r="BD94" s="67"/>
      <c r="BE94" s="67"/>
      <c r="BF94" s="67"/>
      <c r="BL94" s="134"/>
      <c r="BP94" s="5"/>
      <c r="CN94" s="105"/>
      <c r="CO94" s="105"/>
      <c r="CP94" s="60" t="s">
        <v>0</v>
      </c>
      <c r="CQ94" s="105"/>
      <c r="EC94" s="86"/>
      <c r="EG94" s="105"/>
      <c r="EQ94" s="134"/>
    </row>
    <row r="95" spans="1:170" ht="15.6">
      <c r="A95" s="60" t="s">
        <v>2496</v>
      </c>
      <c r="B95" s="60" t="s">
        <v>2497</v>
      </c>
      <c r="AQ95" s="158"/>
      <c r="BD95" s="67"/>
      <c r="BE95" s="67"/>
      <c r="BF95" s="67"/>
      <c r="BI95" s="60" t="s">
        <v>0</v>
      </c>
      <c r="BL95" s="134"/>
      <c r="BP95" s="5"/>
      <c r="CN95" s="105"/>
      <c r="CO95" s="105"/>
      <c r="CQ95" s="105"/>
      <c r="EC95" s="86"/>
      <c r="EG95" s="105"/>
      <c r="EQ95" s="134"/>
    </row>
    <row r="96" spans="1:170" ht="15.6">
      <c r="A96" s="60" t="s">
        <v>2498</v>
      </c>
      <c r="B96" s="60" t="s">
        <v>2499</v>
      </c>
      <c r="AQ96" s="158"/>
      <c r="BD96" s="67"/>
      <c r="BE96" s="67"/>
      <c r="BF96" s="67"/>
      <c r="BL96" s="134"/>
      <c r="BP96" s="5"/>
      <c r="CN96" s="105"/>
      <c r="CO96" s="105"/>
      <c r="CQ96" s="105"/>
      <c r="DL96" s="60" t="s">
        <v>0</v>
      </c>
      <c r="EC96" s="86"/>
      <c r="EG96" s="105"/>
      <c r="EQ96" s="134"/>
    </row>
    <row r="97" spans="1:147" ht="15.6">
      <c r="A97" s="60" t="s">
        <v>2500</v>
      </c>
      <c r="B97" s="60" t="s">
        <v>2501</v>
      </c>
      <c r="AQ97" s="158"/>
      <c r="BD97" s="67"/>
      <c r="BE97" s="67"/>
      <c r="BF97" s="67"/>
      <c r="BL97" s="134"/>
      <c r="BP97" s="5"/>
      <c r="CN97" s="105"/>
      <c r="CO97" s="105"/>
      <c r="CQ97" s="105"/>
      <c r="EC97" s="86"/>
      <c r="EG97" s="105"/>
      <c r="EQ97" s="134"/>
    </row>
    <row r="98" spans="1:147" ht="14.4">
      <c r="A98" s="60" t="s">
        <v>2502</v>
      </c>
      <c r="B98" s="60" t="s">
        <v>2503</v>
      </c>
      <c r="AQ98" s="158"/>
      <c r="BD98" s="67"/>
      <c r="BE98" s="67"/>
      <c r="BF98" s="67"/>
      <c r="BL98" s="134"/>
      <c r="BP98" s="67"/>
      <c r="CN98" s="105"/>
      <c r="CO98" s="105"/>
      <c r="CQ98" s="105"/>
      <c r="EC98" s="86"/>
      <c r="EG98" s="105"/>
      <c r="EQ98" s="134"/>
    </row>
    <row r="99" spans="1:147" ht="14.4">
      <c r="A99" s="60" t="s">
        <v>2504</v>
      </c>
      <c r="B99" s="60" t="s">
        <v>2505</v>
      </c>
      <c r="AQ99" s="158"/>
      <c r="BD99" s="67"/>
      <c r="BE99" s="67"/>
      <c r="BF99" s="67"/>
      <c r="BL99" s="134"/>
      <c r="BP99" s="67"/>
      <c r="CN99" s="105"/>
      <c r="CO99" s="105"/>
      <c r="CQ99" s="105"/>
      <c r="EC99" s="86"/>
      <c r="EG99" s="105"/>
      <c r="EQ99" s="134"/>
    </row>
    <row r="100" spans="1:147" ht="14.4">
      <c r="A100" s="60" t="s">
        <v>2506</v>
      </c>
      <c r="B100" s="60" t="s">
        <v>2507</v>
      </c>
      <c r="AQ100" s="158"/>
      <c r="BD100" s="67"/>
      <c r="BE100" s="67"/>
      <c r="BF100" s="67"/>
      <c r="BL100" s="134"/>
      <c r="BP100" s="67"/>
      <c r="CN100" s="105"/>
      <c r="CO100" s="105"/>
      <c r="CQ100" s="105"/>
      <c r="EC100" s="86"/>
      <c r="EG100" s="105"/>
      <c r="EQ100" s="134"/>
    </row>
    <row r="101" spans="1:147" ht="14.4">
      <c r="A101" s="60" t="s">
        <v>2508</v>
      </c>
      <c r="B101" s="60" t="s">
        <v>2503</v>
      </c>
      <c r="AQ101" s="158"/>
      <c r="BD101" s="67"/>
      <c r="BE101" s="67"/>
      <c r="BF101" s="67"/>
      <c r="BL101" s="134"/>
      <c r="BP101" s="67"/>
      <c r="CN101" s="105"/>
      <c r="CO101" s="105"/>
      <c r="CQ101" s="105"/>
      <c r="EC101" s="86"/>
      <c r="EG101" s="105"/>
      <c r="EQ101" s="134"/>
    </row>
    <row r="102" spans="1:147" ht="14.4">
      <c r="A102" s="60" t="s">
        <v>2509</v>
      </c>
      <c r="B102" s="60" t="s">
        <v>2510</v>
      </c>
      <c r="AQ102" s="158"/>
      <c r="BD102" s="67"/>
      <c r="BF102" s="67"/>
      <c r="BL102" s="134"/>
      <c r="BP102" s="67"/>
      <c r="CN102" s="105"/>
      <c r="CO102" s="105"/>
      <c r="CQ102" s="105"/>
      <c r="EC102" s="86"/>
      <c r="EG102" s="105"/>
      <c r="EQ102" s="134"/>
    </row>
    <row r="103" spans="1:147" ht="14.4">
      <c r="A103" s="60" t="s">
        <v>2511</v>
      </c>
      <c r="B103" s="60" t="s">
        <v>2512</v>
      </c>
      <c r="AQ103" s="158"/>
      <c r="BD103" s="67"/>
      <c r="BF103" s="67"/>
      <c r="BL103" s="134"/>
      <c r="BP103" s="67"/>
      <c r="CN103" s="105"/>
      <c r="CO103" s="105"/>
      <c r="CQ103" s="105"/>
      <c r="EC103" s="86"/>
      <c r="EG103" s="105"/>
      <c r="EQ103" s="134"/>
    </row>
    <row r="104" spans="1:147" ht="14.4">
      <c r="A104" s="60" t="s">
        <v>2513</v>
      </c>
      <c r="B104" s="60" t="s">
        <v>2514</v>
      </c>
      <c r="AQ104" s="158"/>
      <c r="BD104" s="67"/>
      <c r="BF104" s="67"/>
      <c r="BL104" s="134"/>
      <c r="BP104" s="67"/>
      <c r="CN104" s="105"/>
      <c r="CO104" s="105"/>
      <c r="CQ104" s="105"/>
      <c r="EC104" s="86"/>
      <c r="EG104" s="105"/>
      <c r="EQ104" s="134"/>
    </row>
    <row r="105" spans="1:147" ht="14.4">
      <c r="A105" s="60" t="s">
        <v>2515</v>
      </c>
      <c r="B105" s="60" t="s">
        <v>2516</v>
      </c>
      <c r="AQ105" s="158"/>
      <c r="BF105" s="67"/>
      <c r="BL105" s="134"/>
      <c r="BP105" s="67"/>
      <c r="CN105" s="105"/>
      <c r="CO105" s="105"/>
      <c r="CQ105" s="105"/>
      <c r="EC105" s="86"/>
      <c r="EG105" s="105"/>
      <c r="EQ105" s="134"/>
    </row>
    <row r="106" spans="1:147" ht="14.4">
      <c r="A106" s="60" t="s">
        <v>2517</v>
      </c>
      <c r="B106" s="60" t="s">
        <v>2518</v>
      </c>
      <c r="AQ106" s="158"/>
      <c r="BL106" s="134"/>
      <c r="BP106" s="67"/>
      <c r="CN106" s="105"/>
      <c r="CO106" s="105"/>
      <c r="CQ106" s="105"/>
      <c r="EC106" s="86"/>
      <c r="EG106" s="105"/>
      <c r="EQ106" s="134"/>
    </row>
    <row r="107" spans="1:147" ht="14.4">
      <c r="A107" s="60" t="s">
        <v>2519</v>
      </c>
      <c r="B107" s="60" t="s">
        <v>2520</v>
      </c>
      <c r="AQ107" s="158"/>
      <c r="BL107" s="134"/>
      <c r="BP107" s="67"/>
      <c r="CN107" s="105"/>
      <c r="CO107" s="105"/>
      <c r="CQ107" s="105"/>
      <c r="EC107" s="86"/>
      <c r="EG107" s="105"/>
      <c r="EQ107" s="134"/>
    </row>
    <row r="108" spans="1:147" ht="14.4">
      <c r="A108" s="60" t="s">
        <v>2521</v>
      </c>
      <c r="B108" s="60" t="s">
        <v>2520</v>
      </c>
      <c r="AQ108" s="158"/>
      <c r="BL108" s="134"/>
      <c r="BP108" s="67"/>
      <c r="CN108" s="105"/>
      <c r="CO108" s="105"/>
      <c r="CQ108" s="105"/>
      <c r="EC108" s="86"/>
      <c r="EG108" s="105"/>
      <c r="EQ108" s="134"/>
    </row>
    <row r="109" spans="1:147" ht="14.4">
      <c r="A109" s="60" t="s">
        <v>2522</v>
      </c>
      <c r="B109" s="60" t="s">
        <v>2523</v>
      </c>
      <c r="AQ109" s="158"/>
      <c r="BL109" s="134"/>
      <c r="BP109" s="67"/>
      <c r="CN109" s="105"/>
      <c r="CO109" s="105"/>
      <c r="CQ109" s="105"/>
      <c r="EC109" s="86"/>
      <c r="EG109" s="105"/>
      <c r="EQ109" s="134"/>
    </row>
    <row r="110" spans="1:147" ht="14.4">
      <c r="A110" s="60" t="s">
        <v>2524</v>
      </c>
      <c r="B110" s="60" t="s">
        <v>2525</v>
      </c>
      <c r="AQ110" s="158"/>
      <c r="BL110" s="134"/>
      <c r="BP110" s="67"/>
      <c r="CN110" s="105"/>
      <c r="CO110" s="105"/>
      <c r="CQ110" s="105"/>
      <c r="EC110" s="86"/>
      <c r="EG110" s="105"/>
      <c r="EQ110" s="134"/>
    </row>
    <row r="111" spans="1:147" ht="14.4">
      <c r="A111" s="60" t="s">
        <v>2526</v>
      </c>
      <c r="B111" s="60" t="s">
        <v>2527</v>
      </c>
      <c r="AQ111" s="158"/>
      <c r="BL111" s="134"/>
      <c r="BP111" s="67"/>
      <c r="CN111" s="105"/>
      <c r="CO111" s="105"/>
      <c r="CQ111" s="105"/>
      <c r="EC111" s="86"/>
      <c r="EG111" s="105"/>
      <c r="EQ111" s="134"/>
    </row>
    <row r="112" spans="1:147" ht="14.4">
      <c r="A112" s="60" t="s">
        <v>2528</v>
      </c>
      <c r="B112" s="60" t="s">
        <v>2527</v>
      </c>
      <c r="AQ112" s="158"/>
      <c r="BL112" s="134"/>
      <c r="BP112" s="67"/>
      <c r="CN112" s="105"/>
      <c r="CO112" s="105"/>
      <c r="CQ112" s="105"/>
      <c r="EC112" s="86"/>
      <c r="EG112" s="105"/>
      <c r="EQ112" s="134"/>
    </row>
    <row r="113" spans="1:147" ht="14.4">
      <c r="A113" s="60" t="s">
        <v>2529</v>
      </c>
      <c r="B113" s="60" t="s">
        <v>2530</v>
      </c>
      <c r="AQ113" s="158"/>
      <c r="BL113" s="134"/>
      <c r="BP113" s="67"/>
      <c r="CN113" s="105"/>
      <c r="CO113" s="105"/>
      <c r="CQ113" s="105"/>
      <c r="EC113" s="86"/>
      <c r="EG113" s="105"/>
      <c r="EQ113" s="134"/>
    </row>
    <row r="114" spans="1:147" ht="14.4">
      <c r="AQ114" s="158"/>
      <c r="BL114" s="134"/>
      <c r="BP114" s="67"/>
      <c r="CN114" s="105"/>
      <c r="CO114" s="105"/>
      <c r="CQ114" s="105"/>
      <c r="EC114" s="86"/>
      <c r="EG114" s="105"/>
      <c r="EQ114" s="134"/>
    </row>
    <row r="115" spans="1:147" ht="14.4">
      <c r="AF115" s="60" t="s">
        <v>2531</v>
      </c>
      <c r="AQ115" s="158"/>
      <c r="BL115" s="134"/>
      <c r="BP115" s="67"/>
      <c r="CN115" s="105"/>
      <c r="CO115" s="105"/>
      <c r="CQ115" s="105"/>
      <c r="EC115" s="86"/>
      <c r="EG115" s="105"/>
      <c r="EQ115" s="134"/>
    </row>
    <row r="116" spans="1:147" ht="14.4">
      <c r="AQ116" s="158"/>
      <c r="BL116" s="134"/>
      <c r="BP116" s="67"/>
      <c r="CN116" s="105"/>
      <c r="CO116" s="105"/>
      <c r="CQ116" s="105"/>
      <c r="EC116" s="86"/>
      <c r="EG116" s="105"/>
      <c r="EQ116" s="134"/>
    </row>
    <row r="117" spans="1:147" ht="14.4">
      <c r="AQ117" s="158"/>
      <c r="BL117" s="134"/>
      <c r="BP117" s="67"/>
      <c r="CN117" s="105"/>
      <c r="CO117" s="105"/>
      <c r="CQ117" s="105"/>
      <c r="EC117" s="86"/>
      <c r="EG117" s="105"/>
      <c r="EQ117" s="134"/>
    </row>
    <row r="118" spans="1:147" ht="14.4">
      <c r="AQ118" s="158"/>
      <c r="BL118" s="134"/>
      <c r="BP118" s="67"/>
      <c r="CN118" s="105"/>
      <c r="CO118" s="105"/>
      <c r="CQ118" s="105"/>
      <c r="EC118" s="86"/>
      <c r="EG118" s="105"/>
      <c r="EQ118" s="134"/>
    </row>
    <row r="119" spans="1:147" ht="14.4">
      <c r="AQ119" s="158"/>
      <c r="BL119" s="134"/>
      <c r="BP119" s="67"/>
      <c r="CN119" s="105"/>
      <c r="CO119" s="105"/>
      <c r="CQ119" s="105"/>
      <c r="EC119" s="86"/>
      <c r="EG119" s="105"/>
      <c r="EQ119" s="134"/>
    </row>
    <row r="120" spans="1:147" ht="14.4">
      <c r="AQ120" s="158"/>
      <c r="BL120" s="134"/>
      <c r="BP120" s="67"/>
      <c r="CN120" s="105"/>
      <c r="CO120" s="105"/>
      <c r="CQ120" s="105"/>
      <c r="EC120" s="86"/>
      <c r="EG120" s="105"/>
      <c r="EQ120" s="134"/>
    </row>
    <row r="121" spans="1:147" ht="14.4">
      <c r="AQ121" s="158"/>
      <c r="BL121" s="134"/>
      <c r="BP121" s="67"/>
      <c r="CN121" s="105"/>
      <c r="CO121" s="105"/>
      <c r="CQ121" s="105"/>
      <c r="EC121" s="86"/>
      <c r="EG121" s="105"/>
      <c r="EQ121" s="134"/>
    </row>
    <row r="122" spans="1:147" ht="14.4">
      <c r="AQ122" s="158"/>
      <c r="BL122" s="134"/>
      <c r="BP122" s="67"/>
      <c r="CN122" s="105"/>
      <c r="CO122" s="105"/>
      <c r="CQ122" s="105"/>
      <c r="EC122" s="86"/>
      <c r="EG122" s="105"/>
      <c r="EQ122" s="134"/>
    </row>
    <row r="123" spans="1:147" ht="14.4">
      <c r="AQ123" s="158"/>
      <c r="BL123" s="134"/>
      <c r="BP123" s="67"/>
      <c r="CN123" s="105"/>
      <c r="CO123" s="105"/>
      <c r="CQ123" s="105"/>
      <c r="EC123" s="86"/>
      <c r="EG123" s="105"/>
      <c r="EQ123" s="134"/>
    </row>
    <row r="124" spans="1:147" ht="14.4">
      <c r="AQ124" s="158"/>
      <c r="BL124" s="134"/>
      <c r="BP124" s="67"/>
      <c r="CN124" s="105"/>
      <c r="CO124" s="105"/>
      <c r="CQ124" s="105"/>
      <c r="EC124" s="86"/>
      <c r="EG124" s="105"/>
      <c r="EQ124" s="134"/>
    </row>
    <row r="125" spans="1:147" ht="14.4">
      <c r="AQ125" s="158"/>
      <c r="BL125" s="134"/>
      <c r="BP125" s="67"/>
      <c r="CN125" s="105"/>
      <c r="CO125" s="105"/>
      <c r="CQ125" s="105"/>
      <c r="EC125" s="86"/>
      <c r="EG125" s="105"/>
      <c r="EQ125" s="134"/>
    </row>
    <row r="126" spans="1:147" ht="14.4">
      <c r="AQ126" s="158"/>
      <c r="BL126" s="134"/>
      <c r="BP126" s="67"/>
      <c r="CN126" s="105"/>
      <c r="CO126" s="105"/>
      <c r="CQ126" s="105"/>
      <c r="EC126" s="86"/>
      <c r="EG126" s="105"/>
      <c r="EQ126" s="134"/>
    </row>
    <row r="127" spans="1:147" ht="14.4">
      <c r="AQ127" s="158"/>
      <c r="BL127" s="134"/>
      <c r="BP127" s="67"/>
      <c r="CN127" s="105"/>
      <c r="CO127" s="105"/>
      <c r="CQ127" s="105"/>
      <c r="EC127" s="86"/>
      <c r="EG127" s="105"/>
      <c r="EQ127" s="134"/>
    </row>
    <row r="128" spans="1:147" ht="14.4">
      <c r="AQ128" s="158"/>
      <c r="BL128" s="134"/>
      <c r="BP128" s="67"/>
      <c r="CN128" s="105"/>
      <c r="CO128" s="105"/>
      <c r="CQ128" s="105"/>
      <c r="EC128" s="86"/>
      <c r="EG128" s="105"/>
      <c r="EQ128" s="134"/>
    </row>
    <row r="129" spans="43:147" ht="14.4">
      <c r="AQ129" s="158"/>
      <c r="BL129" s="134"/>
      <c r="BP129" s="67"/>
      <c r="CN129" s="105"/>
      <c r="CO129" s="105"/>
      <c r="CQ129" s="105"/>
      <c r="EC129" s="86"/>
      <c r="EG129" s="105"/>
      <c r="EQ129" s="134"/>
    </row>
    <row r="130" spans="43:147" ht="14.4">
      <c r="AQ130" s="158"/>
      <c r="BL130" s="134"/>
      <c r="BP130" s="67"/>
      <c r="CN130" s="105"/>
      <c r="CO130" s="105"/>
      <c r="CQ130" s="105"/>
      <c r="EC130" s="86"/>
      <c r="EG130" s="105"/>
      <c r="EQ130" s="134"/>
    </row>
    <row r="131" spans="43:147" ht="14.4">
      <c r="AQ131" s="158"/>
      <c r="BL131" s="134"/>
      <c r="BP131" s="67"/>
      <c r="CN131" s="105"/>
      <c r="CO131" s="105"/>
      <c r="CQ131" s="105"/>
      <c r="EC131" s="86"/>
      <c r="EG131" s="105"/>
      <c r="EQ131" s="134"/>
    </row>
    <row r="132" spans="43:147" ht="14.4">
      <c r="AQ132" s="158"/>
      <c r="BL132" s="134"/>
      <c r="BP132" s="67"/>
      <c r="CN132" s="105"/>
      <c r="CO132" s="105"/>
      <c r="CQ132" s="105"/>
      <c r="EC132" s="86"/>
      <c r="EG132" s="105"/>
      <c r="EQ132" s="134"/>
    </row>
    <row r="133" spans="43:147" ht="14.4">
      <c r="AQ133" s="158"/>
      <c r="BL133" s="134"/>
      <c r="BP133" s="67"/>
      <c r="CN133" s="105"/>
      <c r="CO133" s="105"/>
      <c r="CQ133" s="105"/>
      <c r="EC133" s="86"/>
      <c r="EG133" s="105"/>
      <c r="EQ133" s="134"/>
    </row>
    <row r="134" spans="43:147" ht="14.4">
      <c r="AQ134" s="158"/>
      <c r="BL134" s="134"/>
      <c r="BP134" s="67"/>
      <c r="CN134" s="105"/>
      <c r="CO134" s="105"/>
      <c r="CQ134" s="105"/>
      <c r="EC134" s="86"/>
      <c r="EG134" s="105"/>
      <c r="EQ134" s="134"/>
    </row>
    <row r="135" spans="43:147" ht="14.4">
      <c r="AQ135" s="158"/>
      <c r="BL135" s="134"/>
      <c r="BP135" s="67"/>
      <c r="CN135" s="105"/>
      <c r="CO135" s="105"/>
      <c r="CQ135" s="105"/>
      <c r="EC135" s="86"/>
      <c r="EG135" s="105"/>
      <c r="EQ135" s="134"/>
    </row>
    <row r="136" spans="43:147" ht="14.4">
      <c r="AQ136" s="158"/>
      <c r="BL136" s="134"/>
      <c r="BP136" s="67"/>
      <c r="CN136" s="105"/>
      <c r="CO136" s="105"/>
      <c r="CQ136" s="105"/>
      <c r="EC136" s="86"/>
      <c r="EG136" s="105"/>
      <c r="EQ136" s="134"/>
    </row>
    <row r="137" spans="43:147" ht="14.4">
      <c r="AQ137" s="158"/>
      <c r="BL137" s="134"/>
      <c r="BP137" s="67"/>
      <c r="CN137" s="105"/>
      <c r="CO137" s="105"/>
      <c r="CQ137" s="105"/>
      <c r="EC137" s="86"/>
      <c r="EG137" s="105"/>
      <c r="EQ137" s="134"/>
    </row>
    <row r="138" spans="43:147" ht="14.4">
      <c r="AQ138" s="158"/>
      <c r="BL138" s="134"/>
      <c r="BP138" s="67"/>
      <c r="CN138" s="105"/>
      <c r="CO138" s="105"/>
      <c r="CQ138" s="105"/>
      <c r="EC138" s="86"/>
      <c r="EG138" s="105"/>
      <c r="EQ138" s="134"/>
    </row>
    <row r="139" spans="43:147" ht="14.4">
      <c r="AQ139" s="158"/>
      <c r="BL139" s="134"/>
      <c r="BP139" s="67"/>
      <c r="CN139" s="105"/>
      <c r="CO139" s="105"/>
      <c r="CQ139" s="105"/>
      <c r="EC139" s="86"/>
      <c r="EG139" s="105"/>
      <c r="EQ139" s="134"/>
    </row>
    <row r="140" spans="43:147" ht="14.4">
      <c r="AQ140" s="158"/>
      <c r="BL140" s="134"/>
      <c r="BP140" s="67"/>
      <c r="CN140" s="105"/>
      <c r="CO140" s="105"/>
      <c r="CQ140" s="105"/>
      <c r="EC140" s="86"/>
      <c r="EG140" s="105"/>
      <c r="EQ140" s="134"/>
    </row>
    <row r="141" spans="43:147" ht="14.4">
      <c r="AQ141" s="158"/>
      <c r="BL141" s="134"/>
      <c r="BP141" s="67"/>
      <c r="CN141" s="105"/>
      <c r="CO141" s="105"/>
      <c r="CQ141" s="105"/>
      <c r="EC141" s="86"/>
      <c r="EG141" s="105"/>
      <c r="EQ141" s="134"/>
    </row>
    <row r="142" spans="43:147" ht="14.4">
      <c r="AQ142" s="158"/>
      <c r="BL142" s="134"/>
      <c r="BP142" s="67"/>
      <c r="CN142" s="105"/>
      <c r="CO142" s="105"/>
      <c r="CQ142" s="105"/>
      <c r="EC142" s="86"/>
      <c r="EG142" s="105"/>
      <c r="EQ142" s="134"/>
    </row>
    <row r="143" spans="43:147" ht="14.4">
      <c r="AQ143" s="158"/>
      <c r="BL143" s="134"/>
      <c r="BP143" s="67"/>
      <c r="CN143" s="105"/>
      <c r="CO143" s="105"/>
      <c r="CQ143" s="105"/>
      <c r="EC143" s="86"/>
      <c r="EG143" s="105"/>
      <c r="EQ143" s="134"/>
    </row>
    <row r="144" spans="43:147" ht="14.4">
      <c r="AQ144" s="158"/>
      <c r="BL144" s="134"/>
      <c r="BP144" s="67"/>
      <c r="CN144" s="105"/>
      <c r="CO144" s="105"/>
      <c r="CQ144" s="105"/>
      <c r="EC144" s="86"/>
      <c r="EG144" s="105"/>
      <c r="EQ144" s="134"/>
    </row>
    <row r="145" spans="43:147" ht="14.4">
      <c r="AQ145" s="158"/>
      <c r="BL145" s="134"/>
      <c r="BP145" s="67"/>
      <c r="CN145" s="105"/>
      <c r="CO145" s="105"/>
      <c r="CQ145" s="105"/>
      <c r="EC145" s="86"/>
      <c r="EG145" s="105"/>
      <c r="EQ145" s="134"/>
    </row>
    <row r="146" spans="43:147" ht="14.4">
      <c r="AQ146" s="158"/>
      <c r="BL146" s="134"/>
      <c r="BP146" s="67"/>
      <c r="CN146" s="105"/>
      <c r="CO146" s="105"/>
      <c r="CQ146" s="105"/>
      <c r="EC146" s="86"/>
      <c r="EG146" s="105"/>
      <c r="EQ146" s="134"/>
    </row>
    <row r="147" spans="43:147" ht="14.4">
      <c r="AQ147" s="158"/>
      <c r="BL147" s="134"/>
      <c r="BP147" s="67"/>
      <c r="CN147" s="105"/>
      <c r="CO147" s="105"/>
      <c r="CQ147" s="105"/>
      <c r="EC147" s="86"/>
      <c r="EG147" s="105"/>
      <c r="EQ147" s="134"/>
    </row>
    <row r="148" spans="43:147" ht="14.4">
      <c r="AQ148" s="158"/>
      <c r="BL148" s="134"/>
      <c r="BP148" s="67"/>
      <c r="CN148" s="105"/>
      <c r="CO148" s="105"/>
      <c r="CQ148" s="105"/>
      <c r="EC148" s="86"/>
      <c r="EG148" s="105"/>
      <c r="EQ148" s="134"/>
    </row>
    <row r="149" spans="43:147" ht="14.4">
      <c r="AQ149" s="158"/>
      <c r="BL149" s="134"/>
      <c r="BP149" s="67"/>
      <c r="CN149" s="105"/>
      <c r="CO149" s="105"/>
      <c r="CQ149" s="105"/>
      <c r="EC149" s="86"/>
      <c r="EG149" s="105"/>
      <c r="EQ149" s="134"/>
    </row>
    <row r="150" spans="43:147" ht="14.4">
      <c r="AQ150" s="158"/>
      <c r="BL150" s="134"/>
      <c r="BP150" s="67"/>
      <c r="CN150" s="105"/>
      <c r="CO150" s="105"/>
      <c r="CQ150" s="105"/>
      <c r="EC150" s="86"/>
      <c r="EG150" s="105"/>
      <c r="EQ150" s="134"/>
    </row>
    <row r="151" spans="43:147" ht="14.4">
      <c r="AQ151" s="158"/>
      <c r="BL151" s="134"/>
      <c r="BP151" s="67"/>
      <c r="CN151" s="105"/>
      <c r="CO151" s="105"/>
      <c r="CQ151" s="105"/>
      <c r="EC151" s="86"/>
      <c r="EG151" s="105"/>
      <c r="EQ151" s="134"/>
    </row>
    <row r="152" spans="43:147" ht="14.4">
      <c r="AQ152" s="158"/>
      <c r="BL152" s="134"/>
      <c r="BP152" s="67"/>
      <c r="CN152" s="105"/>
      <c r="CO152" s="105"/>
      <c r="CQ152" s="105"/>
      <c r="EC152" s="86"/>
      <c r="EG152" s="105"/>
      <c r="EQ152" s="134"/>
    </row>
    <row r="153" spans="43:147" ht="14.4">
      <c r="AQ153" s="158"/>
      <c r="BL153" s="134"/>
      <c r="BP153" s="67"/>
      <c r="CN153" s="105"/>
      <c r="CO153" s="105"/>
      <c r="CQ153" s="105"/>
      <c r="EC153" s="86"/>
      <c r="EG153" s="105"/>
      <c r="EQ153" s="134"/>
    </row>
    <row r="154" spans="43:147" ht="14.4">
      <c r="AQ154" s="158"/>
      <c r="BL154" s="134"/>
      <c r="BP154" s="67"/>
      <c r="CN154" s="105"/>
      <c r="CO154" s="105"/>
      <c r="CQ154" s="105"/>
      <c r="EC154" s="86"/>
      <c r="EG154" s="105"/>
      <c r="EQ154" s="134"/>
    </row>
    <row r="155" spans="43:147" ht="14.4">
      <c r="AQ155" s="158"/>
      <c r="BL155" s="134"/>
      <c r="BP155" s="67"/>
      <c r="CN155" s="105"/>
      <c r="CO155" s="105"/>
      <c r="CQ155" s="105"/>
      <c r="EC155" s="86"/>
      <c r="EG155" s="105"/>
      <c r="EQ155" s="134"/>
    </row>
    <row r="156" spans="43:147" ht="14.4">
      <c r="AQ156" s="158"/>
      <c r="BL156" s="134"/>
      <c r="BP156" s="67"/>
      <c r="CN156" s="105"/>
      <c r="CO156" s="105"/>
      <c r="CQ156" s="105"/>
      <c r="EC156" s="86"/>
      <c r="EG156" s="105"/>
      <c r="EQ156" s="134"/>
    </row>
    <row r="157" spans="43:147" ht="14.4">
      <c r="AQ157" s="158"/>
      <c r="BL157" s="134"/>
      <c r="BP157" s="67"/>
      <c r="CN157" s="105"/>
      <c r="CO157" s="105"/>
      <c r="CQ157" s="105"/>
      <c r="EC157" s="86"/>
      <c r="EG157" s="105"/>
      <c r="EQ157" s="134"/>
    </row>
    <row r="158" spans="43:147" ht="14.4">
      <c r="AQ158" s="158"/>
      <c r="BL158" s="134"/>
      <c r="BP158" s="67"/>
      <c r="CN158" s="105"/>
      <c r="CO158" s="105"/>
      <c r="CQ158" s="105"/>
      <c r="EC158" s="86"/>
      <c r="EG158" s="105"/>
      <c r="EQ158" s="134"/>
    </row>
    <row r="159" spans="43:147" ht="14.4">
      <c r="AQ159" s="158"/>
      <c r="BL159" s="134"/>
      <c r="BP159" s="67"/>
      <c r="CN159" s="105"/>
      <c r="CO159" s="105"/>
      <c r="CQ159" s="105"/>
      <c r="EC159" s="86"/>
      <c r="EG159" s="105"/>
      <c r="EQ159" s="134"/>
    </row>
    <row r="160" spans="43:147" ht="14.4">
      <c r="AQ160" s="158"/>
      <c r="BL160" s="134"/>
      <c r="BP160" s="67"/>
      <c r="CN160" s="105"/>
      <c r="CO160" s="105"/>
      <c r="CQ160" s="105"/>
      <c r="EC160" s="86"/>
      <c r="EG160" s="105"/>
      <c r="EQ160" s="134"/>
    </row>
    <row r="161" spans="43:147" ht="14.4">
      <c r="AQ161" s="158"/>
      <c r="BL161" s="134"/>
      <c r="BP161" s="67"/>
      <c r="CN161" s="105"/>
      <c r="CO161" s="105"/>
      <c r="CQ161" s="105"/>
      <c r="EC161" s="86"/>
      <c r="EG161" s="105"/>
      <c r="EQ161" s="134"/>
    </row>
    <row r="162" spans="43:147" ht="14.4">
      <c r="AQ162" s="158"/>
      <c r="BL162" s="134"/>
      <c r="BP162" s="67"/>
      <c r="CN162" s="105"/>
      <c r="CO162" s="105"/>
      <c r="CQ162" s="105"/>
      <c r="EC162" s="86"/>
      <c r="EG162" s="105"/>
      <c r="EQ162" s="134"/>
    </row>
    <row r="163" spans="43:147" ht="14.4">
      <c r="AQ163" s="158"/>
      <c r="BL163" s="134"/>
      <c r="BP163" s="67"/>
      <c r="CN163" s="105"/>
      <c r="CO163" s="105"/>
      <c r="CQ163" s="105"/>
      <c r="EC163" s="86"/>
      <c r="EG163" s="105"/>
      <c r="EQ163" s="134"/>
    </row>
    <row r="164" spans="43:147" ht="14.4">
      <c r="AQ164" s="158"/>
      <c r="BL164" s="134"/>
      <c r="BP164" s="67"/>
      <c r="CN164" s="105"/>
      <c r="CO164" s="105"/>
      <c r="CQ164" s="105"/>
      <c r="EC164" s="86"/>
      <c r="EG164" s="105"/>
      <c r="EQ164" s="134"/>
    </row>
    <row r="165" spans="43:147" ht="14.4">
      <c r="AQ165" s="158"/>
      <c r="BL165" s="134"/>
      <c r="BP165" s="67"/>
      <c r="CN165" s="105"/>
      <c r="CO165" s="105"/>
      <c r="CQ165" s="105"/>
      <c r="EC165" s="86"/>
      <c r="EG165" s="105"/>
      <c r="EQ165" s="134"/>
    </row>
    <row r="166" spans="43:147" ht="14.4">
      <c r="AQ166" s="158"/>
      <c r="BL166" s="134"/>
      <c r="BP166" s="67"/>
      <c r="CN166" s="105"/>
      <c r="CO166" s="105"/>
      <c r="CQ166" s="105"/>
      <c r="EC166" s="86"/>
      <c r="EG166" s="105"/>
      <c r="EQ166" s="134"/>
    </row>
    <row r="167" spans="43:147" ht="14.4">
      <c r="AQ167" s="158"/>
      <c r="BL167" s="134"/>
      <c r="BP167" s="67"/>
      <c r="CN167" s="105"/>
      <c r="CO167" s="105"/>
      <c r="CQ167" s="105"/>
      <c r="EC167" s="86"/>
      <c r="EG167" s="105"/>
      <c r="EQ167" s="134"/>
    </row>
    <row r="168" spans="43:147" ht="14.4">
      <c r="AQ168" s="158"/>
      <c r="BL168" s="134"/>
      <c r="BP168" s="67"/>
      <c r="CN168" s="105"/>
      <c r="CO168" s="105"/>
      <c r="CQ168" s="105"/>
      <c r="EC168" s="86"/>
      <c r="EG168" s="105"/>
      <c r="EQ168" s="134"/>
    </row>
    <row r="169" spans="43:147" ht="14.4">
      <c r="AQ169" s="158"/>
      <c r="BL169" s="134"/>
      <c r="BP169" s="67"/>
      <c r="CN169" s="105"/>
      <c r="CO169" s="105"/>
      <c r="CQ169" s="105"/>
      <c r="EC169" s="86"/>
      <c r="EG169" s="105"/>
      <c r="EQ169" s="134"/>
    </row>
    <row r="170" spans="43:147" ht="14.4">
      <c r="AQ170" s="158"/>
      <c r="BL170" s="134"/>
      <c r="BP170" s="67"/>
      <c r="CN170" s="105"/>
      <c r="CO170" s="105"/>
      <c r="CQ170" s="105"/>
      <c r="EC170" s="86"/>
      <c r="EG170" s="105"/>
      <c r="EQ170" s="134"/>
    </row>
    <row r="171" spans="43:147" ht="14.4">
      <c r="AQ171" s="158"/>
      <c r="BL171" s="134"/>
      <c r="BP171" s="67"/>
      <c r="CN171" s="105"/>
      <c r="CO171" s="105"/>
      <c r="CQ171" s="105"/>
      <c r="EC171" s="86"/>
      <c r="EG171" s="105"/>
      <c r="EQ171" s="134"/>
    </row>
    <row r="172" spans="43:147" ht="14.4">
      <c r="AQ172" s="158"/>
      <c r="BL172" s="134"/>
      <c r="BP172" s="67"/>
      <c r="CN172" s="105"/>
      <c r="CO172" s="105"/>
      <c r="CQ172" s="105"/>
      <c r="EC172" s="86"/>
      <c r="EG172" s="105"/>
      <c r="EQ172" s="134"/>
    </row>
    <row r="173" spans="43:147" ht="14.4">
      <c r="AQ173" s="158"/>
      <c r="BL173" s="134"/>
      <c r="BP173" s="67"/>
      <c r="CN173" s="105"/>
      <c r="CO173" s="105"/>
      <c r="CQ173" s="105"/>
      <c r="EC173" s="86"/>
      <c r="EG173" s="105"/>
      <c r="EQ173" s="134"/>
    </row>
    <row r="174" spans="43:147" ht="14.4">
      <c r="AQ174" s="158"/>
      <c r="BL174" s="134"/>
      <c r="BP174" s="67"/>
      <c r="CN174" s="105"/>
      <c r="CO174" s="105"/>
      <c r="CQ174" s="105"/>
      <c r="EC174" s="86"/>
      <c r="EG174" s="105"/>
      <c r="EQ174" s="134"/>
    </row>
    <row r="175" spans="43:147" ht="14.4">
      <c r="AQ175" s="158"/>
      <c r="BL175" s="134"/>
      <c r="BP175" s="67"/>
      <c r="CN175" s="105"/>
      <c r="CO175" s="105"/>
      <c r="CQ175" s="105"/>
      <c r="EC175" s="86"/>
      <c r="EG175" s="105"/>
      <c r="EQ175" s="134"/>
    </row>
    <row r="176" spans="43:147" ht="14.4">
      <c r="AQ176" s="158"/>
      <c r="BL176" s="134"/>
      <c r="BP176" s="67"/>
      <c r="CN176" s="105"/>
      <c r="CO176" s="105"/>
      <c r="CQ176" s="105"/>
      <c r="EC176" s="86"/>
      <c r="EG176" s="105"/>
      <c r="EQ176" s="134"/>
    </row>
    <row r="177" spans="43:147" ht="14.4">
      <c r="AQ177" s="158"/>
      <c r="BL177" s="134"/>
      <c r="BP177" s="67"/>
      <c r="CN177" s="105"/>
      <c r="CO177" s="105"/>
      <c r="CQ177" s="105"/>
      <c r="EC177" s="86"/>
      <c r="EG177" s="105"/>
      <c r="EQ177" s="134"/>
    </row>
    <row r="178" spans="43:147" ht="14.4">
      <c r="AQ178" s="158"/>
      <c r="BL178" s="134"/>
      <c r="BP178" s="67"/>
      <c r="CN178" s="105"/>
      <c r="CO178" s="105"/>
      <c r="CQ178" s="105"/>
      <c r="EC178" s="86"/>
      <c r="EG178" s="105"/>
      <c r="EQ178" s="134"/>
    </row>
    <row r="179" spans="43:147" ht="14.4">
      <c r="AQ179" s="158"/>
      <c r="BL179" s="134"/>
      <c r="BP179" s="67"/>
      <c r="CN179" s="105"/>
      <c r="CO179" s="105"/>
      <c r="CQ179" s="105"/>
      <c r="EC179" s="86"/>
      <c r="EG179" s="105"/>
      <c r="EQ179" s="134"/>
    </row>
    <row r="180" spans="43:147" ht="14.4">
      <c r="AQ180" s="158"/>
      <c r="BL180" s="134"/>
      <c r="BP180" s="67"/>
      <c r="CN180" s="105"/>
      <c r="CO180" s="105"/>
      <c r="CQ180" s="105"/>
      <c r="EC180" s="86"/>
      <c r="EG180" s="105"/>
      <c r="EQ180" s="134"/>
    </row>
    <row r="181" spans="43:147" ht="14.4">
      <c r="AQ181" s="158"/>
      <c r="BL181" s="134"/>
      <c r="BP181" s="67"/>
      <c r="CN181" s="105"/>
      <c r="CO181" s="105"/>
      <c r="CQ181" s="105"/>
      <c r="EC181" s="86"/>
      <c r="EG181" s="105"/>
      <c r="EQ181" s="134"/>
    </row>
    <row r="182" spans="43:147" ht="14.4">
      <c r="AQ182" s="158"/>
      <c r="BL182" s="134"/>
      <c r="BP182" s="67"/>
      <c r="CN182" s="105"/>
      <c r="CO182" s="105"/>
      <c r="CQ182" s="105"/>
      <c r="EC182" s="86"/>
      <c r="EG182" s="105"/>
      <c r="EQ182" s="134"/>
    </row>
    <row r="183" spans="43:147" ht="14.4">
      <c r="AQ183" s="158"/>
      <c r="BL183" s="134"/>
      <c r="BP183" s="67"/>
      <c r="CN183" s="105"/>
      <c r="CO183" s="105"/>
      <c r="CQ183" s="105"/>
      <c r="EC183" s="86"/>
      <c r="EG183" s="105"/>
      <c r="EQ183" s="134"/>
    </row>
    <row r="184" spans="43:147" ht="14.4">
      <c r="AQ184" s="158"/>
      <c r="BL184" s="134"/>
      <c r="BP184" s="67"/>
      <c r="CN184" s="105"/>
      <c r="CO184" s="105"/>
      <c r="CQ184" s="105"/>
      <c r="EC184" s="86"/>
      <c r="EG184" s="105"/>
      <c r="EQ184" s="134"/>
    </row>
    <row r="185" spans="43:147" ht="14.4">
      <c r="AQ185" s="158"/>
      <c r="BL185" s="134"/>
      <c r="BP185" s="67"/>
      <c r="CN185" s="105"/>
      <c r="CO185" s="105"/>
      <c r="CQ185" s="105"/>
      <c r="EC185" s="86"/>
      <c r="EG185" s="105"/>
      <c r="EQ185" s="134"/>
    </row>
    <row r="186" spans="43:147" ht="14.4">
      <c r="AQ186" s="158"/>
      <c r="BL186" s="134"/>
      <c r="BP186" s="67"/>
      <c r="CN186" s="105"/>
      <c r="CO186" s="105"/>
      <c r="CQ186" s="105"/>
      <c r="EC186" s="86"/>
      <c r="EG186" s="105"/>
      <c r="EQ186" s="134"/>
    </row>
    <row r="187" spans="43:147" ht="14.4">
      <c r="AQ187" s="158"/>
      <c r="BL187" s="134"/>
      <c r="BP187" s="67"/>
      <c r="CN187" s="105"/>
      <c r="CO187" s="105"/>
      <c r="CQ187" s="105"/>
      <c r="EC187" s="86"/>
      <c r="EG187" s="105"/>
      <c r="EQ187" s="134"/>
    </row>
    <row r="188" spans="43:147" ht="14.4">
      <c r="AQ188" s="158"/>
      <c r="BL188" s="134"/>
      <c r="BP188" s="67"/>
      <c r="CN188" s="105"/>
      <c r="CO188" s="105"/>
      <c r="CQ188" s="105"/>
      <c r="EC188" s="86"/>
      <c r="EG188" s="105"/>
      <c r="EQ188" s="134"/>
    </row>
    <row r="189" spans="43:147" ht="14.4">
      <c r="AQ189" s="158"/>
      <c r="BL189" s="134"/>
      <c r="BP189" s="67"/>
      <c r="CN189" s="105"/>
      <c r="CO189" s="105"/>
      <c r="CQ189" s="105"/>
      <c r="EC189" s="86"/>
      <c r="EG189" s="105"/>
      <c r="EQ189" s="134"/>
    </row>
    <row r="190" spans="43:147" ht="14.4">
      <c r="AQ190" s="158"/>
      <c r="BL190" s="134"/>
      <c r="BP190" s="67"/>
      <c r="CN190" s="105"/>
      <c r="CO190" s="105"/>
      <c r="CQ190" s="105"/>
      <c r="EC190" s="86"/>
      <c r="EG190" s="105"/>
      <c r="EQ190" s="134"/>
    </row>
    <row r="191" spans="43:147" ht="14.4">
      <c r="AQ191" s="158"/>
      <c r="BL191" s="134"/>
      <c r="BP191" s="67"/>
      <c r="CN191" s="105"/>
      <c r="CO191" s="105"/>
      <c r="CQ191" s="105"/>
      <c r="EC191" s="86"/>
      <c r="EG191" s="105"/>
      <c r="EQ191" s="134"/>
    </row>
    <row r="192" spans="43:147" ht="14.4">
      <c r="AQ192" s="158"/>
      <c r="BL192" s="134"/>
      <c r="BP192" s="67"/>
      <c r="CN192" s="105"/>
      <c r="CO192" s="105"/>
      <c r="CQ192" s="105"/>
      <c r="EC192" s="86"/>
      <c r="EG192" s="105"/>
      <c r="EQ192" s="134"/>
    </row>
    <row r="193" spans="43:147" ht="14.4">
      <c r="AQ193" s="158"/>
      <c r="BL193" s="134"/>
      <c r="BP193" s="67"/>
      <c r="CN193" s="105"/>
      <c r="CO193" s="105"/>
      <c r="CQ193" s="105"/>
      <c r="EC193" s="86"/>
      <c r="EG193" s="105"/>
      <c r="EQ193" s="134"/>
    </row>
    <row r="194" spans="43:147" ht="14.4">
      <c r="AQ194" s="158"/>
      <c r="BL194" s="134"/>
      <c r="BP194" s="67"/>
      <c r="CN194" s="105"/>
      <c r="CO194" s="105"/>
      <c r="CQ194" s="105"/>
      <c r="EC194" s="86"/>
      <c r="EG194" s="105"/>
      <c r="EQ194" s="134"/>
    </row>
    <row r="195" spans="43:147" ht="14.4">
      <c r="AQ195" s="158"/>
      <c r="BL195" s="134"/>
      <c r="BP195" s="67"/>
      <c r="CN195" s="105"/>
      <c r="CO195" s="105"/>
      <c r="CQ195" s="105"/>
      <c r="EC195" s="86"/>
      <c r="EG195" s="105"/>
      <c r="EQ195" s="134"/>
    </row>
    <row r="196" spans="43:147" ht="14.4">
      <c r="AQ196" s="158"/>
      <c r="BL196" s="134"/>
      <c r="BP196" s="67"/>
      <c r="CN196" s="105"/>
      <c r="CO196" s="105"/>
      <c r="CQ196" s="105"/>
      <c r="EC196" s="86"/>
      <c r="EG196" s="105"/>
      <c r="EQ196" s="134"/>
    </row>
    <row r="197" spans="43:147" ht="14.4">
      <c r="AQ197" s="158"/>
      <c r="BL197" s="134"/>
      <c r="BP197" s="67"/>
      <c r="CN197" s="105"/>
      <c r="CO197" s="105"/>
      <c r="CQ197" s="105"/>
      <c r="EC197" s="86"/>
      <c r="EG197" s="105"/>
      <c r="EQ197" s="134"/>
    </row>
    <row r="198" spans="43:147" ht="14.4">
      <c r="AQ198" s="158"/>
      <c r="BL198" s="134"/>
      <c r="BP198" s="67"/>
      <c r="CN198" s="105"/>
      <c r="CO198" s="105"/>
      <c r="CQ198" s="105"/>
      <c r="EC198" s="86"/>
      <c r="EG198" s="105"/>
      <c r="EQ198" s="134"/>
    </row>
    <row r="199" spans="43:147" ht="14.4">
      <c r="AQ199" s="158"/>
      <c r="BL199" s="134"/>
      <c r="BP199" s="67"/>
      <c r="CN199" s="105"/>
      <c r="CO199" s="105"/>
      <c r="CQ199" s="105"/>
      <c r="EC199" s="86"/>
      <c r="EG199" s="105"/>
      <c r="EQ199" s="134"/>
    </row>
    <row r="200" spans="43:147" ht="14.4">
      <c r="AQ200" s="158"/>
      <c r="BL200" s="134"/>
      <c r="BP200" s="67"/>
      <c r="CN200" s="105"/>
      <c r="CO200" s="105"/>
      <c r="CQ200" s="105"/>
      <c r="EC200" s="86"/>
      <c r="EG200" s="105"/>
      <c r="EQ200" s="134"/>
    </row>
    <row r="201" spans="43:147" ht="14.4">
      <c r="AQ201" s="158"/>
      <c r="BL201" s="134"/>
      <c r="BP201" s="67"/>
      <c r="CN201" s="105"/>
      <c r="CO201" s="105"/>
      <c r="CQ201" s="105"/>
      <c r="EC201" s="86"/>
      <c r="EG201" s="105"/>
      <c r="EQ201" s="134"/>
    </row>
    <row r="202" spans="43:147" ht="14.4">
      <c r="AQ202" s="158"/>
      <c r="BL202" s="134"/>
      <c r="BP202" s="67"/>
      <c r="CN202" s="105"/>
      <c r="CO202" s="105"/>
      <c r="CQ202" s="105"/>
      <c r="EC202" s="86"/>
      <c r="EG202" s="105"/>
      <c r="EQ202" s="134"/>
    </row>
    <row r="203" spans="43:147" ht="14.4">
      <c r="AQ203" s="158"/>
      <c r="BL203" s="134"/>
      <c r="BP203" s="67"/>
      <c r="CN203" s="105"/>
      <c r="CO203" s="105"/>
      <c r="CQ203" s="105"/>
      <c r="EC203" s="86"/>
      <c r="EG203" s="105"/>
      <c r="EQ203" s="134"/>
    </row>
    <row r="204" spans="43:147" ht="14.4">
      <c r="AQ204" s="158"/>
      <c r="BL204" s="134"/>
      <c r="BP204" s="67"/>
      <c r="CN204" s="105"/>
      <c r="CO204" s="105"/>
      <c r="CQ204" s="105"/>
      <c r="EC204" s="86"/>
      <c r="EG204" s="105"/>
      <c r="EQ204" s="134"/>
    </row>
    <row r="205" spans="43:147" ht="14.4">
      <c r="AQ205" s="158"/>
      <c r="BL205" s="134"/>
      <c r="BP205" s="67"/>
      <c r="CN205" s="105"/>
      <c r="CO205" s="105"/>
      <c r="CQ205" s="105"/>
      <c r="EC205" s="86"/>
      <c r="EG205" s="105"/>
      <c r="EQ205" s="134"/>
    </row>
    <row r="206" spans="43:147" ht="14.4">
      <c r="AQ206" s="158"/>
      <c r="BL206" s="134"/>
      <c r="BP206" s="67"/>
      <c r="CN206" s="105"/>
      <c r="CO206" s="105"/>
      <c r="CQ206" s="105"/>
      <c r="EC206" s="86"/>
      <c r="EG206" s="105"/>
      <c r="EQ206" s="134"/>
    </row>
    <row r="207" spans="43:147" ht="14.4">
      <c r="AQ207" s="158"/>
      <c r="BL207" s="134"/>
      <c r="BP207" s="67"/>
      <c r="CN207" s="105"/>
      <c r="CO207" s="105"/>
      <c r="CQ207" s="105"/>
      <c r="EC207" s="86"/>
      <c r="EG207" s="105"/>
      <c r="EQ207" s="134"/>
    </row>
    <row r="208" spans="43:147" ht="14.4">
      <c r="AQ208" s="158"/>
      <c r="BL208" s="134"/>
      <c r="BP208" s="67"/>
      <c r="CN208" s="105"/>
      <c r="CO208" s="105"/>
      <c r="CQ208" s="105"/>
      <c r="EC208" s="86"/>
      <c r="EG208" s="105"/>
      <c r="EQ208" s="134"/>
    </row>
    <row r="209" spans="43:147" ht="14.4">
      <c r="AQ209" s="158"/>
      <c r="BL209" s="134"/>
      <c r="BP209" s="67"/>
      <c r="CN209" s="105"/>
      <c r="CO209" s="105"/>
      <c r="CQ209" s="105"/>
      <c r="EC209" s="86"/>
      <c r="EG209" s="105"/>
      <c r="EQ209" s="134"/>
    </row>
    <row r="210" spans="43:147" ht="14.4">
      <c r="AQ210" s="158"/>
      <c r="BL210" s="134"/>
      <c r="BP210" s="67"/>
      <c r="CN210" s="105"/>
      <c r="CO210" s="105"/>
      <c r="CQ210" s="105"/>
      <c r="EC210" s="86"/>
      <c r="EG210" s="105"/>
      <c r="EQ210" s="134"/>
    </row>
    <row r="211" spans="43:147" ht="14.4">
      <c r="AQ211" s="158"/>
      <c r="BL211" s="134"/>
      <c r="BP211" s="67"/>
      <c r="CN211" s="105"/>
      <c r="CO211" s="105"/>
      <c r="CQ211" s="105"/>
      <c r="EC211" s="86"/>
      <c r="EG211" s="105"/>
      <c r="EQ211" s="134"/>
    </row>
    <row r="212" spans="43:147" ht="14.4">
      <c r="AQ212" s="158"/>
      <c r="BL212" s="134"/>
      <c r="BP212" s="67"/>
      <c r="CN212" s="105"/>
      <c r="CO212" s="105"/>
      <c r="CQ212" s="105"/>
      <c r="EC212" s="86"/>
      <c r="EG212" s="105"/>
      <c r="EQ212" s="134"/>
    </row>
    <row r="213" spans="43:147" ht="14.4">
      <c r="AQ213" s="158"/>
      <c r="BL213" s="134"/>
      <c r="BP213" s="67"/>
      <c r="CN213" s="105"/>
      <c r="CO213" s="105"/>
      <c r="CQ213" s="105"/>
      <c r="EC213" s="86"/>
      <c r="EG213" s="105"/>
      <c r="EQ213" s="134"/>
    </row>
    <row r="214" spans="43:147" ht="14.4">
      <c r="AQ214" s="158"/>
      <c r="BL214" s="134"/>
      <c r="BP214" s="67"/>
      <c r="CN214" s="105"/>
      <c r="CO214" s="105"/>
      <c r="CQ214" s="105"/>
      <c r="EC214" s="86"/>
      <c r="EG214" s="105"/>
      <c r="EQ214" s="134"/>
    </row>
    <row r="215" spans="43:147" ht="14.4">
      <c r="AQ215" s="158"/>
      <c r="BL215" s="134"/>
      <c r="BP215" s="67"/>
      <c r="CN215" s="105"/>
      <c r="CO215" s="105"/>
      <c r="CQ215" s="105"/>
      <c r="EC215" s="86"/>
      <c r="EG215" s="105"/>
      <c r="EQ215" s="134"/>
    </row>
    <row r="216" spans="43:147" ht="14.4">
      <c r="AQ216" s="158"/>
      <c r="BL216" s="134"/>
      <c r="BP216" s="67"/>
      <c r="CN216" s="105"/>
      <c r="CO216" s="105"/>
      <c r="CQ216" s="105"/>
      <c r="EC216" s="86"/>
      <c r="EG216" s="105"/>
      <c r="EQ216" s="134"/>
    </row>
    <row r="217" spans="43:147" ht="14.4">
      <c r="AQ217" s="158"/>
      <c r="BL217" s="134"/>
      <c r="BP217" s="67"/>
      <c r="CN217" s="105"/>
      <c r="CO217" s="105"/>
      <c r="CQ217" s="105"/>
      <c r="EC217" s="86"/>
      <c r="EG217" s="105"/>
      <c r="EQ217" s="134"/>
    </row>
    <row r="218" spans="43:147" ht="14.4">
      <c r="AQ218" s="158"/>
      <c r="BL218" s="134"/>
      <c r="BP218" s="67"/>
      <c r="CN218" s="105"/>
      <c r="CO218" s="105"/>
      <c r="CQ218" s="105"/>
      <c r="EC218" s="86"/>
      <c r="EG218" s="105"/>
      <c r="EQ218" s="134"/>
    </row>
    <row r="219" spans="43:147" ht="14.4">
      <c r="AQ219" s="158"/>
      <c r="BL219" s="134"/>
      <c r="BP219" s="67"/>
      <c r="CN219" s="105"/>
      <c r="CO219" s="105"/>
      <c r="CQ219" s="105"/>
      <c r="EC219" s="86"/>
      <c r="EG219" s="105"/>
      <c r="EQ219" s="134"/>
    </row>
    <row r="220" spans="43:147" ht="14.4">
      <c r="AQ220" s="158"/>
      <c r="BL220" s="134"/>
      <c r="BP220" s="67"/>
      <c r="CN220" s="105"/>
      <c r="CO220" s="105"/>
      <c r="CQ220" s="105"/>
      <c r="EC220" s="86"/>
      <c r="EG220" s="105"/>
      <c r="EQ220" s="134"/>
    </row>
    <row r="221" spans="43:147" ht="14.4">
      <c r="AQ221" s="158"/>
      <c r="BL221" s="134"/>
      <c r="BP221" s="67"/>
      <c r="CN221" s="105"/>
      <c r="CO221" s="105"/>
      <c r="CQ221" s="105"/>
      <c r="EC221" s="86"/>
      <c r="EG221" s="105"/>
      <c r="EQ221" s="134"/>
    </row>
    <row r="222" spans="43:147" ht="14.4">
      <c r="AQ222" s="158"/>
      <c r="BL222" s="134"/>
      <c r="BP222" s="67"/>
      <c r="CN222" s="105"/>
      <c r="CO222" s="105"/>
      <c r="CQ222" s="105"/>
      <c r="EC222" s="86"/>
      <c r="EG222" s="105"/>
      <c r="EQ222" s="134"/>
    </row>
    <row r="223" spans="43:147" ht="14.4">
      <c r="AQ223" s="158"/>
      <c r="BL223" s="134"/>
      <c r="BP223" s="67"/>
      <c r="CN223" s="105"/>
      <c r="CO223" s="105"/>
      <c r="CQ223" s="105"/>
      <c r="EC223" s="86"/>
      <c r="EG223" s="105"/>
      <c r="EQ223" s="134"/>
    </row>
    <row r="224" spans="43:147" ht="14.4">
      <c r="AQ224" s="158"/>
      <c r="BL224" s="134"/>
      <c r="BP224" s="67"/>
      <c r="CN224" s="105"/>
      <c r="CO224" s="105"/>
      <c r="CQ224" s="105"/>
      <c r="EC224" s="86"/>
      <c r="EG224" s="105"/>
      <c r="EQ224" s="134"/>
    </row>
    <row r="225" spans="43:147" ht="14.4">
      <c r="AQ225" s="158"/>
      <c r="BL225" s="134"/>
      <c r="BP225" s="67"/>
      <c r="CN225" s="105"/>
      <c r="CO225" s="105"/>
      <c r="CQ225" s="105"/>
      <c r="EC225" s="86"/>
      <c r="EG225" s="105"/>
      <c r="EQ225" s="134"/>
    </row>
    <row r="226" spans="43:147" ht="14.4">
      <c r="AQ226" s="158"/>
      <c r="BL226" s="134"/>
      <c r="BP226" s="67"/>
      <c r="CN226" s="105"/>
      <c r="CO226" s="105"/>
      <c r="CQ226" s="105"/>
      <c r="EC226" s="86"/>
      <c r="EG226" s="105"/>
      <c r="EQ226" s="134"/>
    </row>
    <row r="227" spans="43:147" ht="14.4">
      <c r="AQ227" s="158"/>
      <c r="BL227" s="134"/>
      <c r="BP227" s="67"/>
      <c r="CN227" s="105"/>
      <c r="CO227" s="105"/>
      <c r="CQ227" s="105"/>
      <c r="EC227" s="86"/>
      <c r="EG227" s="105"/>
      <c r="EQ227" s="134"/>
    </row>
    <row r="228" spans="43:147" ht="14.4">
      <c r="AQ228" s="158"/>
      <c r="BL228" s="134"/>
      <c r="BP228" s="67"/>
      <c r="CN228" s="105"/>
      <c r="CO228" s="105"/>
      <c r="CQ228" s="105"/>
      <c r="EC228" s="86"/>
      <c r="EG228" s="105"/>
      <c r="EQ228" s="134"/>
    </row>
    <row r="229" spans="43:147" ht="14.4">
      <c r="AQ229" s="158"/>
      <c r="BL229" s="134"/>
      <c r="BP229" s="67"/>
      <c r="CN229" s="105"/>
      <c r="CO229" s="105"/>
      <c r="CQ229" s="105"/>
      <c r="EC229" s="86"/>
      <c r="EG229" s="105"/>
      <c r="EQ229" s="134"/>
    </row>
    <row r="230" spans="43:147" ht="14.4">
      <c r="AQ230" s="158"/>
      <c r="BL230" s="134"/>
      <c r="BP230" s="67"/>
      <c r="CN230" s="105"/>
      <c r="CO230" s="105"/>
      <c r="CQ230" s="105"/>
      <c r="EC230" s="86"/>
      <c r="EG230" s="105"/>
      <c r="EQ230" s="134"/>
    </row>
    <row r="231" spans="43:147" ht="14.4">
      <c r="AQ231" s="158"/>
      <c r="BL231" s="134"/>
      <c r="BP231" s="67"/>
      <c r="CN231" s="105"/>
      <c r="CO231" s="105"/>
      <c r="CQ231" s="105"/>
      <c r="EC231" s="86"/>
      <c r="EG231" s="105"/>
      <c r="EQ231" s="134"/>
    </row>
    <row r="232" spans="43:147" ht="14.4">
      <c r="AQ232" s="158"/>
      <c r="BL232" s="134"/>
      <c r="BP232" s="67"/>
      <c r="CN232" s="105"/>
      <c r="CO232" s="105"/>
      <c r="CQ232" s="105"/>
      <c r="EC232" s="86"/>
      <c r="EG232" s="105"/>
      <c r="EQ232" s="134"/>
    </row>
    <row r="233" spans="43:147" ht="14.4">
      <c r="AQ233" s="158"/>
      <c r="BL233" s="134"/>
      <c r="BP233" s="67"/>
      <c r="CN233" s="105"/>
      <c r="CO233" s="105"/>
      <c r="CQ233" s="105"/>
      <c r="EC233" s="86"/>
      <c r="EG233" s="105"/>
      <c r="EQ233" s="134"/>
    </row>
    <row r="234" spans="43:147" ht="14.4">
      <c r="AQ234" s="158"/>
      <c r="BL234" s="134"/>
      <c r="BP234" s="67"/>
      <c r="CN234" s="105"/>
      <c r="CO234" s="105"/>
      <c r="CQ234" s="105"/>
      <c r="EC234" s="86"/>
      <c r="EG234" s="105"/>
      <c r="EQ234" s="134"/>
    </row>
    <row r="235" spans="43:147" ht="14.4">
      <c r="AQ235" s="158"/>
      <c r="BL235" s="134"/>
      <c r="BP235" s="67"/>
      <c r="CN235" s="105"/>
      <c r="CO235" s="105"/>
      <c r="CQ235" s="105"/>
      <c r="EC235" s="86"/>
      <c r="EG235" s="105"/>
      <c r="EQ235" s="134"/>
    </row>
    <row r="236" spans="43:147" ht="14.4">
      <c r="AQ236" s="158"/>
      <c r="BL236" s="134"/>
      <c r="BP236" s="67"/>
      <c r="CN236" s="105"/>
      <c r="CO236" s="105"/>
      <c r="CQ236" s="105"/>
      <c r="EC236" s="86"/>
      <c r="EG236" s="105"/>
      <c r="EQ236" s="134"/>
    </row>
    <row r="237" spans="43:147" ht="14.4">
      <c r="AQ237" s="158"/>
      <c r="BL237" s="134"/>
      <c r="BP237" s="67"/>
      <c r="CN237" s="105"/>
      <c r="CO237" s="105"/>
      <c r="CQ237" s="105"/>
      <c r="EC237" s="86"/>
      <c r="EG237" s="105"/>
      <c r="EQ237" s="134"/>
    </row>
    <row r="238" spans="43:147" ht="14.4">
      <c r="AQ238" s="158"/>
      <c r="BL238" s="134"/>
      <c r="BP238" s="67"/>
      <c r="CN238" s="105"/>
      <c r="CO238" s="105"/>
      <c r="CQ238" s="105"/>
      <c r="EC238" s="86"/>
      <c r="EG238" s="105"/>
      <c r="EQ238" s="134"/>
    </row>
    <row r="239" spans="43:147" ht="14.4">
      <c r="AQ239" s="158"/>
      <c r="BL239" s="134"/>
      <c r="BP239" s="67"/>
      <c r="CN239" s="105"/>
      <c r="CO239" s="105"/>
      <c r="CQ239" s="105"/>
      <c r="EC239" s="86"/>
      <c r="EG239" s="105"/>
      <c r="EQ239" s="134"/>
    </row>
    <row r="240" spans="43:147" ht="14.4">
      <c r="AQ240" s="158"/>
      <c r="BL240" s="134"/>
      <c r="BP240" s="67"/>
      <c r="CN240" s="105"/>
      <c r="CO240" s="105"/>
      <c r="CQ240" s="105"/>
      <c r="EC240" s="86"/>
      <c r="EG240" s="105"/>
      <c r="EQ240" s="134"/>
    </row>
    <row r="241" spans="43:147" ht="14.4">
      <c r="AQ241" s="158"/>
      <c r="BL241" s="134"/>
      <c r="BP241" s="67"/>
      <c r="CN241" s="105"/>
      <c r="CO241" s="105"/>
      <c r="CQ241" s="105"/>
      <c r="EC241" s="86"/>
      <c r="EG241" s="105"/>
      <c r="EQ241" s="134"/>
    </row>
    <row r="242" spans="43:147" ht="14.4">
      <c r="AQ242" s="158"/>
      <c r="BL242" s="134"/>
      <c r="BP242" s="67"/>
      <c r="CN242" s="105"/>
      <c r="CO242" s="105"/>
      <c r="CQ242" s="105"/>
      <c r="EC242" s="86"/>
      <c r="EG242" s="105"/>
      <c r="EQ242" s="134"/>
    </row>
    <row r="243" spans="43:147" ht="14.4">
      <c r="AQ243" s="158"/>
      <c r="BL243" s="134"/>
      <c r="BP243" s="67"/>
      <c r="CN243" s="105"/>
      <c r="CO243" s="105"/>
      <c r="CQ243" s="105"/>
      <c r="EC243" s="86"/>
      <c r="EG243" s="105"/>
      <c r="EQ243" s="134"/>
    </row>
    <row r="244" spans="43:147" ht="14.4">
      <c r="AQ244" s="158"/>
      <c r="BL244" s="134"/>
      <c r="BP244" s="67"/>
      <c r="CN244" s="105"/>
      <c r="CO244" s="105"/>
      <c r="CQ244" s="105"/>
      <c r="EC244" s="86"/>
      <c r="EG244" s="105"/>
      <c r="EQ244" s="134"/>
    </row>
    <row r="245" spans="43:147" ht="14.4">
      <c r="AQ245" s="158"/>
      <c r="BL245" s="134"/>
      <c r="BP245" s="67"/>
      <c r="CN245" s="105"/>
      <c r="CO245" s="105"/>
      <c r="CQ245" s="105"/>
      <c r="EC245" s="86"/>
      <c r="EG245" s="105"/>
      <c r="EQ245" s="134"/>
    </row>
    <row r="246" spans="43:147" ht="14.4">
      <c r="AQ246" s="158"/>
      <c r="BL246" s="134"/>
      <c r="BP246" s="67"/>
      <c r="CN246" s="105"/>
      <c r="CO246" s="105"/>
      <c r="CQ246" s="105"/>
      <c r="EC246" s="86"/>
      <c r="EG246" s="105"/>
      <c r="EQ246" s="134"/>
    </row>
    <row r="247" spans="43:147" ht="14.4">
      <c r="AQ247" s="158"/>
      <c r="BL247" s="134"/>
      <c r="BP247" s="67"/>
      <c r="CN247" s="105"/>
      <c r="CO247" s="105"/>
      <c r="CQ247" s="105"/>
      <c r="EC247" s="86"/>
      <c r="EG247" s="105"/>
      <c r="EQ247" s="134"/>
    </row>
    <row r="248" spans="43:147" ht="14.4">
      <c r="AQ248" s="158"/>
      <c r="BL248" s="134"/>
      <c r="BP248" s="67"/>
      <c r="CN248" s="105"/>
      <c r="CO248" s="105"/>
      <c r="CQ248" s="105"/>
      <c r="EC248" s="86"/>
      <c r="EG248" s="105"/>
      <c r="EQ248" s="134"/>
    </row>
    <row r="249" spans="43:147" ht="14.4">
      <c r="AQ249" s="158"/>
      <c r="BL249" s="134"/>
      <c r="BP249" s="67"/>
      <c r="CN249" s="105"/>
      <c r="CO249" s="105"/>
      <c r="CQ249" s="105"/>
      <c r="EC249" s="86"/>
      <c r="EG249" s="105"/>
      <c r="EQ249" s="134"/>
    </row>
    <row r="250" spans="43:147" ht="14.4">
      <c r="AQ250" s="158"/>
      <c r="BL250" s="134"/>
      <c r="BP250" s="67"/>
      <c r="CN250" s="105"/>
      <c r="CO250" s="105"/>
      <c r="CQ250" s="105"/>
      <c r="EC250" s="86"/>
      <c r="EG250" s="105"/>
      <c r="EQ250" s="134"/>
    </row>
    <row r="251" spans="43:147" ht="14.4">
      <c r="AQ251" s="158"/>
      <c r="BL251" s="134"/>
      <c r="BP251" s="67"/>
      <c r="CN251" s="105"/>
      <c r="CO251" s="105"/>
      <c r="CQ251" s="105"/>
      <c r="EC251" s="86"/>
      <c r="EG251" s="105"/>
      <c r="EQ251" s="134"/>
    </row>
    <row r="252" spans="43:147" ht="14.4">
      <c r="AQ252" s="158"/>
      <c r="BL252" s="134"/>
      <c r="BP252" s="67"/>
      <c r="CN252" s="105"/>
      <c r="CO252" s="105"/>
      <c r="CQ252" s="105"/>
      <c r="EC252" s="86"/>
      <c r="EG252" s="105"/>
      <c r="EQ252" s="134"/>
    </row>
    <row r="253" spans="43:147" ht="14.4">
      <c r="AQ253" s="158"/>
      <c r="BL253" s="134"/>
      <c r="BP253" s="67"/>
      <c r="CN253" s="105"/>
      <c r="CO253" s="105"/>
      <c r="CQ253" s="105"/>
      <c r="EC253" s="86"/>
      <c r="EG253" s="105"/>
      <c r="EQ253" s="134"/>
    </row>
    <row r="254" spans="43:147" ht="14.4">
      <c r="AQ254" s="158"/>
      <c r="BL254" s="134"/>
      <c r="BP254" s="67"/>
      <c r="CN254" s="105"/>
      <c r="CO254" s="105"/>
      <c r="CQ254" s="105"/>
      <c r="EC254" s="86"/>
      <c r="EG254" s="105"/>
      <c r="EQ254" s="134"/>
    </row>
    <row r="255" spans="43:147" ht="14.4">
      <c r="AQ255" s="158"/>
      <c r="BL255" s="134"/>
      <c r="BP255" s="67"/>
      <c r="CN255" s="105"/>
      <c r="CO255" s="105"/>
      <c r="CQ255" s="105"/>
      <c r="EC255" s="86"/>
      <c r="EG255" s="105"/>
      <c r="EQ255" s="134"/>
    </row>
    <row r="256" spans="43:147" ht="14.4">
      <c r="AQ256" s="158"/>
      <c r="BL256" s="134"/>
      <c r="BP256" s="67"/>
      <c r="CN256" s="105"/>
      <c r="CO256" s="105"/>
      <c r="CQ256" s="105"/>
      <c r="EC256" s="86"/>
      <c r="EG256" s="105"/>
      <c r="EQ256" s="134"/>
    </row>
    <row r="257" spans="43:147" ht="14.4">
      <c r="AQ257" s="158"/>
      <c r="BL257" s="134"/>
      <c r="BP257" s="67"/>
      <c r="CN257" s="105"/>
      <c r="CO257" s="105"/>
      <c r="CQ257" s="105"/>
      <c r="EC257" s="86"/>
      <c r="EG257" s="105"/>
      <c r="EQ257" s="134"/>
    </row>
    <row r="258" spans="43:147" ht="14.4">
      <c r="AQ258" s="158"/>
      <c r="BL258" s="134"/>
      <c r="BP258" s="67"/>
      <c r="CN258" s="105"/>
      <c r="CO258" s="105"/>
      <c r="CQ258" s="105"/>
      <c r="EC258" s="86"/>
      <c r="EG258" s="105"/>
      <c r="EQ258" s="134"/>
    </row>
    <row r="259" spans="43:147" ht="14.4">
      <c r="AQ259" s="158"/>
      <c r="BL259" s="134"/>
      <c r="BP259" s="67"/>
      <c r="CN259" s="105"/>
      <c r="CO259" s="105"/>
      <c r="CQ259" s="105"/>
      <c r="EC259" s="86"/>
      <c r="EG259" s="105"/>
      <c r="EQ259" s="134"/>
    </row>
    <row r="260" spans="43:147" ht="14.4">
      <c r="AQ260" s="158"/>
      <c r="BL260" s="134"/>
      <c r="BP260" s="67"/>
      <c r="CN260" s="105"/>
      <c r="CO260" s="105"/>
      <c r="CQ260" s="105"/>
      <c r="EC260" s="86"/>
      <c r="EG260" s="105"/>
      <c r="EQ260" s="134"/>
    </row>
    <row r="261" spans="43:147" ht="14.4">
      <c r="AQ261" s="158"/>
      <c r="BL261" s="134"/>
      <c r="BP261" s="67"/>
      <c r="CN261" s="105"/>
      <c r="CO261" s="105"/>
      <c r="CQ261" s="105"/>
      <c r="EC261" s="86"/>
      <c r="EG261" s="105"/>
      <c r="EQ261" s="134"/>
    </row>
    <row r="262" spans="43:147" ht="14.4">
      <c r="AQ262" s="158"/>
      <c r="BL262" s="134"/>
      <c r="BP262" s="67"/>
      <c r="CN262" s="105"/>
      <c r="CO262" s="105"/>
      <c r="CQ262" s="105"/>
      <c r="EC262" s="86"/>
      <c r="EG262" s="105"/>
      <c r="EQ262" s="134"/>
    </row>
    <row r="263" spans="43:147" ht="14.4">
      <c r="AQ263" s="158"/>
      <c r="BL263" s="134"/>
      <c r="BP263" s="67"/>
      <c r="CN263" s="105"/>
      <c r="CO263" s="105"/>
      <c r="CQ263" s="105"/>
      <c r="EC263" s="86"/>
      <c r="EG263" s="105"/>
      <c r="EQ263" s="134"/>
    </row>
    <row r="264" spans="43:147" ht="14.4">
      <c r="AQ264" s="158"/>
      <c r="BL264" s="134"/>
      <c r="BP264" s="67"/>
      <c r="CN264" s="105"/>
      <c r="CO264" s="105"/>
      <c r="CQ264" s="105"/>
      <c r="EC264" s="86"/>
      <c r="EG264" s="105"/>
      <c r="EQ264" s="134"/>
    </row>
    <row r="265" spans="43:147" ht="14.4">
      <c r="AQ265" s="158"/>
      <c r="BL265" s="134"/>
      <c r="BP265" s="67"/>
      <c r="CN265" s="105"/>
      <c r="CO265" s="105"/>
      <c r="CQ265" s="105"/>
      <c r="EC265" s="86"/>
      <c r="EG265" s="105"/>
      <c r="EQ265" s="134"/>
    </row>
    <row r="266" spans="43:147" ht="14.4">
      <c r="AQ266" s="158"/>
      <c r="BL266" s="134"/>
      <c r="BP266" s="67"/>
      <c r="CN266" s="105"/>
      <c r="CO266" s="105"/>
      <c r="CQ266" s="105"/>
      <c r="EC266" s="86"/>
      <c r="EG266" s="105"/>
      <c r="EQ266" s="134"/>
    </row>
    <row r="267" spans="43:147" ht="14.4">
      <c r="AQ267" s="158"/>
      <c r="BL267" s="134"/>
      <c r="BP267" s="67"/>
      <c r="CN267" s="105"/>
      <c r="CO267" s="105"/>
      <c r="CQ267" s="105"/>
      <c r="EC267" s="86"/>
      <c r="EG267" s="105"/>
      <c r="EQ267" s="134"/>
    </row>
    <row r="268" spans="43:147" ht="14.4">
      <c r="AQ268" s="158"/>
      <c r="BL268" s="134"/>
      <c r="BP268" s="67"/>
      <c r="CN268" s="105"/>
      <c r="CO268" s="105"/>
      <c r="CQ268" s="105"/>
      <c r="EC268" s="86"/>
      <c r="EG268" s="105"/>
      <c r="EQ268" s="134"/>
    </row>
    <row r="269" spans="43:147" ht="14.4">
      <c r="AQ269" s="158"/>
      <c r="BL269" s="134"/>
      <c r="BP269" s="67"/>
      <c r="CN269" s="105"/>
      <c r="CO269" s="105"/>
      <c r="CQ269" s="105"/>
      <c r="EC269" s="86"/>
      <c r="EG269" s="105"/>
      <c r="EQ269" s="134"/>
    </row>
    <row r="270" spans="43:147" ht="14.4">
      <c r="AQ270" s="158"/>
      <c r="BL270" s="134"/>
      <c r="BP270" s="67"/>
      <c r="CN270" s="105"/>
      <c r="CO270" s="105"/>
      <c r="CQ270" s="105"/>
      <c r="EC270" s="86"/>
      <c r="EG270" s="105"/>
      <c r="EQ270" s="134"/>
    </row>
    <row r="271" spans="43:147" ht="14.4">
      <c r="AQ271" s="158"/>
      <c r="BL271" s="134"/>
      <c r="BP271" s="67"/>
      <c r="CN271" s="105"/>
      <c r="CO271" s="105"/>
      <c r="CQ271" s="105"/>
      <c r="EC271" s="86"/>
      <c r="EG271" s="105"/>
      <c r="EQ271" s="134"/>
    </row>
    <row r="272" spans="43:147" ht="14.4">
      <c r="AQ272" s="158"/>
      <c r="BL272" s="134"/>
      <c r="BP272" s="67"/>
      <c r="CN272" s="105"/>
      <c r="CO272" s="105"/>
      <c r="CQ272" s="105"/>
      <c r="EC272" s="86"/>
      <c r="EG272" s="105"/>
      <c r="EQ272" s="134"/>
    </row>
    <row r="273" spans="43:147" ht="14.4">
      <c r="AQ273" s="158"/>
      <c r="BL273" s="134"/>
      <c r="BP273" s="67"/>
      <c r="CN273" s="105"/>
      <c r="CO273" s="105"/>
      <c r="CQ273" s="105"/>
      <c r="EC273" s="86"/>
      <c r="EG273" s="105"/>
      <c r="EQ273" s="134"/>
    </row>
    <row r="274" spans="43:147" ht="14.4">
      <c r="AQ274" s="158"/>
      <c r="BL274" s="134"/>
      <c r="BP274" s="67"/>
      <c r="CN274" s="105"/>
      <c r="CO274" s="105"/>
      <c r="CQ274" s="105"/>
      <c r="EC274" s="86"/>
      <c r="EG274" s="105"/>
      <c r="EQ274" s="134"/>
    </row>
    <row r="275" spans="43:147" ht="14.4">
      <c r="AQ275" s="158"/>
      <c r="BL275" s="134"/>
      <c r="BP275" s="67"/>
      <c r="CN275" s="105"/>
      <c r="CO275" s="105"/>
      <c r="CQ275" s="105"/>
      <c r="EC275" s="86"/>
      <c r="EG275" s="105"/>
      <c r="EQ275" s="134"/>
    </row>
    <row r="276" spans="43:147" ht="14.4">
      <c r="AQ276" s="158"/>
      <c r="BL276" s="134"/>
      <c r="BP276" s="67"/>
      <c r="CN276" s="105"/>
      <c r="CO276" s="105"/>
      <c r="CQ276" s="105"/>
      <c r="EC276" s="86"/>
      <c r="EG276" s="105"/>
      <c r="EQ276" s="134"/>
    </row>
    <row r="277" spans="43:147" ht="14.4">
      <c r="AQ277" s="158"/>
      <c r="BL277" s="134"/>
      <c r="BP277" s="67"/>
      <c r="CN277" s="105"/>
      <c r="CO277" s="105"/>
      <c r="CQ277" s="105"/>
      <c r="EC277" s="86"/>
      <c r="EG277" s="105"/>
      <c r="EQ277" s="134"/>
    </row>
    <row r="278" spans="43:147" ht="14.4">
      <c r="AQ278" s="158"/>
      <c r="BL278" s="134"/>
      <c r="BP278" s="67"/>
      <c r="CN278" s="105"/>
      <c r="CO278" s="105"/>
      <c r="CQ278" s="105"/>
      <c r="EC278" s="86"/>
      <c r="EG278" s="105"/>
      <c r="EQ278" s="134"/>
    </row>
    <row r="279" spans="43:147" ht="14.4">
      <c r="AQ279" s="158"/>
      <c r="BL279" s="134"/>
      <c r="BP279" s="67"/>
      <c r="CN279" s="105"/>
      <c r="CO279" s="105"/>
      <c r="CQ279" s="105"/>
      <c r="EC279" s="86"/>
      <c r="EG279" s="105"/>
      <c r="EQ279" s="134"/>
    </row>
    <row r="280" spans="43:147" ht="14.4">
      <c r="AQ280" s="158"/>
      <c r="BL280" s="134"/>
      <c r="BP280" s="67"/>
      <c r="CN280" s="105"/>
      <c r="CO280" s="105"/>
      <c r="CQ280" s="105"/>
      <c r="EC280" s="86"/>
      <c r="EG280" s="105"/>
      <c r="EQ280" s="134"/>
    </row>
    <row r="281" spans="43:147" ht="14.4">
      <c r="AQ281" s="158"/>
      <c r="BL281" s="134"/>
      <c r="BP281" s="67"/>
      <c r="CN281" s="105"/>
      <c r="CO281" s="105"/>
      <c r="CQ281" s="105"/>
      <c r="EC281" s="86"/>
      <c r="EG281" s="105"/>
      <c r="EQ281" s="134"/>
    </row>
    <row r="282" spans="43:147" ht="14.4">
      <c r="AQ282" s="158"/>
      <c r="BL282" s="134"/>
      <c r="BP282" s="67"/>
      <c r="CN282" s="105"/>
      <c r="CO282" s="105"/>
      <c r="CQ282" s="105"/>
      <c r="EC282" s="86"/>
      <c r="EG282" s="105"/>
      <c r="EQ282" s="134"/>
    </row>
    <row r="283" spans="43:147" ht="14.4">
      <c r="AQ283" s="158"/>
      <c r="BL283" s="134"/>
      <c r="BP283" s="67"/>
      <c r="CN283" s="105"/>
      <c r="CO283" s="105"/>
      <c r="CQ283" s="105"/>
      <c r="EC283" s="86"/>
      <c r="EG283" s="105"/>
      <c r="EQ283" s="134"/>
    </row>
    <row r="284" spans="43:147" ht="14.4">
      <c r="AQ284" s="158"/>
      <c r="BL284" s="134"/>
      <c r="BP284" s="67"/>
      <c r="CN284" s="105"/>
      <c r="CO284" s="105"/>
      <c r="CQ284" s="105"/>
      <c r="EC284" s="86"/>
      <c r="EG284" s="105"/>
      <c r="EQ284" s="134"/>
    </row>
    <row r="285" spans="43:147" ht="14.4">
      <c r="AQ285" s="158"/>
      <c r="BL285" s="134"/>
      <c r="BP285" s="67"/>
      <c r="CN285" s="105"/>
      <c r="CO285" s="105"/>
      <c r="CQ285" s="105"/>
      <c r="EC285" s="86"/>
      <c r="EG285" s="105"/>
      <c r="EQ285" s="134"/>
    </row>
    <row r="286" spans="43:147" ht="14.4">
      <c r="AQ286" s="158"/>
      <c r="BL286" s="134"/>
      <c r="BP286" s="67"/>
      <c r="CN286" s="105"/>
      <c r="CO286" s="105"/>
      <c r="CQ286" s="105"/>
      <c r="EC286" s="86"/>
      <c r="EG286" s="105"/>
      <c r="EQ286" s="134"/>
    </row>
    <row r="287" spans="43:147" ht="14.4">
      <c r="AQ287" s="158"/>
      <c r="BL287" s="134"/>
      <c r="BP287" s="67"/>
      <c r="CN287" s="105"/>
      <c r="CO287" s="105"/>
      <c r="CQ287" s="105"/>
      <c r="EC287" s="86"/>
      <c r="EG287" s="105"/>
      <c r="EQ287" s="134"/>
    </row>
    <row r="288" spans="43:147" ht="14.4">
      <c r="AQ288" s="158"/>
      <c r="BL288" s="134"/>
      <c r="BP288" s="67"/>
      <c r="CN288" s="105"/>
      <c r="CO288" s="105"/>
      <c r="CQ288" s="105"/>
      <c r="EC288" s="86"/>
      <c r="EG288" s="105"/>
      <c r="EQ288" s="134"/>
    </row>
    <row r="289" spans="43:147" ht="14.4">
      <c r="AQ289" s="158"/>
      <c r="BL289" s="134"/>
      <c r="BP289" s="67"/>
      <c r="CN289" s="105"/>
      <c r="CO289" s="105"/>
      <c r="CQ289" s="105"/>
      <c r="EC289" s="86"/>
      <c r="EG289" s="105"/>
      <c r="EQ289" s="134"/>
    </row>
    <row r="290" spans="43:147" ht="14.4">
      <c r="AQ290" s="158"/>
      <c r="BL290" s="134"/>
      <c r="BP290" s="67"/>
      <c r="CN290" s="105"/>
      <c r="CO290" s="105"/>
      <c r="CQ290" s="105"/>
      <c r="EC290" s="86"/>
      <c r="EG290" s="105"/>
      <c r="EQ290" s="134"/>
    </row>
    <row r="291" spans="43:147" ht="14.4">
      <c r="AQ291" s="158"/>
      <c r="BL291" s="134"/>
      <c r="BP291" s="67"/>
      <c r="CN291" s="105"/>
      <c r="CO291" s="105"/>
      <c r="CQ291" s="105"/>
      <c r="EC291" s="86"/>
      <c r="EG291" s="105"/>
      <c r="EQ291" s="134"/>
    </row>
    <row r="292" spans="43:147" ht="14.4">
      <c r="AQ292" s="158"/>
      <c r="BL292" s="134"/>
      <c r="BP292" s="67"/>
      <c r="CN292" s="105"/>
      <c r="CO292" s="105"/>
      <c r="CQ292" s="105"/>
      <c r="EC292" s="86"/>
      <c r="EG292" s="105"/>
      <c r="EQ292" s="134"/>
    </row>
    <row r="293" spans="43:147" ht="14.4">
      <c r="AQ293" s="158"/>
      <c r="BL293" s="134"/>
      <c r="BP293" s="67"/>
      <c r="CN293" s="105"/>
      <c r="CO293" s="105"/>
      <c r="CQ293" s="105"/>
      <c r="EC293" s="86"/>
      <c r="EG293" s="105"/>
      <c r="EQ293" s="134"/>
    </row>
    <row r="294" spans="43:147" ht="14.4">
      <c r="AQ294" s="158"/>
      <c r="BL294" s="134"/>
      <c r="BP294" s="67"/>
      <c r="CN294" s="105"/>
      <c r="CO294" s="105"/>
      <c r="CQ294" s="105"/>
      <c r="EC294" s="86"/>
      <c r="EG294" s="105"/>
      <c r="EQ294" s="134"/>
    </row>
    <row r="295" spans="43:147" ht="14.4">
      <c r="AQ295" s="158"/>
      <c r="BL295" s="134"/>
      <c r="BP295" s="67"/>
      <c r="CN295" s="105"/>
      <c r="CO295" s="105"/>
      <c r="CQ295" s="105"/>
      <c r="EC295" s="86"/>
      <c r="EG295" s="105"/>
      <c r="EQ295" s="134"/>
    </row>
    <row r="296" spans="43:147" ht="14.4">
      <c r="AQ296" s="158"/>
      <c r="BL296" s="134"/>
      <c r="BP296" s="67"/>
      <c r="CN296" s="105"/>
      <c r="CO296" s="105"/>
      <c r="CQ296" s="105"/>
      <c r="EC296" s="86"/>
      <c r="EG296" s="105"/>
      <c r="EQ296" s="134"/>
    </row>
    <row r="297" spans="43:147" ht="14.4">
      <c r="AQ297" s="158"/>
      <c r="BL297" s="134"/>
      <c r="BP297" s="67"/>
      <c r="CN297" s="105"/>
      <c r="CO297" s="105"/>
      <c r="CQ297" s="105"/>
      <c r="EC297" s="86"/>
      <c r="EG297" s="105"/>
      <c r="EQ297" s="134"/>
    </row>
    <row r="298" spans="43:147" ht="14.4">
      <c r="AQ298" s="158"/>
      <c r="BL298" s="134"/>
      <c r="BP298" s="67"/>
      <c r="CN298" s="105"/>
      <c r="CO298" s="105"/>
      <c r="CQ298" s="105"/>
      <c r="EC298" s="86"/>
      <c r="EG298" s="105"/>
      <c r="EQ298" s="134"/>
    </row>
    <row r="299" spans="43:147" ht="14.4">
      <c r="AQ299" s="158"/>
      <c r="BL299" s="134"/>
      <c r="BP299" s="67"/>
      <c r="CN299" s="105"/>
      <c r="CO299" s="105"/>
      <c r="CQ299" s="105"/>
      <c r="EC299" s="86"/>
      <c r="EG299" s="105"/>
      <c r="EQ299" s="134"/>
    </row>
    <row r="300" spans="43:147" ht="14.4">
      <c r="AQ300" s="158"/>
      <c r="BL300" s="134"/>
      <c r="BP300" s="67"/>
      <c r="CN300" s="105"/>
      <c r="CO300" s="105"/>
      <c r="CQ300" s="105"/>
      <c r="EC300" s="86"/>
      <c r="EG300" s="105"/>
      <c r="EQ300" s="134"/>
    </row>
    <row r="301" spans="43:147" ht="14.4">
      <c r="AQ301" s="158"/>
      <c r="BL301" s="134"/>
      <c r="BP301" s="67"/>
      <c r="CN301" s="105"/>
      <c r="CO301" s="105"/>
      <c r="CQ301" s="105"/>
      <c r="EC301" s="86"/>
      <c r="EG301" s="105"/>
      <c r="EQ301" s="134"/>
    </row>
    <row r="302" spans="43:147" ht="14.4">
      <c r="AQ302" s="158"/>
      <c r="BL302" s="134"/>
      <c r="BP302" s="67"/>
      <c r="CN302" s="105"/>
      <c r="CO302" s="105"/>
      <c r="CQ302" s="105"/>
      <c r="EC302" s="86"/>
      <c r="EG302" s="105"/>
      <c r="EQ302" s="134"/>
    </row>
    <row r="303" spans="43:147" ht="14.4">
      <c r="AQ303" s="158"/>
      <c r="BL303" s="134"/>
      <c r="BP303" s="67"/>
      <c r="CN303" s="105"/>
      <c r="CO303" s="105"/>
      <c r="CQ303" s="105"/>
      <c r="EC303" s="86"/>
      <c r="EG303" s="105"/>
      <c r="EQ303" s="134"/>
    </row>
    <row r="304" spans="43:147" ht="14.4">
      <c r="AQ304" s="158"/>
      <c r="BL304" s="134"/>
      <c r="BP304" s="67"/>
      <c r="CN304" s="105"/>
      <c r="CO304" s="105"/>
      <c r="CQ304" s="105"/>
      <c r="EC304" s="86"/>
      <c r="EG304" s="105"/>
      <c r="EQ304" s="134"/>
    </row>
    <row r="305" spans="43:147" ht="14.4">
      <c r="AQ305" s="158"/>
      <c r="BL305" s="134"/>
      <c r="BP305" s="67"/>
      <c r="CN305" s="105"/>
      <c r="CO305" s="105"/>
      <c r="CQ305" s="105"/>
      <c r="EC305" s="86"/>
      <c r="EG305" s="105"/>
      <c r="EQ305" s="134"/>
    </row>
    <row r="306" spans="43:147" ht="14.4">
      <c r="AQ306" s="158"/>
      <c r="BL306" s="134"/>
      <c r="BP306" s="67"/>
      <c r="CN306" s="105"/>
      <c r="CO306" s="105"/>
      <c r="CQ306" s="105"/>
      <c r="EC306" s="86"/>
      <c r="EG306" s="105"/>
      <c r="EQ306" s="134"/>
    </row>
    <row r="307" spans="43:147" ht="14.4">
      <c r="AQ307" s="158"/>
      <c r="BL307" s="134"/>
      <c r="BP307" s="67"/>
      <c r="CN307" s="105"/>
      <c r="CO307" s="105"/>
      <c r="CQ307" s="105"/>
      <c r="EC307" s="86"/>
      <c r="EG307" s="105"/>
      <c r="EQ307" s="134"/>
    </row>
    <row r="308" spans="43:147" ht="14.4">
      <c r="AQ308" s="158"/>
      <c r="BL308" s="134"/>
      <c r="BP308" s="67"/>
      <c r="CN308" s="105"/>
      <c r="CO308" s="105"/>
      <c r="CQ308" s="105"/>
      <c r="EC308" s="86"/>
      <c r="EG308" s="105"/>
      <c r="EQ308" s="134"/>
    </row>
    <row r="309" spans="43:147" ht="14.4">
      <c r="AQ309" s="158"/>
      <c r="BL309" s="134"/>
      <c r="BP309" s="67"/>
      <c r="CN309" s="105"/>
      <c r="CO309" s="105"/>
      <c r="CQ309" s="105"/>
      <c r="EC309" s="86"/>
      <c r="EG309" s="105"/>
      <c r="EQ309" s="134"/>
    </row>
    <row r="310" spans="43:147" ht="14.4">
      <c r="AQ310" s="158"/>
      <c r="BL310" s="134"/>
      <c r="BP310" s="67"/>
      <c r="CN310" s="105"/>
      <c r="CO310" s="105"/>
      <c r="CQ310" s="105"/>
      <c r="EC310" s="86"/>
      <c r="EG310" s="105"/>
      <c r="EQ310" s="134"/>
    </row>
    <row r="311" spans="43:147" ht="14.4">
      <c r="AQ311" s="158"/>
      <c r="BL311" s="134"/>
      <c r="BP311" s="67"/>
      <c r="CN311" s="105"/>
      <c r="CO311" s="105"/>
      <c r="CQ311" s="105"/>
      <c r="EC311" s="86"/>
      <c r="EG311" s="105"/>
      <c r="EQ311" s="134"/>
    </row>
    <row r="312" spans="43:147" ht="14.4">
      <c r="AQ312" s="158"/>
      <c r="BL312" s="134"/>
      <c r="BP312" s="67"/>
      <c r="CN312" s="105"/>
      <c r="CO312" s="105"/>
      <c r="CQ312" s="105"/>
      <c r="EC312" s="86"/>
      <c r="EG312" s="105"/>
      <c r="EQ312" s="134"/>
    </row>
    <row r="313" spans="43:147" ht="14.4">
      <c r="AQ313" s="158"/>
      <c r="BL313" s="134"/>
      <c r="BP313" s="67"/>
      <c r="CN313" s="105"/>
      <c r="CO313" s="105"/>
      <c r="CQ313" s="105"/>
      <c r="EC313" s="86"/>
      <c r="EG313" s="105"/>
      <c r="EQ313" s="134"/>
    </row>
    <row r="314" spans="43:147" ht="14.4">
      <c r="AQ314" s="158"/>
      <c r="BL314" s="134"/>
      <c r="BP314" s="67"/>
      <c r="CN314" s="105"/>
      <c r="CO314" s="105"/>
      <c r="CQ314" s="105"/>
      <c r="EC314" s="86"/>
      <c r="EG314" s="105"/>
      <c r="EQ314" s="134"/>
    </row>
    <row r="315" spans="43:147" ht="14.4">
      <c r="AQ315" s="158"/>
      <c r="BL315" s="134"/>
      <c r="BP315" s="67"/>
      <c r="CN315" s="105"/>
      <c r="CO315" s="105"/>
      <c r="CQ315" s="105"/>
      <c r="EC315" s="86"/>
      <c r="EG315" s="105"/>
      <c r="EQ315" s="134"/>
    </row>
    <row r="316" spans="43:147" ht="14.4">
      <c r="AQ316" s="158"/>
      <c r="BL316" s="134"/>
      <c r="BP316" s="67"/>
      <c r="CN316" s="105"/>
      <c r="CO316" s="105"/>
      <c r="CQ316" s="105"/>
      <c r="EC316" s="86"/>
      <c r="EG316" s="105"/>
      <c r="EQ316" s="134"/>
    </row>
    <row r="317" spans="43:147" ht="14.4">
      <c r="AQ317" s="158"/>
      <c r="BL317" s="134"/>
      <c r="BP317" s="67"/>
      <c r="CN317" s="105"/>
      <c r="CO317" s="105"/>
      <c r="CQ317" s="105"/>
      <c r="EC317" s="86"/>
      <c r="EG317" s="105"/>
      <c r="EQ317" s="134"/>
    </row>
    <row r="318" spans="43:147" ht="14.4">
      <c r="AQ318" s="158"/>
      <c r="BL318" s="134"/>
      <c r="BP318" s="67"/>
      <c r="CN318" s="105"/>
      <c r="CO318" s="105"/>
      <c r="CQ318" s="105"/>
      <c r="EC318" s="86"/>
      <c r="EG318" s="105"/>
      <c r="EQ318" s="134"/>
    </row>
    <row r="319" spans="43:147" ht="14.4">
      <c r="AQ319" s="158"/>
      <c r="BL319" s="134"/>
      <c r="BP319" s="67"/>
      <c r="CN319" s="105"/>
      <c r="CO319" s="105"/>
      <c r="CQ319" s="105"/>
      <c r="EC319" s="86"/>
      <c r="EG319" s="105"/>
      <c r="EQ319" s="134"/>
    </row>
    <row r="320" spans="43:147" ht="14.4">
      <c r="AQ320" s="158"/>
      <c r="BL320" s="134"/>
      <c r="BP320" s="67"/>
      <c r="CN320" s="105"/>
      <c r="CO320" s="105"/>
      <c r="CQ320" s="105"/>
      <c r="EC320" s="86"/>
      <c r="EG320" s="105"/>
      <c r="EQ320" s="134"/>
    </row>
    <row r="321" spans="43:147" ht="14.4">
      <c r="AQ321" s="158"/>
      <c r="BL321" s="134"/>
      <c r="BP321" s="67"/>
      <c r="CN321" s="105"/>
      <c r="CO321" s="105"/>
      <c r="CQ321" s="105"/>
      <c r="EC321" s="86"/>
      <c r="EG321" s="105"/>
      <c r="EQ321" s="134"/>
    </row>
    <row r="322" spans="43:147" ht="14.4">
      <c r="AQ322" s="158"/>
      <c r="BL322" s="134"/>
      <c r="BP322" s="67"/>
      <c r="CN322" s="105"/>
      <c r="CO322" s="105"/>
      <c r="CQ322" s="105"/>
      <c r="EC322" s="86"/>
      <c r="EG322" s="105"/>
      <c r="EQ322" s="134"/>
    </row>
    <row r="323" spans="43:147" ht="14.4">
      <c r="AQ323" s="158"/>
      <c r="BL323" s="134"/>
      <c r="BP323" s="67"/>
      <c r="CN323" s="105"/>
      <c r="CO323" s="105"/>
      <c r="CQ323" s="105"/>
      <c r="EC323" s="86"/>
      <c r="EG323" s="105"/>
      <c r="EQ323" s="134"/>
    </row>
    <row r="324" spans="43:147" ht="14.4">
      <c r="AQ324" s="158"/>
      <c r="BL324" s="134"/>
      <c r="BP324" s="67"/>
      <c r="CN324" s="105"/>
      <c r="CO324" s="105"/>
      <c r="CQ324" s="105"/>
      <c r="EC324" s="86"/>
      <c r="EG324" s="105"/>
      <c r="EQ324" s="134"/>
    </row>
    <row r="325" spans="43:147" ht="14.4">
      <c r="AQ325" s="158"/>
      <c r="BL325" s="134"/>
      <c r="BP325" s="67"/>
      <c r="CN325" s="105"/>
      <c r="CO325" s="105"/>
      <c r="CQ325" s="105"/>
      <c r="EC325" s="86"/>
      <c r="EG325" s="105"/>
      <c r="EQ325" s="134"/>
    </row>
    <row r="326" spans="43:147" ht="14.4">
      <c r="AQ326" s="158"/>
      <c r="BL326" s="134"/>
      <c r="BP326" s="67"/>
      <c r="CN326" s="105"/>
      <c r="CO326" s="105"/>
      <c r="CQ326" s="105"/>
      <c r="EC326" s="86"/>
      <c r="EG326" s="105"/>
      <c r="EQ326" s="134"/>
    </row>
    <row r="327" spans="43:147" ht="14.4">
      <c r="AQ327" s="158"/>
      <c r="BL327" s="134"/>
      <c r="BP327" s="67"/>
      <c r="CN327" s="105"/>
      <c r="CO327" s="105"/>
      <c r="CQ327" s="105"/>
      <c r="EC327" s="86"/>
      <c r="EG327" s="105"/>
      <c r="EQ327" s="134"/>
    </row>
    <row r="328" spans="43:147" ht="14.4">
      <c r="AQ328" s="158"/>
      <c r="BL328" s="134"/>
      <c r="BP328" s="67"/>
      <c r="CN328" s="105"/>
      <c r="CO328" s="105"/>
      <c r="CQ328" s="105"/>
      <c r="EC328" s="86"/>
      <c r="EG328" s="105"/>
      <c r="EQ328" s="134"/>
    </row>
    <row r="329" spans="43:147" ht="14.4">
      <c r="AQ329" s="158"/>
      <c r="BL329" s="134"/>
      <c r="BP329" s="67"/>
      <c r="CN329" s="105"/>
      <c r="CO329" s="105"/>
      <c r="CQ329" s="105"/>
      <c r="EC329" s="86"/>
      <c r="EG329" s="105"/>
      <c r="EQ329" s="134"/>
    </row>
    <row r="330" spans="43:147" ht="14.4">
      <c r="AQ330" s="158"/>
      <c r="BL330" s="134"/>
      <c r="BP330" s="67"/>
      <c r="CN330" s="105"/>
      <c r="CO330" s="105"/>
      <c r="CQ330" s="105"/>
      <c r="EC330" s="86"/>
      <c r="EG330" s="105"/>
      <c r="EQ330" s="134"/>
    </row>
    <row r="331" spans="43:147" ht="14.4">
      <c r="AQ331" s="158"/>
      <c r="BL331" s="134"/>
      <c r="BP331" s="67"/>
      <c r="CN331" s="105"/>
      <c r="CO331" s="105"/>
      <c r="CQ331" s="105"/>
      <c r="EC331" s="86"/>
      <c r="EG331" s="105"/>
      <c r="EQ331" s="134"/>
    </row>
    <row r="332" spans="43:147" ht="14.4">
      <c r="AQ332" s="158"/>
      <c r="BL332" s="134"/>
      <c r="BP332" s="67"/>
      <c r="CN332" s="105"/>
      <c r="CO332" s="105"/>
      <c r="CQ332" s="105"/>
      <c r="EC332" s="86"/>
      <c r="EG332" s="105"/>
      <c r="EQ332" s="134"/>
    </row>
    <row r="333" spans="43:147" ht="14.4">
      <c r="AQ333" s="158"/>
      <c r="BL333" s="134"/>
      <c r="BP333" s="67"/>
      <c r="CN333" s="105"/>
      <c r="CO333" s="105"/>
      <c r="CQ333" s="105"/>
      <c r="EC333" s="86"/>
      <c r="EG333" s="105"/>
      <c r="EQ333" s="134"/>
    </row>
    <row r="334" spans="43:147" ht="14.4">
      <c r="AQ334" s="158"/>
      <c r="BL334" s="134"/>
      <c r="BP334" s="67"/>
      <c r="CN334" s="105"/>
      <c r="CO334" s="105"/>
      <c r="CQ334" s="105"/>
      <c r="EC334" s="86"/>
      <c r="EG334" s="105"/>
      <c r="EQ334" s="134"/>
    </row>
    <row r="335" spans="43:147" ht="14.4">
      <c r="AQ335" s="158"/>
      <c r="BL335" s="134"/>
      <c r="BP335" s="67"/>
      <c r="CN335" s="105"/>
      <c r="CO335" s="105"/>
      <c r="CQ335" s="105"/>
      <c r="EC335" s="86"/>
      <c r="EG335" s="105"/>
      <c r="EQ335" s="134"/>
    </row>
    <row r="336" spans="43:147" ht="14.4">
      <c r="AQ336" s="158"/>
      <c r="BL336" s="134"/>
      <c r="BP336" s="67"/>
      <c r="CN336" s="105"/>
      <c r="CO336" s="105"/>
      <c r="CQ336" s="105"/>
      <c r="EC336" s="86"/>
      <c r="EG336" s="105"/>
      <c r="EQ336" s="134"/>
    </row>
    <row r="337" spans="43:147" ht="14.4">
      <c r="AQ337" s="158"/>
      <c r="BL337" s="134"/>
      <c r="BP337" s="67"/>
      <c r="CN337" s="105"/>
      <c r="CO337" s="105"/>
      <c r="CQ337" s="105"/>
      <c r="EC337" s="86"/>
      <c r="EG337" s="105"/>
      <c r="EQ337" s="134"/>
    </row>
    <row r="338" spans="43:147" ht="14.4">
      <c r="AQ338" s="158"/>
      <c r="BL338" s="134"/>
      <c r="BP338" s="67"/>
      <c r="CN338" s="105"/>
      <c r="CO338" s="105"/>
      <c r="CQ338" s="105"/>
      <c r="EC338" s="86"/>
      <c r="EG338" s="105"/>
      <c r="EQ338" s="134"/>
    </row>
    <row r="339" spans="43:147" ht="14.4">
      <c r="AQ339" s="158"/>
      <c r="BL339" s="134"/>
      <c r="BP339" s="67"/>
      <c r="CN339" s="105"/>
      <c r="CO339" s="105"/>
      <c r="CQ339" s="105"/>
      <c r="EC339" s="86"/>
      <c r="EG339" s="105"/>
      <c r="EQ339" s="134"/>
    </row>
    <row r="340" spans="43:147" ht="14.4">
      <c r="AQ340" s="158"/>
      <c r="BL340" s="134"/>
      <c r="BP340" s="67"/>
      <c r="CN340" s="105"/>
      <c r="CO340" s="105"/>
      <c r="CQ340" s="105"/>
      <c r="EC340" s="86"/>
      <c r="EG340" s="105"/>
      <c r="EQ340" s="134"/>
    </row>
    <row r="341" spans="43:147" ht="14.4">
      <c r="AQ341" s="158"/>
      <c r="BL341" s="134"/>
      <c r="BP341" s="67"/>
      <c r="CN341" s="105"/>
      <c r="CO341" s="105"/>
      <c r="CQ341" s="105"/>
      <c r="EC341" s="86"/>
      <c r="EG341" s="105"/>
      <c r="EQ341" s="134"/>
    </row>
    <row r="342" spans="43:147" ht="14.4">
      <c r="AQ342" s="158"/>
      <c r="BL342" s="134"/>
      <c r="BP342" s="67"/>
      <c r="CN342" s="105"/>
      <c r="CO342" s="105"/>
      <c r="CQ342" s="105"/>
      <c r="EC342" s="86"/>
      <c r="EG342" s="105"/>
      <c r="EQ342" s="134"/>
    </row>
    <row r="343" spans="43:147" ht="14.4">
      <c r="AQ343" s="158"/>
      <c r="BL343" s="134"/>
      <c r="BP343" s="67"/>
      <c r="CN343" s="105"/>
      <c r="CO343" s="105"/>
      <c r="CQ343" s="105"/>
      <c r="EC343" s="86"/>
      <c r="EG343" s="105"/>
      <c r="EQ343" s="134"/>
    </row>
    <row r="344" spans="43:147" ht="14.4">
      <c r="AQ344" s="158"/>
      <c r="BL344" s="134"/>
      <c r="BP344" s="67"/>
      <c r="CN344" s="105"/>
      <c r="CO344" s="105"/>
      <c r="CQ344" s="105"/>
      <c r="EC344" s="86"/>
      <c r="EG344" s="105"/>
      <c r="EQ344" s="134"/>
    </row>
    <row r="345" spans="43:147" ht="14.4">
      <c r="AQ345" s="158"/>
      <c r="BL345" s="134"/>
      <c r="BP345" s="67"/>
      <c r="CN345" s="105"/>
      <c r="CO345" s="105"/>
      <c r="CQ345" s="105"/>
      <c r="EC345" s="86"/>
      <c r="EG345" s="105"/>
      <c r="EQ345" s="134"/>
    </row>
    <row r="346" spans="43:147" ht="14.4">
      <c r="AQ346" s="158"/>
      <c r="BL346" s="134"/>
      <c r="BP346" s="67"/>
      <c r="CN346" s="105"/>
      <c r="CO346" s="105"/>
      <c r="CQ346" s="105"/>
      <c r="EC346" s="86"/>
      <c r="EG346" s="105"/>
      <c r="EQ346" s="134"/>
    </row>
    <row r="347" spans="43:147" ht="14.4">
      <c r="AQ347" s="158"/>
      <c r="BL347" s="134"/>
      <c r="BP347" s="67"/>
      <c r="CN347" s="105"/>
      <c r="CO347" s="105"/>
      <c r="CQ347" s="105"/>
      <c r="EC347" s="86"/>
      <c r="EG347" s="105"/>
      <c r="EQ347" s="134"/>
    </row>
    <row r="348" spans="43:147" ht="14.4">
      <c r="AQ348" s="158"/>
      <c r="BL348" s="134"/>
      <c r="BP348" s="67"/>
      <c r="CN348" s="105"/>
      <c r="CO348" s="105"/>
      <c r="CQ348" s="105"/>
      <c r="EC348" s="86"/>
      <c r="EG348" s="105"/>
      <c r="EQ348" s="134"/>
    </row>
    <row r="349" spans="43:147" ht="14.4">
      <c r="AQ349" s="158"/>
      <c r="BL349" s="134"/>
      <c r="BP349" s="67"/>
      <c r="CN349" s="105"/>
      <c r="CO349" s="105"/>
      <c r="CQ349" s="105"/>
      <c r="EC349" s="86"/>
      <c r="EG349" s="105"/>
      <c r="EQ349" s="134"/>
    </row>
    <row r="350" spans="43:147" ht="14.4">
      <c r="AQ350" s="158"/>
      <c r="BL350" s="134"/>
      <c r="BP350" s="67"/>
      <c r="CN350" s="105"/>
      <c r="CO350" s="105"/>
      <c r="CQ350" s="105"/>
      <c r="EC350" s="86"/>
      <c r="EG350" s="105"/>
      <c r="EQ350" s="134"/>
    </row>
    <row r="351" spans="43:147" ht="14.4">
      <c r="AQ351" s="158"/>
      <c r="BL351" s="134"/>
      <c r="BP351" s="67"/>
      <c r="CN351" s="105"/>
      <c r="CO351" s="105"/>
      <c r="CQ351" s="105"/>
      <c r="EC351" s="86"/>
      <c r="EG351" s="105"/>
      <c r="EQ351" s="134"/>
    </row>
    <row r="352" spans="43:147" ht="14.4">
      <c r="AQ352" s="158"/>
      <c r="BL352" s="134"/>
      <c r="BP352" s="67"/>
      <c r="CN352" s="105"/>
      <c r="CO352" s="105"/>
      <c r="CQ352" s="105"/>
      <c r="EC352" s="86"/>
      <c r="EG352" s="105"/>
      <c r="EQ352" s="134"/>
    </row>
    <row r="353" spans="43:147" ht="14.4">
      <c r="AQ353" s="158"/>
      <c r="BL353" s="134"/>
      <c r="BP353" s="67"/>
      <c r="CN353" s="105"/>
      <c r="CO353" s="105"/>
      <c r="CQ353" s="105"/>
      <c r="EC353" s="86"/>
      <c r="EG353" s="105"/>
      <c r="EQ353" s="134"/>
    </row>
    <row r="354" spans="43:147" ht="14.4">
      <c r="AQ354" s="158"/>
      <c r="BL354" s="134"/>
      <c r="BP354" s="67"/>
      <c r="CN354" s="105"/>
      <c r="CO354" s="105"/>
      <c r="CQ354" s="105"/>
      <c r="EC354" s="86"/>
      <c r="EG354" s="105"/>
      <c r="EQ354" s="134"/>
    </row>
    <row r="355" spans="43:147" ht="14.4">
      <c r="AQ355" s="158"/>
      <c r="BL355" s="134"/>
      <c r="BP355" s="67"/>
      <c r="CN355" s="105"/>
      <c r="CO355" s="105"/>
      <c r="CQ355" s="105"/>
      <c r="EC355" s="86"/>
      <c r="EG355" s="105"/>
      <c r="EQ355" s="134"/>
    </row>
    <row r="356" spans="43:147" ht="14.4">
      <c r="AQ356" s="158"/>
      <c r="BL356" s="134"/>
      <c r="BP356" s="67"/>
      <c r="CN356" s="105"/>
      <c r="CO356" s="105"/>
      <c r="CQ356" s="105"/>
      <c r="EC356" s="86"/>
      <c r="EG356" s="105"/>
      <c r="EQ356" s="134"/>
    </row>
    <row r="357" spans="43:147" ht="14.4">
      <c r="AQ357" s="158"/>
      <c r="BL357" s="134"/>
      <c r="BP357" s="67"/>
      <c r="CN357" s="105"/>
      <c r="CO357" s="105"/>
      <c r="CQ357" s="105"/>
      <c r="EC357" s="86"/>
      <c r="EG357" s="105"/>
      <c r="EQ357" s="134"/>
    </row>
    <row r="358" spans="43:147" ht="14.4">
      <c r="AQ358" s="158"/>
      <c r="BL358" s="134"/>
      <c r="BP358" s="67"/>
      <c r="CN358" s="105"/>
      <c r="CO358" s="105"/>
      <c r="CQ358" s="105"/>
      <c r="EC358" s="86"/>
      <c r="EG358" s="105"/>
      <c r="EQ358" s="134"/>
    </row>
    <row r="359" spans="43:147" ht="14.4">
      <c r="AQ359" s="158"/>
      <c r="BL359" s="134"/>
      <c r="BP359" s="67"/>
      <c r="CN359" s="105"/>
      <c r="CO359" s="105"/>
      <c r="CQ359" s="105"/>
      <c r="EC359" s="86"/>
      <c r="EG359" s="105"/>
      <c r="EQ359" s="134"/>
    </row>
    <row r="360" spans="43:147" ht="14.4">
      <c r="AQ360" s="158"/>
      <c r="BL360" s="134"/>
      <c r="BP360" s="67"/>
      <c r="CN360" s="105"/>
      <c r="CO360" s="105"/>
      <c r="CQ360" s="105"/>
      <c r="EC360" s="86"/>
      <c r="EG360" s="105"/>
      <c r="EQ360" s="134"/>
    </row>
    <row r="361" spans="43:147" ht="14.4">
      <c r="AQ361" s="158"/>
      <c r="BL361" s="134"/>
      <c r="BP361" s="67"/>
      <c r="CN361" s="105"/>
      <c r="CO361" s="105"/>
      <c r="CQ361" s="105"/>
      <c r="EC361" s="86"/>
      <c r="EG361" s="105"/>
      <c r="EQ361" s="134"/>
    </row>
    <row r="362" spans="43:147" ht="14.4">
      <c r="AQ362" s="158"/>
      <c r="BL362" s="134"/>
      <c r="BP362" s="67"/>
      <c r="CN362" s="105"/>
      <c r="CO362" s="105"/>
      <c r="CQ362" s="105"/>
      <c r="EC362" s="86"/>
      <c r="EG362" s="105"/>
      <c r="EQ362" s="134"/>
    </row>
    <row r="363" spans="43:147" ht="14.4">
      <c r="AQ363" s="158"/>
      <c r="BL363" s="134"/>
      <c r="BP363" s="67"/>
      <c r="CN363" s="105"/>
      <c r="CO363" s="105"/>
      <c r="CQ363" s="105"/>
      <c r="EC363" s="86"/>
      <c r="EG363" s="105"/>
      <c r="EQ363" s="134"/>
    </row>
    <row r="364" spans="43:147" ht="14.4">
      <c r="AQ364" s="158"/>
      <c r="BL364" s="134"/>
      <c r="BP364" s="67"/>
      <c r="CN364" s="105"/>
      <c r="CO364" s="105"/>
      <c r="CQ364" s="105"/>
      <c r="EC364" s="86"/>
      <c r="EG364" s="105"/>
      <c r="EQ364" s="134"/>
    </row>
    <row r="365" spans="43:147" ht="14.4">
      <c r="AQ365" s="158"/>
      <c r="BL365" s="134"/>
      <c r="BP365" s="67"/>
      <c r="CN365" s="105"/>
      <c r="CO365" s="105"/>
      <c r="CQ365" s="105"/>
      <c r="EC365" s="86"/>
      <c r="EG365" s="105"/>
      <c r="EQ365" s="134"/>
    </row>
    <row r="366" spans="43:147" ht="14.4">
      <c r="AQ366" s="158"/>
      <c r="BL366" s="134"/>
      <c r="BP366" s="67"/>
      <c r="CN366" s="105"/>
      <c r="CO366" s="105"/>
      <c r="CQ366" s="105"/>
      <c r="EC366" s="86"/>
      <c r="EG366" s="105"/>
      <c r="EQ366" s="134"/>
    </row>
    <row r="367" spans="43:147" ht="14.4">
      <c r="AQ367" s="158"/>
      <c r="BL367" s="134"/>
      <c r="BP367" s="67"/>
      <c r="CN367" s="105"/>
      <c r="CO367" s="105"/>
      <c r="CQ367" s="105"/>
      <c r="EC367" s="86"/>
      <c r="EG367" s="105"/>
      <c r="EQ367" s="134"/>
    </row>
    <row r="368" spans="43:147" ht="14.4">
      <c r="AQ368" s="158"/>
      <c r="BL368" s="134"/>
      <c r="BP368" s="67"/>
      <c r="CN368" s="105"/>
      <c r="CO368" s="105"/>
      <c r="CQ368" s="105"/>
      <c r="EC368" s="86"/>
      <c r="EG368" s="105"/>
      <c r="EQ368" s="134"/>
    </row>
    <row r="369" spans="43:147" ht="14.4">
      <c r="AQ369" s="158"/>
      <c r="BL369" s="134"/>
      <c r="BP369" s="67"/>
      <c r="CN369" s="105"/>
      <c r="CO369" s="105"/>
      <c r="CQ369" s="105"/>
      <c r="EC369" s="86"/>
      <c r="EG369" s="105"/>
      <c r="EQ369" s="134"/>
    </row>
    <row r="370" spans="43:147" ht="14.4">
      <c r="AQ370" s="158"/>
      <c r="BL370" s="134"/>
      <c r="BP370" s="67"/>
      <c r="CN370" s="105"/>
      <c r="CO370" s="105"/>
      <c r="CQ370" s="105"/>
      <c r="EC370" s="86"/>
      <c r="EG370" s="105"/>
      <c r="EQ370" s="134"/>
    </row>
    <row r="371" spans="43:147" ht="14.4">
      <c r="AQ371" s="158"/>
      <c r="BL371" s="134"/>
      <c r="BP371" s="67"/>
      <c r="CN371" s="105"/>
      <c r="CO371" s="105"/>
      <c r="CQ371" s="105"/>
      <c r="EC371" s="86"/>
      <c r="EG371" s="105"/>
      <c r="EQ371" s="134"/>
    </row>
    <row r="372" spans="43:147" ht="14.4">
      <c r="AQ372" s="158"/>
      <c r="BL372" s="134"/>
      <c r="BP372" s="67"/>
      <c r="CN372" s="105"/>
      <c r="CO372" s="105"/>
      <c r="CQ372" s="105"/>
      <c r="EC372" s="86"/>
      <c r="EG372" s="105"/>
      <c r="EQ372" s="134"/>
    </row>
    <row r="373" spans="43:147" ht="14.4">
      <c r="AQ373" s="158"/>
      <c r="BL373" s="134"/>
      <c r="BP373" s="67"/>
      <c r="CN373" s="105"/>
      <c r="CO373" s="105"/>
      <c r="CQ373" s="105"/>
      <c r="EC373" s="86"/>
      <c r="EG373" s="105"/>
      <c r="EQ373" s="134"/>
    </row>
    <row r="374" spans="43:147" ht="14.4">
      <c r="AQ374" s="158"/>
      <c r="BL374" s="134"/>
      <c r="BP374" s="67"/>
      <c r="CN374" s="105"/>
      <c r="CO374" s="105"/>
      <c r="CQ374" s="105"/>
      <c r="EC374" s="86"/>
      <c r="EG374" s="105"/>
      <c r="EQ374" s="134"/>
    </row>
    <row r="375" spans="43:147" ht="14.4">
      <c r="AQ375" s="158"/>
      <c r="BL375" s="134"/>
      <c r="BP375" s="67"/>
      <c r="CN375" s="105"/>
      <c r="CO375" s="105"/>
      <c r="CQ375" s="105"/>
      <c r="EC375" s="86"/>
      <c r="EG375" s="105"/>
      <c r="EQ375" s="134"/>
    </row>
    <row r="376" spans="43:147" ht="14.4">
      <c r="AQ376" s="158"/>
      <c r="BL376" s="134"/>
      <c r="BP376" s="67"/>
      <c r="CN376" s="105"/>
      <c r="CO376" s="105"/>
      <c r="CQ376" s="105"/>
      <c r="EC376" s="86"/>
      <c r="EG376" s="105"/>
      <c r="EQ376" s="134"/>
    </row>
    <row r="377" spans="43:147" ht="14.4">
      <c r="AQ377" s="158"/>
      <c r="BL377" s="134"/>
      <c r="BP377" s="67"/>
      <c r="CN377" s="105"/>
      <c r="CO377" s="105"/>
      <c r="CQ377" s="105"/>
      <c r="EC377" s="86"/>
      <c r="EG377" s="105"/>
      <c r="EQ377" s="134"/>
    </row>
    <row r="378" spans="43:147" ht="14.4">
      <c r="AQ378" s="158"/>
      <c r="BL378" s="134"/>
      <c r="BP378" s="67"/>
      <c r="CN378" s="105"/>
      <c r="CO378" s="105"/>
      <c r="CQ378" s="105"/>
      <c r="EC378" s="86"/>
      <c r="EG378" s="105"/>
      <c r="EQ378" s="134"/>
    </row>
    <row r="379" spans="43:147" ht="14.4">
      <c r="AQ379" s="158"/>
      <c r="BL379" s="134"/>
      <c r="BP379" s="67"/>
      <c r="CN379" s="105"/>
      <c r="CO379" s="105"/>
      <c r="CQ379" s="105"/>
      <c r="EC379" s="86"/>
      <c r="EG379" s="105"/>
      <c r="EQ379" s="134"/>
    </row>
    <row r="380" spans="43:147" ht="14.4">
      <c r="AQ380" s="158"/>
      <c r="BL380" s="134"/>
      <c r="BP380" s="67"/>
      <c r="CN380" s="105"/>
      <c r="CO380" s="105"/>
      <c r="CQ380" s="105"/>
      <c r="EC380" s="86"/>
      <c r="EG380" s="105"/>
      <c r="EQ380" s="134"/>
    </row>
    <row r="381" spans="43:147" ht="14.4">
      <c r="AQ381" s="158"/>
      <c r="BL381" s="134"/>
      <c r="BP381" s="67"/>
      <c r="CN381" s="105"/>
      <c r="CO381" s="105"/>
      <c r="CQ381" s="105"/>
      <c r="EC381" s="86"/>
      <c r="EG381" s="105"/>
      <c r="EQ381" s="134"/>
    </row>
    <row r="382" spans="43:147" ht="14.4">
      <c r="AQ382" s="158"/>
      <c r="BL382" s="134"/>
      <c r="BP382" s="67"/>
      <c r="CN382" s="105"/>
      <c r="CO382" s="105"/>
      <c r="CQ382" s="105"/>
      <c r="EC382" s="86"/>
      <c r="EG382" s="105"/>
      <c r="EQ382" s="134"/>
    </row>
    <row r="383" spans="43:147" ht="14.4">
      <c r="AQ383" s="158"/>
      <c r="BL383" s="134"/>
      <c r="BP383" s="67"/>
      <c r="CN383" s="105"/>
      <c r="CO383" s="105"/>
      <c r="CQ383" s="105"/>
      <c r="EC383" s="86"/>
      <c r="EG383" s="105"/>
      <c r="EQ383" s="134"/>
    </row>
    <row r="384" spans="43:147" ht="14.4">
      <c r="AQ384" s="158"/>
      <c r="BL384" s="134"/>
      <c r="BP384" s="67"/>
      <c r="CN384" s="105"/>
      <c r="CO384" s="105"/>
      <c r="CQ384" s="105"/>
      <c r="EC384" s="86"/>
      <c r="EG384" s="105"/>
      <c r="EQ384" s="134"/>
    </row>
    <row r="385" spans="43:147" ht="14.4">
      <c r="AQ385" s="158"/>
      <c r="BL385" s="134"/>
      <c r="BP385" s="67"/>
      <c r="CN385" s="105"/>
      <c r="CO385" s="105"/>
      <c r="CQ385" s="105"/>
      <c r="EC385" s="86"/>
      <c r="EG385" s="105"/>
      <c r="EQ385" s="134"/>
    </row>
    <row r="386" spans="43:147" ht="14.4">
      <c r="AQ386" s="158"/>
      <c r="BL386" s="134"/>
      <c r="BP386" s="67"/>
      <c r="CN386" s="105"/>
      <c r="CO386" s="105"/>
      <c r="CQ386" s="105"/>
      <c r="EC386" s="86"/>
      <c r="EG386" s="105"/>
      <c r="EQ386" s="134"/>
    </row>
    <row r="387" spans="43:147" ht="14.4">
      <c r="AQ387" s="158"/>
      <c r="BL387" s="134"/>
      <c r="BP387" s="67"/>
      <c r="CN387" s="105"/>
      <c r="CO387" s="105"/>
      <c r="CQ387" s="105"/>
      <c r="EC387" s="86"/>
      <c r="EG387" s="105"/>
      <c r="EQ387" s="134"/>
    </row>
    <row r="388" spans="43:147" ht="14.4">
      <c r="AQ388" s="158"/>
      <c r="BL388" s="134"/>
      <c r="BP388" s="67"/>
      <c r="CN388" s="105"/>
      <c r="CO388" s="105"/>
      <c r="CQ388" s="105"/>
      <c r="EC388" s="86"/>
      <c r="EG388" s="105"/>
      <c r="EQ388" s="134"/>
    </row>
    <row r="389" spans="43:147" ht="14.4">
      <c r="AQ389" s="158"/>
      <c r="BL389" s="134"/>
      <c r="BP389" s="67"/>
      <c r="CN389" s="105"/>
      <c r="CO389" s="105"/>
      <c r="CQ389" s="105"/>
      <c r="EC389" s="86"/>
      <c r="EG389" s="105"/>
      <c r="EQ389" s="134"/>
    </row>
    <row r="390" spans="43:147" ht="14.4">
      <c r="AQ390" s="158"/>
      <c r="BL390" s="134"/>
      <c r="BP390" s="67"/>
      <c r="CN390" s="105"/>
      <c r="CO390" s="105"/>
      <c r="CQ390" s="105"/>
      <c r="EC390" s="86"/>
      <c r="EG390" s="105"/>
      <c r="EQ390" s="134"/>
    </row>
    <row r="391" spans="43:147" ht="14.4">
      <c r="AQ391" s="158"/>
      <c r="BL391" s="134"/>
      <c r="BP391" s="67"/>
      <c r="CN391" s="105"/>
      <c r="CO391" s="105"/>
      <c r="CQ391" s="105"/>
      <c r="EC391" s="86"/>
      <c r="EG391" s="105"/>
      <c r="EQ391" s="134"/>
    </row>
    <row r="392" spans="43:147" ht="14.4">
      <c r="AQ392" s="158"/>
      <c r="BL392" s="134"/>
      <c r="BP392" s="67"/>
      <c r="CN392" s="105"/>
      <c r="CO392" s="105"/>
      <c r="CQ392" s="105"/>
      <c r="EC392" s="86"/>
      <c r="EG392" s="105"/>
      <c r="EQ392" s="134"/>
    </row>
    <row r="393" spans="43:147" ht="14.4">
      <c r="AQ393" s="158"/>
      <c r="BL393" s="134"/>
      <c r="BP393" s="67"/>
      <c r="CN393" s="105"/>
      <c r="CO393" s="105"/>
      <c r="CQ393" s="105"/>
      <c r="EC393" s="86"/>
      <c r="EG393" s="105"/>
      <c r="EQ393" s="134"/>
    </row>
    <row r="394" spans="43:147" ht="14.4">
      <c r="AQ394" s="158"/>
      <c r="BL394" s="134"/>
      <c r="BP394" s="67"/>
      <c r="CN394" s="105"/>
      <c r="CO394" s="105"/>
      <c r="CQ394" s="105"/>
      <c r="EC394" s="86"/>
      <c r="EG394" s="105"/>
      <c r="EQ394" s="134"/>
    </row>
    <row r="395" spans="43:147" ht="14.4">
      <c r="AQ395" s="158"/>
      <c r="BL395" s="134"/>
      <c r="BP395" s="67"/>
      <c r="CN395" s="105"/>
      <c r="CO395" s="105"/>
      <c r="CQ395" s="105"/>
      <c r="EC395" s="86"/>
      <c r="EG395" s="105"/>
      <c r="EQ395" s="134"/>
    </row>
    <row r="396" spans="43:147" ht="14.4">
      <c r="AQ396" s="158"/>
      <c r="BL396" s="134"/>
      <c r="BP396" s="67"/>
      <c r="CN396" s="105"/>
      <c r="CO396" s="105"/>
      <c r="CQ396" s="105"/>
      <c r="EC396" s="86"/>
      <c r="EG396" s="105"/>
      <c r="EQ396" s="134"/>
    </row>
    <row r="397" spans="43:147" ht="14.4">
      <c r="AQ397" s="158"/>
      <c r="BL397" s="134"/>
      <c r="BP397" s="67"/>
      <c r="CN397" s="105"/>
      <c r="CO397" s="105"/>
      <c r="CQ397" s="105"/>
      <c r="EC397" s="86"/>
      <c r="EG397" s="105"/>
      <c r="EQ397" s="134"/>
    </row>
    <row r="398" spans="43:147" ht="14.4">
      <c r="AQ398" s="158"/>
      <c r="BL398" s="134"/>
      <c r="BP398" s="67"/>
      <c r="CN398" s="105"/>
      <c r="CO398" s="105"/>
      <c r="CQ398" s="105"/>
      <c r="EC398" s="86"/>
      <c r="EG398" s="105"/>
      <c r="EQ398" s="134"/>
    </row>
    <row r="399" spans="43:147" ht="14.4">
      <c r="AQ399" s="158"/>
      <c r="BL399" s="134"/>
      <c r="BP399" s="67"/>
      <c r="CN399" s="105"/>
      <c r="CO399" s="105"/>
      <c r="CQ399" s="105"/>
      <c r="EC399" s="86"/>
      <c r="EG399" s="105"/>
      <c r="EQ399" s="134"/>
    </row>
    <row r="400" spans="43:147" ht="14.4">
      <c r="AQ400" s="158"/>
      <c r="BL400" s="134"/>
      <c r="BP400" s="67"/>
      <c r="CN400" s="105"/>
      <c r="CO400" s="105"/>
      <c r="CQ400" s="105"/>
      <c r="EC400" s="86"/>
      <c r="EG400" s="105"/>
      <c r="EQ400" s="134"/>
    </row>
    <row r="401" spans="43:147" ht="14.4">
      <c r="AQ401" s="158"/>
      <c r="BL401" s="134"/>
      <c r="BP401" s="67"/>
      <c r="CN401" s="105"/>
      <c r="CO401" s="105"/>
      <c r="CQ401" s="105"/>
      <c r="EC401" s="86"/>
      <c r="EG401" s="105"/>
      <c r="EQ401" s="134"/>
    </row>
    <row r="402" spans="43:147" ht="14.4">
      <c r="AQ402" s="158"/>
      <c r="BL402" s="134"/>
      <c r="BP402" s="67"/>
      <c r="CN402" s="105"/>
      <c r="CO402" s="105"/>
      <c r="CQ402" s="105"/>
      <c r="EC402" s="86"/>
      <c r="EG402" s="105"/>
      <c r="EQ402" s="134"/>
    </row>
    <row r="403" spans="43:147" ht="14.4">
      <c r="AQ403" s="158"/>
      <c r="BL403" s="134"/>
      <c r="BP403" s="67"/>
      <c r="CN403" s="105"/>
      <c r="CO403" s="105"/>
      <c r="CQ403" s="105"/>
      <c r="EC403" s="86"/>
      <c r="EG403" s="105"/>
      <c r="EQ403" s="134"/>
    </row>
    <row r="404" spans="43:147" ht="14.4">
      <c r="AQ404" s="158"/>
      <c r="BL404" s="134"/>
      <c r="BP404" s="67"/>
      <c r="CN404" s="105"/>
      <c r="CO404" s="105"/>
      <c r="CQ404" s="105"/>
      <c r="EC404" s="86"/>
      <c r="EG404" s="105"/>
      <c r="EQ404" s="134"/>
    </row>
    <row r="405" spans="43:147" ht="14.4">
      <c r="AQ405" s="158"/>
      <c r="BL405" s="134"/>
      <c r="BP405" s="67"/>
      <c r="CN405" s="105"/>
      <c r="CO405" s="105"/>
      <c r="CQ405" s="105"/>
      <c r="EC405" s="86"/>
      <c r="EG405" s="105"/>
      <c r="EQ405" s="134"/>
    </row>
    <row r="406" spans="43:147" ht="14.4">
      <c r="AQ406" s="158"/>
      <c r="BL406" s="134"/>
      <c r="BP406" s="67"/>
      <c r="CN406" s="105"/>
      <c r="CO406" s="105"/>
      <c r="CQ406" s="105"/>
      <c r="EC406" s="86"/>
      <c r="EG406" s="105"/>
      <c r="EQ406" s="134"/>
    </row>
    <row r="407" spans="43:147" ht="14.4">
      <c r="AQ407" s="158"/>
      <c r="BL407" s="134"/>
      <c r="BP407" s="67"/>
      <c r="CN407" s="105"/>
      <c r="CO407" s="105"/>
      <c r="CQ407" s="105"/>
      <c r="EC407" s="86"/>
      <c r="EG407" s="105"/>
      <c r="EQ407" s="134"/>
    </row>
    <row r="408" spans="43:147" ht="14.4">
      <c r="AQ408" s="158"/>
      <c r="BL408" s="134"/>
      <c r="BP408" s="67"/>
      <c r="CN408" s="105"/>
      <c r="CO408" s="105"/>
      <c r="CQ408" s="105"/>
      <c r="EC408" s="86"/>
      <c r="EG408" s="105"/>
      <c r="EQ408" s="134"/>
    </row>
    <row r="409" spans="43:147" ht="14.4">
      <c r="AQ409" s="158"/>
      <c r="BL409" s="134"/>
      <c r="BP409" s="67"/>
      <c r="CN409" s="105"/>
      <c r="CO409" s="105"/>
      <c r="CQ409" s="105"/>
      <c r="EC409" s="86"/>
      <c r="EG409" s="105"/>
      <c r="EQ409" s="134"/>
    </row>
    <row r="410" spans="43:147" ht="14.4">
      <c r="AQ410" s="158"/>
      <c r="BL410" s="134"/>
      <c r="BP410" s="67"/>
      <c r="CN410" s="105"/>
      <c r="CO410" s="105"/>
      <c r="CQ410" s="105"/>
      <c r="EC410" s="86"/>
      <c r="EG410" s="105"/>
      <c r="EQ410" s="134"/>
    </row>
    <row r="411" spans="43:147" ht="14.4">
      <c r="AQ411" s="158"/>
      <c r="BL411" s="134"/>
      <c r="BP411" s="67"/>
      <c r="CN411" s="105"/>
      <c r="CO411" s="105"/>
      <c r="CQ411" s="105"/>
      <c r="EC411" s="86"/>
      <c r="EG411" s="105"/>
      <c r="EQ411" s="134"/>
    </row>
    <row r="412" spans="43:147" ht="14.4">
      <c r="AQ412" s="158"/>
      <c r="BL412" s="134"/>
      <c r="BP412" s="67"/>
      <c r="CN412" s="105"/>
      <c r="CO412" s="105"/>
      <c r="CQ412" s="105"/>
      <c r="EC412" s="86"/>
      <c r="EG412" s="105"/>
      <c r="EQ412" s="134"/>
    </row>
    <row r="413" spans="43:147" ht="14.4">
      <c r="AQ413" s="158"/>
      <c r="BL413" s="134"/>
      <c r="BP413" s="67"/>
      <c r="CN413" s="105"/>
      <c r="CO413" s="105"/>
      <c r="CQ413" s="105"/>
      <c r="EC413" s="86"/>
      <c r="EG413" s="105"/>
      <c r="EQ413" s="134"/>
    </row>
    <row r="414" spans="43:147" ht="14.4">
      <c r="AQ414" s="158"/>
      <c r="BL414" s="134"/>
      <c r="BP414" s="67"/>
      <c r="CN414" s="105"/>
      <c r="CO414" s="105"/>
      <c r="CQ414" s="105"/>
      <c r="EC414" s="86"/>
      <c r="EG414" s="105"/>
      <c r="EQ414" s="134"/>
    </row>
    <row r="415" spans="43:147" ht="14.4">
      <c r="AQ415" s="158"/>
      <c r="BL415" s="134"/>
      <c r="BP415" s="67"/>
      <c r="CN415" s="105"/>
      <c r="CO415" s="105"/>
      <c r="CQ415" s="105"/>
      <c r="EC415" s="86"/>
      <c r="EG415" s="105"/>
      <c r="EQ415" s="134"/>
    </row>
    <row r="416" spans="43:147" ht="14.4">
      <c r="AQ416" s="158"/>
      <c r="BL416" s="134"/>
      <c r="BP416" s="67"/>
      <c r="CN416" s="105"/>
      <c r="CO416" s="105"/>
      <c r="CQ416" s="105"/>
      <c r="EC416" s="86"/>
      <c r="EG416" s="105"/>
      <c r="EQ416" s="134"/>
    </row>
    <row r="417" spans="43:147" ht="14.4">
      <c r="AQ417" s="158"/>
      <c r="BL417" s="134"/>
      <c r="BP417" s="67"/>
      <c r="CN417" s="105"/>
      <c r="CO417" s="105"/>
      <c r="CQ417" s="105"/>
      <c r="EC417" s="86"/>
      <c r="EG417" s="105"/>
      <c r="EQ417" s="134"/>
    </row>
    <row r="418" spans="43:147" ht="14.4">
      <c r="AQ418" s="158"/>
      <c r="BL418" s="134"/>
      <c r="BP418" s="67"/>
      <c r="CN418" s="105"/>
      <c r="CO418" s="105"/>
      <c r="CQ418" s="105"/>
      <c r="EC418" s="86"/>
      <c r="EG418" s="105"/>
      <c r="EQ418" s="134"/>
    </row>
    <row r="419" spans="43:147" ht="14.4">
      <c r="AQ419" s="158"/>
      <c r="BL419" s="134"/>
      <c r="BP419" s="67"/>
      <c r="CN419" s="105"/>
      <c r="CO419" s="105"/>
      <c r="CQ419" s="105"/>
      <c r="EC419" s="86"/>
      <c r="EG419" s="105"/>
      <c r="EQ419" s="134"/>
    </row>
    <row r="420" spans="43:147" ht="14.4">
      <c r="AQ420" s="158"/>
      <c r="BL420" s="134"/>
      <c r="BP420" s="67"/>
      <c r="CN420" s="105"/>
      <c r="CO420" s="105"/>
      <c r="CQ420" s="105"/>
      <c r="EC420" s="86"/>
      <c r="EG420" s="105"/>
      <c r="EQ420" s="134"/>
    </row>
    <row r="421" spans="43:147" ht="14.4">
      <c r="AQ421" s="158"/>
      <c r="BL421" s="134"/>
      <c r="BP421" s="67"/>
      <c r="CN421" s="105"/>
      <c r="CO421" s="105"/>
      <c r="CQ421" s="105"/>
      <c r="EC421" s="86"/>
      <c r="EG421" s="105"/>
      <c r="EQ421" s="134"/>
    </row>
    <row r="422" spans="43:147" ht="14.4">
      <c r="AQ422" s="158"/>
      <c r="BL422" s="134"/>
      <c r="BP422" s="67"/>
      <c r="CN422" s="105"/>
      <c r="CO422" s="105"/>
      <c r="CQ422" s="105"/>
      <c r="EC422" s="86"/>
      <c r="EG422" s="105"/>
      <c r="EQ422" s="134"/>
    </row>
    <row r="423" spans="43:147" ht="14.4">
      <c r="AQ423" s="158"/>
      <c r="BL423" s="134"/>
      <c r="BP423" s="67"/>
      <c r="CN423" s="105"/>
      <c r="CO423" s="105"/>
      <c r="CQ423" s="105"/>
      <c r="EC423" s="86"/>
      <c r="EG423" s="105"/>
      <c r="EQ423" s="134"/>
    </row>
    <row r="424" spans="43:147" ht="14.4">
      <c r="AQ424" s="158"/>
      <c r="BL424" s="134"/>
      <c r="BP424" s="67"/>
      <c r="CN424" s="105"/>
      <c r="CO424" s="105"/>
      <c r="CQ424" s="105"/>
      <c r="EC424" s="86"/>
      <c r="EG424" s="105"/>
      <c r="EQ424" s="134"/>
    </row>
    <row r="425" spans="43:147" ht="14.4">
      <c r="AQ425" s="158"/>
      <c r="BL425" s="134"/>
      <c r="BP425" s="67"/>
      <c r="CN425" s="105"/>
      <c r="CO425" s="105"/>
      <c r="CQ425" s="105"/>
      <c r="EC425" s="86"/>
      <c r="EG425" s="105"/>
      <c r="EQ425" s="134"/>
    </row>
    <row r="426" spans="43:147" ht="14.4">
      <c r="AQ426" s="158"/>
      <c r="BL426" s="134"/>
      <c r="BP426" s="67"/>
      <c r="CN426" s="105"/>
      <c r="CO426" s="105"/>
      <c r="CQ426" s="105"/>
      <c r="EC426" s="86"/>
      <c r="EG426" s="105"/>
      <c r="EQ426" s="134"/>
    </row>
    <row r="427" spans="43:147" ht="14.4">
      <c r="AQ427" s="158"/>
      <c r="BL427" s="134"/>
      <c r="BP427" s="67"/>
      <c r="CN427" s="105"/>
      <c r="CO427" s="105"/>
      <c r="CQ427" s="105"/>
      <c r="EC427" s="86"/>
      <c r="EG427" s="105"/>
      <c r="EQ427" s="134"/>
    </row>
    <row r="428" spans="43:147" ht="14.4">
      <c r="AQ428" s="158"/>
      <c r="BL428" s="134"/>
      <c r="BP428" s="67"/>
      <c r="CN428" s="105"/>
      <c r="CO428" s="105"/>
      <c r="CQ428" s="105"/>
      <c r="EC428" s="86"/>
      <c r="EG428" s="105"/>
      <c r="EQ428" s="134"/>
    </row>
    <row r="429" spans="43:147" ht="14.4">
      <c r="AQ429" s="158"/>
      <c r="BL429" s="134"/>
      <c r="BP429" s="67"/>
      <c r="CN429" s="105"/>
      <c r="CO429" s="105"/>
      <c r="CQ429" s="105"/>
      <c r="EC429" s="86"/>
      <c r="EG429" s="105"/>
      <c r="EQ429" s="134"/>
    </row>
    <row r="430" spans="43:147" ht="14.4">
      <c r="AQ430" s="158"/>
      <c r="BL430" s="134"/>
      <c r="BP430" s="67"/>
      <c r="CN430" s="105"/>
      <c r="CO430" s="105"/>
      <c r="CQ430" s="105"/>
      <c r="EC430" s="86"/>
      <c r="EG430" s="105"/>
      <c r="EQ430" s="134"/>
    </row>
    <row r="431" spans="43:147" ht="14.4">
      <c r="AQ431" s="158"/>
      <c r="BL431" s="134"/>
      <c r="BP431" s="67"/>
      <c r="CN431" s="105"/>
      <c r="CO431" s="105"/>
      <c r="CQ431" s="105"/>
      <c r="EC431" s="86"/>
      <c r="EG431" s="105"/>
      <c r="EQ431" s="134"/>
    </row>
    <row r="432" spans="43:147" ht="14.4">
      <c r="AQ432" s="158"/>
      <c r="BL432" s="134"/>
      <c r="BP432" s="67"/>
      <c r="CN432" s="105"/>
      <c r="CO432" s="105"/>
      <c r="CQ432" s="105"/>
      <c r="EC432" s="86"/>
      <c r="EG432" s="105"/>
      <c r="EQ432" s="134"/>
    </row>
    <row r="433" spans="43:147" ht="14.4">
      <c r="AQ433" s="158"/>
      <c r="BL433" s="134"/>
      <c r="BP433" s="67"/>
      <c r="CN433" s="105"/>
      <c r="CO433" s="105"/>
      <c r="CQ433" s="105"/>
      <c r="EC433" s="86"/>
      <c r="EG433" s="105"/>
      <c r="EQ433" s="134"/>
    </row>
    <row r="434" spans="43:147" ht="14.4">
      <c r="AQ434" s="158"/>
      <c r="BL434" s="134"/>
      <c r="BP434" s="67"/>
      <c r="CN434" s="105"/>
      <c r="CO434" s="105"/>
      <c r="CQ434" s="105"/>
      <c r="EC434" s="86"/>
      <c r="EG434" s="105"/>
      <c r="EQ434" s="134"/>
    </row>
    <row r="435" spans="43:147" ht="14.4">
      <c r="AQ435" s="158"/>
      <c r="BL435" s="134"/>
      <c r="BP435" s="67"/>
      <c r="CN435" s="105"/>
      <c r="CO435" s="105"/>
      <c r="CQ435" s="105"/>
      <c r="EC435" s="86"/>
      <c r="EG435" s="105"/>
      <c r="EQ435" s="134"/>
    </row>
    <row r="436" spans="43:147" ht="14.4">
      <c r="AQ436" s="158"/>
      <c r="BL436" s="134"/>
      <c r="BP436" s="67"/>
      <c r="CN436" s="105"/>
      <c r="CO436" s="105"/>
      <c r="CQ436" s="105"/>
      <c r="EC436" s="86"/>
      <c r="EG436" s="105"/>
      <c r="EQ436" s="134"/>
    </row>
    <row r="437" spans="43:147" ht="14.4">
      <c r="AQ437" s="158"/>
      <c r="BL437" s="134"/>
      <c r="BP437" s="67"/>
      <c r="CN437" s="105"/>
      <c r="CO437" s="105"/>
      <c r="CQ437" s="105"/>
      <c r="EC437" s="86"/>
      <c r="EG437" s="105"/>
      <c r="EQ437" s="134"/>
    </row>
    <row r="438" spans="43:147" ht="14.4">
      <c r="AQ438" s="158"/>
      <c r="BL438" s="134"/>
      <c r="BP438" s="67"/>
      <c r="CN438" s="105"/>
      <c r="CO438" s="105"/>
      <c r="CQ438" s="105"/>
      <c r="EC438" s="86"/>
      <c r="EG438" s="105"/>
      <c r="EQ438" s="134"/>
    </row>
    <row r="439" spans="43:147" ht="14.4">
      <c r="AQ439" s="158"/>
      <c r="BL439" s="134"/>
      <c r="BP439" s="67"/>
      <c r="CN439" s="105"/>
      <c r="CO439" s="105"/>
      <c r="CQ439" s="105"/>
      <c r="EC439" s="86"/>
      <c r="EG439" s="105"/>
      <c r="EQ439" s="134"/>
    </row>
    <row r="440" spans="43:147" ht="14.4">
      <c r="AQ440" s="158"/>
      <c r="BL440" s="134"/>
      <c r="BP440" s="67"/>
      <c r="CN440" s="105"/>
      <c r="CO440" s="105"/>
      <c r="CQ440" s="105"/>
      <c r="EC440" s="86"/>
      <c r="EG440" s="105"/>
      <c r="EQ440" s="134"/>
    </row>
    <row r="441" spans="43:147" ht="14.4">
      <c r="AQ441" s="158"/>
      <c r="BL441" s="134"/>
      <c r="BP441" s="67"/>
      <c r="CN441" s="105"/>
      <c r="CO441" s="105"/>
      <c r="CQ441" s="105"/>
      <c r="EC441" s="86"/>
      <c r="EG441" s="105"/>
      <c r="EQ441" s="134"/>
    </row>
    <row r="442" spans="43:147" ht="14.4">
      <c r="AQ442" s="158"/>
      <c r="BL442" s="134"/>
      <c r="BP442" s="67"/>
      <c r="CN442" s="105"/>
      <c r="CO442" s="105"/>
      <c r="CQ442" s="105"/>
      <c r="EC442" s="86"/>
      <c r="EG442" s="105"/>
      <c r="EQ442" s="134"/>
    </row>
    <row r="443" spans="43:147" ht="14.4">
      <c r="AQ443" s="158"/>
      <c r="BL443" s="134"/>
      <c r="BP443" s="67"/>
      <c r="CN443" s="105"/>
      <c r="CO443" s="105"/>
      <c r="CQ443" s="105"/>
      <c r="EC443" s="86"/>
      <c r="EG443" s="105"/>
      <c r="EQ443" s="134"/>
    </row>
    <row r="444" spans="43:147" ht="14.4">
      <c r="AQ444" s="158"/>
      <c r="BL444" s="134"/>
      <c r="BP444" s="67"/>
      <c r="CN444" s="105"/>
      <c r="CO444" s="105"/>
      <c r="CQ444" s="105"/>
      <c r="EC444" s="86"/>
      <c r="EG444" s="105"/>
      <c r="EQ444" s="134"/>
    </row>
    <row r="445" spans="43:147" ht="14.4">
      <c r="AQ445" s="158"/>
      <c r="BL445" s="134"/>
      <c r="BP445" s="67"/>
      <c r="CN445" s="105"/>
      <c r="CO445" s="105"/>
      <c r="CQ445" s="105"/>
      <c r="EC445" s="86"/>
      <c r="EG445" s="105"/>
      <c r="EQ445" s="134"/>
    </row>
    <row r="446" spans="43:147" ht="14.4">
      <c r="AQ446" s="158"/>
      <c r="BL446" s="134"/>
      <c r="BP446" s="67"/>
      <c r="CN446" s="105"/>
      <c r="CO446" s="105"/>
      <c r="CQ446" s="105"/>
      <c r="EC446" s="86"/>
      <c r="EG446" s="105"/>
      <c r="EQ446" s="134"/>
    </row>
    <row r="447" spans="43:147" ht="14.4">
      <c r="AQ447" s="158"/>
      <c r="BL447" s="134"/>
      <c r="BP447" s="67"/>
      <c r="CN447" s="105"/>
      <c r="CO447" s="105"/>
      <c r="CQ447" s="105"/>
      <c r="EC447" s="86"/>
      <c r="EG447" s="105"/>
      <c r="EQ447" s="134"/>
    </row>
    <row r="448" spans="43:147" ht="14.4">
      <c r="AQ448" s="158"/>
      <c r="BL448" s="134"/>
      <c r="BP448" s="67"/>
      <c r="CN448" s="105"/>
      <c r="CO448" s="105"/>
      <c r="CQ448" s="105"/>
      <c r="EC448" s="86"/>
      <c r="EG448" s="105"/>
      <c r="EQ448" s="134"/>
    </row>
    <row r="449" spans="43:147" ht="14.4">
      <c r="AQ449" s="158"/>
      <c r="BL449" s="134"/>
      <c r="BP449" s="67"/>
      <c r="CN449" s="105"/>
      <c r="CO449" s="105"/>
      <c r="CQ449" s="105"/>
      <c r="EC449" s="86"/>
      <c r="EG449" s="105"/>
      <c r="EQ449" s="134"/>
    </row>
    <row r="450" spans="43:147" ht="14.4">
      <c r="AQ450" s="158"/>
      <c r="BL450" s="134"/>
      <c r="BP450" s="67"/>
      <c r="CN450" s="105"/>
      <c r="CO450" s="105"/>
      <c r="CQ450" s="105"/>
      <c r="EC450" s="86"/>
      <c r="EG450" s="105"/>
      <c r="EQ450" s="134"/>
    </row>
    <row r="451" spans="43:147" ht="14.4">
      <c r="AQ451" s="158"/>
      <c r="BL451" s="134"/>
      <c r="BP451" s="67"/>
      <c r="CN451" s="105"/>
      <c r="CO451" s="105"/>
      <c r="CQ451" s="105"/>
      <c r="EC451" s="86"/>
      <c r="EG451" s="105"/>
      <c r="EQ451" s="134"/>
    </row>
    <row r="452" spans="43:147" ht="14.4">
      <c r="AQ452" s="158"/>
      <c r="BL452" s="134"/>
      <c r="BP452" s="67"/>
      <c r="CN452" s="105"/>
      <c r="CO452" s="105"/>
      <c r="CQ452" s="105"/>
      <c r="EC452" s="86"/>
      <c r="EG452" s="105"/>
      <c r="EQ452" s="134"/>
    </row>
    <row r="453" spans="43:147" ht="14.4">
      <c r="AQ453" s="158"/>
      <c r="BL453" s="134"/>
      <c r="BP453" s="67"/>
      <c r="CN453" s="105"/>
      <c r="CO453" s="105"/>
      <c r="CQ453" s="105"/>
      <c r="EC453" s="86"/>
      <c r="EG453" s="105"/>
      <c r="EQ453" s="134"/>
    </row>
    <row r="454" spans="43:147" ht="14.4">
      <c r="AQ454" s="158"/>
      <c r="BL454" s="134"/>
      <c r="BP454" s="67"/>
      <c r="CN454" s="105"/>
      <c r="CO454" s="105"/>
      <c r="CQ454" s="105"/>
      <c r="EC454" s="86"/>
      <c r="EG454" s="105"/>
      <c r="EQ454" s="134"/>
    </row>
    <row r="455" spans="43:147" ht="14.4">
      <c r="AQ455" s="158"/>
      <c r="BL455" s="134"/>
      <c r="BP455" s="67"/>
      <c r="CN455" s="105"/>
      <c r="CO455" s="105"/>
      <c r="CQ455" s="105"/>
      <c r="EC455" s="86"/>
      <c r="EG455" s="105"/>
      <c r="EQ455" s="134"/>
    </row>
    <row r="456" spans="43:147" ht="14.4">
      <c r="AQ456" s="158"/>
      <c r="BL456" s="134"/>
      <c r="BP456" s="67"/>
      <c r="CN456" s="105"/>
      <c r="CO456" s="105"/>
      <c r="CQ456" s="105"/>
      <c r="EC456" s="86"/>
      <c r="EG456" s="105"/>
      <c r="EQ456" s="134"/>
    </row>
    <row r="457" spans="43:147" ht="14.4">
      <c r="AQ457" s="158"/>
      <c r="BL457" s="134"/>
      <c r="BP457" s="67"/>
      <c r="CN457" s="105"/>
      <c r="CO457" s="105"/>
      <c r="CQ457" s="105"/>
      <c r="EC457" s="86"/>
      <c r="EG457" s="105"/>
      <c r="EQ457" s="134"/>
    </row>
    <row r="458" spans="43:147" ht="14.4">
      <c r="AQ458" s="158"/>
      <c r="BL458" s="134"/>
      <c r="BP458" s="67"/>
      <c r="CN458" s="105"/>
      <c r="CO458" s="105"/>
      <c r="CQ458" s="105"/>
      <c r="EC458" s="86"/>
      <c r="EG458" s="105"/>
      <c r="EQ458" s="134"/>
    </row>
    <row r="459" spans="43:147" ht="14.4">
      <c r="AQ459" s="158"/>
      <c r="BL459" s="134"/>
      <c r="BP459" s="67"/>
      <c r="CN459" s="105"/>
      <c r="CO459" s="105"/>
      <c r="CQ459" s="105"/>
      <c r="EC459" s="86"/>
      <c r="EG459" s="105"/>
      <c r="EQ459" s="134"/>
    </row>
    <row r="460" spans="43:147" ht="14.4">
      <c r="AQ460" s="158"/>
      <c r="BL460" s="134"/>
      <c r="BP460" s="67"/>
      <c r="CN460" s="105"/>
      <c r="CO460" s="105"/>
      <c r="CQ460" s="105"/>
      <c r="EC460" s="86"/>
      <c r="EG460" s="105"/>
      <c r="EQ460" s="134"/>
    </row>
    <row r="461" spans="43:147" ht="14.4">
      <c r="AQ461" s="158"/>
      <c r="BL461" s="134"/>
      <c r="BP461" s="67"/>
      <c r="CN461" s="105"/>
      <c r="CO461" s="105"/>
      <c r="CQ461" s="105"/>
      <c r="EC461" s="86"/>
      <c r="EG461" s="105"/>
      <c r="EQ461" s="134"/>
    </row>
    <row r="462" spans="43:147" ht="14.4">
      <c r="AQ462" s="158"/>
      <c r="BL462" s="134"/>
      <c r="BP462" s="67"/>
      <c r="CN462" s="105"/>
      <c r="CO462" s="105"/>
      <c r="CQ462" s="105"/>
      <c r="EC462" s="86"/>
      <c r="EG462" s="105"/>
      <c r="EQ462" s="134"/>
    </row>
    <row r="463" spans="43:147" ht="14.4">
      <c r="AQ463" s="158"/>
      <c r="BL463" s="134"/>
      <c r="BP463" s="67"/>
      <c r="CN463" s="105"/>
      <c r="CO463" s="105"/>
      <c r="CQ463" s="105"/>
      <c r="EC463" s="86"/>
      <c r="EG463" s="105"/>
      <c r="EQ463" s="134"/>
    </row>
    <row r="464" spans="43:147" ht="14.4">
      <c r="AQ464" s="158"/>
      <c r="BL464" s="134"/>
      <c r="BP464" s="67"/>
      <c r="CN464" s="105"/>
      <c r="CO464" s="105"/>
      <c r="CQ464" s="105"/>
      <c r="EC464" s="86"/>
      <c r="EG464" s="105"/>
      <c r="EQ464" s="134"/>
    </row>
    <row r="465" spans="43:147" ht="14.4">
      <c r="AQ465" s="158"/>
      <c r="BL465" s="134"/>
      <c r="BP465" s="67"/>
      <c r="CN465" s="105"/>
      <c r="CO465" s="105"/>
      <c r="CQ465" s="105"/>
      <c r="EC465" s="86"/>
      <c r="EG465" s="105"/>
      <c r="EQ465" s="134"/>
    </row>
    <row r="466" spans="43:147" ht="14.4">
      <c r="AQ466" s="158"/>
      <c r="BL466" s="134"/>
      <c r="BP466" s="67"/>
      <c r="CN466" s="105"/>
      <c r="CO466" s="105"/>
      <c r="CQ466" s="105"/>
      <c r="EC466" s="86"/>
      <c r="EG466" s="105"/>
      <c r="EQ466" s="134"/>
    </row>
    <row r="467" spans="43:147" ht="14.4">
      <c r="AQ467" s="158"/>
      <c r="BL467" s="134"/>
      <c r="BP467" s="67"/>
      <c r="CN467" s="105"/>
      <c r="CO467" s="105"/>
      <c r="CQ467" s="105"/>
      <c r="EC467" s="86"/>
      <c r="EG467" s="105"/>
      <c r="EQ467" s="134"/>
    </row>
    <row r="468" spans="43:147" ht="14.4">
      <c r="AQ468" s="158"/>
      <c r="BL468" s="134"/>
      <c r="BP468" s="67"/>
      <c r="CN468" s="105"/>
      <c r="CO468" s="105"/>
      <c r="CQ468" s="105"/>
      <c r="EC468" s="86"/>
      <c r="EG468" s="105"/>
      <c r="EQ468" s="134"/>
    </row>
    <row r="469" spans="43:147" ht="14.4">
      <c r="AQ469" s="158"/>
      <c r="BL469" s="134"/>
      <c r="BP469" s="67"/>
      <c r="CN469" s="105"/>
      <c r="CO469" s="105"/>
      <c r="CQ469" s="105"/>
      <c r="EC469" s="86"/>
      <c r="EG469" s="105"/>
      <c r="EQ469" s="134"/>
    </row>
    <row r="470" spans="43:147" ht="14.4">
      <c r="AQ470" s="158"/>
      <c r="BL470" s="134"/>
      <c r="BP470" s="67"/>
      <c r="CN470" s="105"/>
      <c r="CO470" s="105"/>
      <c r="CQ470" s="105"/>
      <c r="EC470" s="86"/>
      <c r="EG470" s="105"/>
      <c r="EQ470" s="134"/>
    </row>
    <row r="471" spans="43:147" ht="14.4">
      <c r="AQ471" s="158"/>
      <c r="BL471" s="134"/>
      <c r="BP471" s="67"/>
      <c r="CN471" s="105"/>
      <c r="CO471" s="105"/>
      <c r="CQ471" s="105"/>
      <c r="EC471" s="86"/>
      <c r="EG471" s="105"/>
      <c r="EQ471" s="134"/>
    </row>
    <row r="472" spans="43:147" ht="14.4">
      <c r="AQ472" s="158"/>
      <c r="BL472" s="134"/>
      <c r="BP472" s="67"/>
      <c r="CN472" s="105"/>
      <c r="CO472" s="105"/>
      <c r="CQ472" s="105"/>
      <c r="EC472" s="86"/>
      <c r="EG472" s="105"/>
      <c r="EQ472" s="134"/>
    </row>
    <row r="473" spans="43:147" ht="14.4">
      <c r="AQ473" s="158"/>
      <c r="BL473" s="134"/>
      <c r="BP473" s="67"/>
      <c r="CN473" s="105"/>
      <c r="CO473" s="105"/>
      <c r="CQ473" s="105"/>
      <c r="EC473" s="86"/>
      <c r="EG473" s="105"/>
      <c r="EQ473" s="134"/>
    </row>
    <row r="474" spans="43:147" ht="14.4">
      <c r="AQ474" s="158"/>
      <c r="BL474" s="134"/>
      <c r="BP474" s="67"/>
      <c r="CN474" s="105"/>
      <c r="CO474" s="105"/>
      <c r="CQ474" s="105"/>
      <c r="EC474" s="86"/>
      <c r="EG474" s="105"/>
      <c r="EQ474" s="134"/>
    </row>
    <row r="475" spans="43:147" ht="14.4">
      <c r="AQ475" s="158"/>
      <c r="BL475" s="134"/>
      <c r="BP475" s="67"/>
      <c r="CN475" s="105"/>
      <c r="CO475" s="105"/>
      <c r="CQ475" s="105"/>
      <c r="EC475" s="86"/>
      <c r="EG475" s="105"/>
      <c r="EQ475" s="134"/>
    </row>
    <row r="476" spans="43:147" ht="14.4">
      <c r="AQ476" s="158"/>
      <c r="BL476" s="134"/>
      <c r="BP476" s="67"/>
      <c r="CN476" s="105"/>
      <c r="CO476" s="105"/>
      <c r="CQ476" s="105"/>
      <c r="EC476" s="86"/>
      <c r="EG476" s="105"/>
      <c r="EQ476" s="134"/>
    </row>
    <row r="477" spans="43:147" ht="14.4">
      <c r="AQ477" s="158"/>
      <c r="BL477" s="134"/>
      <c r="BP477" s="67"/>
      <c r="CN477" s="105"/>
      <c r="CO477" s="105"/>
      <c r="CQ477" s="105"/>
      <c r="EC477" s="86"/>
      <c r="EG477" s="105"/>
      <c r="EQ477" s="134"/>
    </row>
    <row r="478" spans="43:147" ht="14.4">
      <c r="AQ478" s="158"/>
      <c r="BL478" s="134"/>
      <c r="BP478" s="67"/>
      <c r="CN478" s="105"/>
      <c r="CO478" s="105"/>
      <c r="CQ478" s="105"/>
      <c r="EC478" s="86"/>
      <c r="EG478" s="105"/>
      <c r="EQ478" s="134"/>
    </row>
    <row r="479" spans="43:147" ht="14.4">
      <c r="AQ479" s="158"/>
      <c r="BL479" s="134"/>
      <c r="BP479" s="67"/>
      <c r="CN479" s="105"/>
      <c r="CO479" s="105"/>
      <c r="CQ479" s="105"/>
      <c r="EC479" s="86"/>
      <c r="EG479" s="105"/>
      <c r="EQ479" s="134"/>
    </row>
    <row r="480" spans="43:147" ht="14.4">
      <c r="AQ480" s="158"/>
      <c r="BL480" s="134"/>
      <c r="BP480" s="67"/>
      <c r="CN480" s="105"/>
      <c r="CO480" s="105"/>
      <c r="CQ480" s="105"/>
      <c r="EC480" s="86"/>
      <c r="EG480" s="105"/>
      <c r="EQ480" s="134"/>
    </row>
    <row r="481" spans="43:147" ht="14.4">
      <c r="AQ481" s="158"/>
      <c r="BL481" s="134"/>
      <c r="BP481" s="67"/>
      <c r="CN481" s="105"/>
      <c r="CO481" s="105"/>
      <c r="CQ481" s="105"/>
      <c r="EC481" s="86"/>
      <c r="EG481" s="105"/>
      <c r="EQ481" s="134"/>
    </row>
    <row r="482" spans="43:147" ht="14.4">
      <c r="AQ482" s="158"/>
      <c r="BL482" s="134"/>
      <c r="BP482" s="67"/>
      <c r="CN482" s="105"/>
      <c r="CO482" s="105"/>
      <c r="CQ482" s="105"/>
      <c r="EC482" s="86"/>
      <c r="EG482" s="105"/>
      <c r="EQ482" s="134"/>
    </row>
    <row r="483" spans="43:147" ht="14.4">
      <c r="AQ483" s="158"/>
      <c r="BL483" s="134"/>
      <c r="BP483" s="67"/>
      <c r="CN483" s="105"/>
      <c r="CO483" s="105"/>
      <c r="CQ483" s="105"/>
      <c r="EC483" s="86"/>
      <c r="EG483" s="105"/>
      <c r="EQ483" s="134"/>
    </row>
    <row r="484" spans="43:147" ht="14.4">
      <c r="AQ484" s="158"/>
      <c r="BL484" s="134"/>
      <c r="BP484" s="67"/>
      <c r="CN484" s="105"/>
      <c r="CO484" s="105"/>
      <c r="CQ484" s="105"/>
      <c r="EC484" s="86"/>
      <c r="EG484" s="105"/>
      <c r="EQ484" s="134"/>
    </row>
    <row r="485" spans="43:147" ht="14.4">
      <c r="AQ485" s="158"/>
      <c r="BL485" s="134"/>
      <c r="BP485" s="67"/>
      <c r="CN485" s="105"/>
      <c r="CO485" s="105"/>
      <c r="CQ485" s="105"/>
      <c r="EC485" s="86"/>
      <c r="EG485" s="105"/>
      <c r="EQ485" s="134"/>
    </row>
    <row r="486" spans="43:147" ht="14.4">
      <c r="AQ486" s="158"/>
      <c r="BL486" s="134"/>
      <c r="BP486" s="67"/>
      <c r="CN486" s="105"/>
      <c r="CO486" s="105"/>
      <c r="CQ486" s="105"/>
      <c r="EC486" s="86"/>
      <c r="EG486" s="105"/>
      <c r="EQ486" s="134"/>
    </row>
    <row r="487" spans="43:147" ht="14.4">
      <c r="AQ487" s="158"/>
      <c r="BL487" s="134"/>
      <c r="BP487" s="67"/>
      <c r="CN487" s="105"/>
      <c r="CO487" s="105"/>
      <c r="CQ487" s="105"/>
      <c r="EC487" s="86"/>
      <c r="EG487" s="105"/>
      <c r="EQ487" s="134"/>
    </row>
    <row r="488" spans="43:147" ht="14.4">
      <c r="AQ488" s="158"/>
      <c r="BL488" s="134"/>
      <c r="BP488" s="67"/>
      <c r="CN488" s="105"/>
      <c r="CO488" s="105"/>
      <c r="CQ488" s="105"/>
      <c r="EC488" s="86"/>
      <c r="EG488" s="105"/>
      <c r="EQ488" s="134"/>
    </row>
    <row r="489" spans="43:147" ht="14.4">
      <c r="AQ489" s="158"/>
      <c r="BL489" s="134"/>
      <c r="BP489" s="67"/>
      <c r="CN489" s="105"/>
      <c r="CO489" s="105"/>
      <c r="CQ489" s="105"/>
      <c r="EC489" s="86"/>
      <c r="EG489" s="105"/>
      <c r="EQ489" s="134"/>
    </row>
    <row r="490" spans="43:147" ht="14.4">
      <c r="AQ490" s="158"/>
      <c r="BL490" s="134"/>
      <c r="BP490" s="67"/>
      <c r="CN490" s="105"/>
      <c r="CO490" s="105"/>
      <c r="CQ490" s="105"/>
      <c r="EC490" s="86"/>
      <c r="EG490" s="105"/>
      <c r="EQ490" s="134"/>
    </row>
    <row r="491" spans="43:147" ht="14.4">
      <c r="AQ491" s="158"/>
      <c r="BL491" s="134"/>
      <c r="BP491" s="67"/>
      <c r="CN491" s="105"/>
      <c r="CO491" s="105"/>
      <c r="CQ491" s="105"/>
      <c r="EC491" s="86"/>
      <c r="EG491" s="105"/>
      <c r="EQ491" s="134"/>
    </row>
    <row r="492" spans="43:147" ht="14.4">
      <c r="AQ492" s="158"/>
      <c r="BL492" s="134"/>
      <c r="BP492" s="67"/>
      <c r="CN492" s="105"/>
      <c r="CO492" s="105"/>
      <c r="CQ492" s="105"/>
      <c r="EC492" s="86"/>
      <c r="EG492" s="105"/>
      <c r="EQ492" s="134"/>
    </row>
    <row r="493" spans="43:147" ht="14.4">
      <c r="AQ493" s="158"/>
      <c r="BL493" s="134"/>
      <c r="BP493" s="67"/>
      <c r="CN493" s="105"/>
      <c r="CO493" s="105"/>
      <c r="CQ493" s="105"/>
      <c r="EC493" s="86"/>
      <c r="EG493" s="105"/>
      <c r="EQ493" s="134"/>
    </row>
    <row r="494" spans="43:147" ht="14.4">
      <c r="AQ494" s="158"/>
      <c r="BL494" s="134"/>
      <c r="BP494" s="67"/>
      <c r="CN494" s="105"/>
      <c r="CO494" s="105"/>
      <c r="CQ494" s="105"/>
      <c r="EC494" s="86"/>
      <c r="EG494" s="105"/>
      <c r="EQ494" s="134"/>
    </row>
    <row r="495" spans="43:147" ht="14.4">
      <c r="AQ495" s="158"/>
      <c r="BL495" s="134"/>
      <c r="BP495" s="67"/>
      <c r="CN495" s="105"/>
      <c r="CO495" s="105"/>
      <c r="CQ495" s="105"/>
      <c r="EC495" s="86"/>
      <c r="EG495" s="105"/>
      <c r="EQ495" s="134"/>
    </row>
    <row r="496" spans="43:147" ht="14.4">
      <c r="AQ496" s="158"/>
      <c r="BL496" s="134"/>
      <c r="BP496" s="67"/>
      <c r="CN496" s="105"/>
      <c r="CO496" s="105"/>
      <c r="CQ496" s="105"/>
      <c r="EC496" s="86"/>
      <c r="EG496" s="105"/>
      <c r="EQ496" s="134"/>
    </row>
    <row r="497" spans="43:147" ht="14.4">
      <c r="AQ497" s="158"/>
      <c r="BL497" s="134"/>
      <c r="BP497" s="67"/>
      <c r="CN497" s="105"/>
      <c r="CO497" s="105"/>
      <c r="CQ497" s="105"/>
      <c r="EC497" s="86"/>
      <c r="EG497" s="105"/>
      <c r="EQ497" s="134"/>
    </row>
    <row r="498" spans="43:147" ht="14.4">
      <c r="AQ498" s="158"/>
      <c r="BL498" s="134"/>
      <c r="BP498" s="67"/>
      <c r="CN498" s="105"/>
      <c r="CO498" s="105"/>
      <c r="CQ498" s="105"/>
      <c r="EC498" s="86"/>
      <c r="EG498" s="105"/>
      <c r="EQ498" s="134"/>
    </row>
    <row r="499" spans="43:147" ht="14.4">
      <c r="AQ499" s="158"/>
      <c r="BL499" s="134"/>
      <c r="BP499" s="67"/>
      <c r="CN499" s="105"/>
      <c r="CO499" s="105"/>
      <c r="CQ499" s="105"/>
      <c r="EC499" s="86"/>
      <c r="EG499" s="105"/>
      <c r="EQ499" s="134"/>
    </row>
    <row r="500" spans="43:147" ht="14.4">
      <c r="AQ500" s="158"/>
      <c r="BL500" s="134"/>
      <c r="BP500" s="67"/>
      <c r="CN500" s="105"/>
      <c r="CO500" s="105"/>
      <c r="CQ500" s="105"/>
      <c r="EC500" s="86"/>
      <c r="EG500" s="105"/>
      <c r="EQ500" s="134"/>
    </row>
    <row r="501" spans="43:147" ht="14.4">
      <c r="AQ501" s="158"/>
      <c r="BL501" s="134"/>
      <c r="BP501" s="67"/>
      <c r="CN501" s="105"/>
      <c r="CO501" s="105"/>
      <c r="CQ501" s="105"/>
      <c r="EC501" s="86"/>
      <c r="EG501" s="105"/>
      <c r="EQ501" s="134"/>
    </row>
    <row r="502" spans="43:147" ht="14.4">
      <c r="AQ502" s="158"/>
      <c r="BL502" s="134"/>
      <c r="BP502" s="67"/>
      <c r="CN502" s="105"/>
      <c r="CO502" s="105"/>
      <c r="CQ502" s="105"/>
      <c r="EC502" s="86"/>
      <c r="EG502" s="105"/>
      <c r="EQ502" s="134"/>
    </row>
    <row r="503" spans="43:147" ht="14.4">
      <c r="AQ503" s="158"/>
      <c r="BL503" s="134"/>
      <c r="BP503" s="67"/>
      <c r="CN503" s="105"/>
      <c r="CO503" s="105"/>
      <c r="CQ503" s="105"/>
      <c r="EC503" s="86"/>
      <c r="EG503" s="105"/>
      <c r="EQ503" s="134"/>
    </row>
    <row r="504" spans="43:147" ht="14.4">
      <c r="AQ504" s="158"/>
      <c r="BL504" s="134"/>
      <c r="BP504" s="67"/>
      <c r="CN504" s="105"/>
      <c r="CO504" s="105"/>
      <c r="CQ504" s="105"/>
      <c r="EC504" s="86"/>
      <c r="EG504" s="105"/>
      <c r="EQ504" s="134"/>
    </row>
    <row r="505" spans="43:147" ht="14.4">
      <c r="AQ505" s="158"/>
      <c r="BL505" s="134"/>
      <c r="BP505" s="67"/>
      <c r="CN505" s="105"/>
      <c r="CO505" s="105"/>
      <c r="CQ505" s="105"/>
      <c r="EC505" s="86"/>
      <c r="EG505" s="105"/>
      <c r="EQ505" s="134"/>
    </row>
    <row r="506" spans="43:147" ht="14.4">
      <c r="AQ506" s="158"/>
      <c r="BL506" s="134"/>
      <c r="BP506" s="67"/>
      <c r="CN506" s="105"/>
      <c r="CO506" s="105"/>
      <c r="CQ506" s="105"/>
      <c r="EC506" s="86"/>
      <c r="EG506" s="105"/>
      <c r="EQ506" s="134"/>
    </row>
    <row r="507" spans="43:147" ht="14.4">
      <c r="AQ507" s="158"/>
      <c r="BL507" s="134"/>
      <c r="BP507" s="67"/>
      <c r="CN507" s="105"/>
      <c r="CO507" s="105"/>
      <c r="CQ507" s="105"/>
      <c r="EC507" s="86"/>
      <c r="EG507" s="105"/>
      <c r="EQ507" s="134"/>
    </row>
    <row r="508" spans="43:147" ht="14.4">
      <c r="AQ508" s="158"/>
      <c r="BL508" s="134"/>
      <c r="BP508" s="67"/>
      <c r="CN508" s="105"/>
      <c r="CO508" s="105"/>
      <c r="CQ508" s="105"/>
      <c r="EC508" s="86"/>
      <c r="EG508" s="105"/>
      <c r="EQ508" s="134"/>
    </row>
    <row r="509" spans="43:147" ht="14.4">
      <c r="AQ509" s="158"/>
      <c r="BL509" s="134"/>
      <c r="BP509" s="67"/>
      <c r="CN509" s="105"/>
      <c r="CO509" s="105"/>
      <c r="CQ509" s="105"/>
      <c r="EC509" s="86"/>
      <c r="EG509" s="105"/>
      <c r="EQ509" s="134"/>
    </row>
    <row r="510" spans="43:147" ht="14.4">
      <c r="AQ510" s="158"/>
      <c r="BL510" s="134"/>
      <c r="BP510" s="67"/>
      <c r="CN510" s="105"/>
      <c r="CO510" s="105"/>
      <c r="CQ510" s="105"/>
      <c r="EC510" s="86"/>
      <c r="EG510" s="105"/>
      <c r="EQ510" s="134"/>
    </row>
    <row r="511" spans="43:147" ht="14.4">
      <c r="AQ511" s="158"/>
      <c r="BL511" s="134"/>
      <c r="BP511" s="67"/>
      <c r="CN511" s="105"/>
      <c r="CO511" s="105"/>
      <c r="CQ511" s="105"/>
      <c r="EC511" s="86"/>
      <c r="EG511" s="105"/>
      <c r="EQ511" s="134"/>
    </row>
    <row r="512" spans="43:147" ht="14.4">
      <c r="AQ512" s="158"/>
      <c r="BL512" s="134"/>
      <c r="BP512" s="67"/>
      <c r="CN512" s="105"/>
      <c r="CO512" s="105"/>
      <c r="CQ512" s="105"/>
      <c r="EC512" s="86"/>
      <c r="EG512" s="105"/>
      <c r="EQ512" s="134"/>
    </row>
    <row r="513" spans="43:147" ht="14.4">
      <c r="AQ513" s="158"/>
      <c r="BL513" s="134"/>
      <c r="BP513" s="67"/>
      <c r="CN513" s="105"/>
      <c r="CO513" s="105"/>
      <c r="CQ513" s="105"/>
      <c r="EC513" s="86"/>
      <c r="EG513" s="105"/>
      <c r="EQ513" s="134"/>
    </row>
    <row r="514" spans="43:147" ht="14.4">
      <c r="AQ514" s="158"/>
      <c r="BL514" s="134"/>
      <c r="BP514" s="67"/>
      <c r="CN514" s="105"/>
      <c r="CO514" s="105"/>
      <c r="CQ514" s="105"/>
      <c r="EC514" s="86"/>
      <c r="EG514" s="105"/>
      <c r="EQ514" s="134"/>
    </row>
    <row r="515" spans="43:147" ht="14.4">
      <c r="AQ515" s="158"/>
      <c r="BL515" s="134"/>
      <c r="BP515" s="67"/>
      <c r="CN515" s="105"/>
      <c r="CO515" s="105"/>
      <c r="CQ515" s="105"/>
      <c r="EC515" s="86"/>
      <c r="EG515" s="105"/>
      <c r="EQ515" s="134"/>
    </row>
    <row r="516" spans="43:147" ht="14.4">
      <c r="AQ516" s="158"/>
      <c r="BL516" s="134"/>
      <c r="BP516" s="67"/>
      <c r="CN516" s="105"/>
      <c r="CO516" s="105"/>
      <c r="CQ516" s="105"/>
      <c r="EC516" s="86"/>
      <c r="EG516" s="105"/>
      <c r="EQ516" s="134"/>
    </row>
    <row r="517" spans="43:147" ht="14.4">
      <c r="AQ517" s="158"/>
      <c r="BL517" s="134"/>
      <c r="BP517" s="67"/>
      <c r="CN517" s="105"/>
      <c r="CO517" s="105"/>
      <c r="CQ517" s="105"/>
      <c r="EC517" s="86"/>
      <c r="EG517" s="105"/>
      <c r="EQ517" s="134"/>
    </row>
    <row r="518" spans="43:147" ht="14.4">
      <c r="AQ518" s="158"/>
      <c r="BL518" s="134"/>
      <c r="BP518" s="67"/>
      <c r="CN518" s="105"/>
      <c r="CO518" s="105"/>
      <c r="CQ518" s="105"/>
      <c r="EC518" s="86"/>
      <c r="EG518" s="105"/>
      <c r="EQ518" s="134"/>
    </row>
    <row r="519" spans="43:147" ht="14.4">
      <c r="AQ519" s="158"/>
      <c r="BL519" s="134"/>
      <c r="BP519" s="67"/>
      <c r="CN519" s="105"/>
      <c r="CO519" s="105"/>
      <c r="CQ519" s="105"/>
      <c r="EC519" s="86"/>
      <c r="EG519" s="105"/>
      <c r="EQ519" s="134"/>
    </row>
    <row r="520" spans="43:147" ht="14.4">
      <c r="AQ520" s="158"/>
      <c r="BL520" s="134"/>
      <c r="BP520" s="67"/>
      <c r="CN520" s="105"/>
      <c r="CO520" s="105"/>
      <c r="CQ520" s="105"/>
      <c r="EC520" s="86"/>
      <c r="EG520" s="105"/>
      <c r="EQ520" s="134"/>
    </row>
    <row r="521" spans="43:147" ht="14.4">
      <c r="AQ521" s="158"/>
      <c r="BL521" s="134"/>
      <c r="BP521" s="67"/>
      <c r="CN521" s="105"/>
      <c r="CO521" s="105"/>
      <c r="CQ521" s="105"/>
      <c r="EC521" s="86"/>
      <c r="EG521" s="105"/>
      <c r="EQ521" s="134"/>
    </row>
    <row r="522" spans="43:147" ht="14.4">
      <c r="AQ522" s="158"/>
      <c r="BL522" s="134"/>
      <c r="BP522" s="67"/>
      <c r="CN522" s="105"/>
      <c r="CO522" s="105"/>
      <c r="CQ522" s="105"/>
      <c r="EC522" s="86"/>
      <c r="EG522" s="105"/>
      <c r="EQ522" s="134"/>
    </row>
    <row r="523" spans="43:147" ht="14.4">
      <c r="AQ523" s="158"/>
      <c r="BL523" s="134"/>
      <c r="BP523" s="67"/>
      <c r="CN523" s="105"/>
      <c r="CO523" s="105"/>
      <c r="CQ523" s="105"/>
      <c r="EC523" s="86"/>
      <c r="EG523" s="105"/>
      <c r="EQ523" s="134"/>
    </row>
    <row r="524" spans="43:147" ht="14.4">
      <c r="AQ524" s="158"/>
      <c r="BL524" s="134"/>
      <c r="BP524" s="67"/>
      <c r="CN524" s="105"/>
      <c r="CO524" s="105"/>
      <c r="CQ524" s="105"/>
      <c r="EC524" s="86"/>
      <c r="EG524" s="105"/>
      <c r="EQ524" s="134"/>
    </row>
    <row r="525" spans="43:147" ht="14.4">
      <c r="AQ525" s="158"/>
      <c r="BL525" s="134"/>
      <c r="BP525" s="67"/>
      <c r="CN525" s="105"/>
      <c r="CO525" s="105"/>
      <c r="CQ525" s="105"/>
      <c r="EC525" s="86"/>
      <c r="EG525" s="105"/>
      <c r="EQ525" s="134"/>
    </row>
    <row r="526" spans="43:147" ht="14.4">
      <c r="AQ526" s="158"/>
      <c r="BL526" s="134"/>
      <c r="BP526" s="67"/>
      <c r="CN526" s="105"/>
      <c r="CO526" s="105"/>
      <c r="CQ526" s="105"/>
      <c r="EC526" s="86"/>
      <c r="EG526" s="105"/>
      <c r="EQ526" s="134"/>
    </row>
    <row r="527" spans="43:147" ht="14.4">
      <c r="AQ527" s="158"/>
      <c r="BL527" s="134"/>
      <c r="BP527" s="67"/>
      <c r="CN527" s="105"/>
      <c r="CO527" s="105"/>
      <c r="CQ527" s="105"/>
      <c r="EC527" s="86"/>
      <c r="EG527" s="105"/>
      <c r="EQ527" s="134"/>
    </row>
    <row r="528" spans="43:147" ht="14.4">
      <c r="AQ528" s="158"/>
      <c r="BL528" s="134"/>
      <c r="BP528" s="67"/>
      <c r="CN528" s="105"/>
      <c r="CO528" s="105"/>
      <c r="CQ528" s="105"/>
      <c r="EC528" s="86"/>
      <c r="EG528" s="105"/>
      <c r="EQ528" s="134"/>
    </row>
    <row r="529" spans="43:147" ht="14.4">
      <c r="AQ529" s="158"/>
      <c r="BL529" s="134"/>
      <c r="BP529" s="67"/>
      <c r="CN529" s="105"/>
      <c r="CO529" s="105"/>
      <c r="CQ529" s="105"/>
      <c r="EC529" s="86"/>
      <c r="EG529" s="105"/>
      <c r="EQ529" s="134"/>
    </row>
    <row r="530" spans="43:147" ht="14.4">
      <c r="AQ530" s="158"/>
      <c r="BL530" s="134"/>
      <c r="BP530" s="67"/>
      <c r="CN530" s="105"/>
      <c r="CO530" s="105"/>
      <c r="CQ530" s="105"/>
      <c r="EC530" s="86"/>
      <c r="EG530" s="105"/>
      <c r="EQ530" s="134"/>
    </row>
    <row r="531" spans="43:147" ht="14.4">
      <c r="AQ531" s="158"/>
      <c r="BL531" s="134"/>
      <c r="BP531" s="67"/>
      <c r="CN531" s="105"/>
      <c r="CO531" s="105"/>
      <c r="CQ531" s="105"/>
      <c r="EC531" s="86"/>
      <c r="EG531" s="105"/>
      <c r="EQ531" s="134"/>
    </row>
    <row r="532" spans="43:147" ht="14.4">
      <c r="AQ532" s="158"/>
      <c r="BL532" s="134"/>
      <c r="BP532" s="67"/>
      <c r="CN532" s="105"/>
      <c r="CO532" s="105"/>
      <c r="CQ532" s="105"/>
      <c r="EC532" s="86"/>
      <c r="EG532" s="105"/>
      <c r="EQ532" s="134"/>
    </row>
    <row r="533" spans="43:147" ht="14.4">
      <c r="AQ533" s="158"/>
      <c r="BL533" s="134"/>
      <c r="BP533" s="67"/>
      <c r="CN533" s="105"/>
      <c r="CO533" s="105"/>
      <c r="CQ533" s="105"/>
      <c r="EC533" s="86"/>
      <c r="EG533" s="105"/>
      <c r="EQ533" s="134"/>
    </row>
    <row r="534" spans="43:147" ht="14.4">
      <c r="AQ534" s="158"/>
      <c r="BL534" s="134"/>
      <c r="BP534" s="67"/>
      <c r="CN534" s="105"/>
      <c r="CO534" s="105"/>
      <c r="CQ534" s="105"/>
      <c r="EC534" s="86"/>
      <c r="EG534" s="105"/>
      <c r="EQ534" s="134"/>
    </row>
    <row r="535" spans="43:147" ht="14.4">
      <c r="AQ535" s="158"/>
      <c r="BL535" s="134"/>
      <c r="BP535" s="67"/>
      <c r="CN535" s="105"/>
      <c r="CO535" s="105"/>
      <c r="CQ535" s="105"/>
      <c r="EC535" s="86"/>
      <c r="EG535" s="105"/>
      <c r="EQ535" s="134"/>
    </row>
    <row r="536" spans="43:147" ht="14.4">
      <c r="AQ536" s="158"/>
      <c r="BL536" s="134"/>
      <c r="BP536" s="67"/>
      <c r="CN536" s="105"/>
      <c r="CO536" s="105"/>
      <c r="CQ536" s="105"/>
      <c r="EC536" s="86"/>
      <c r="EG536" s="105"/>
      <c r="EQ536" s="134"/>
    </row>
    <row r="537" spans="43:147" ht="14.4">
      <c r="AQ537" s="158"/>
      <c r="BL537" s="134"/>
      <c r="BP537" s="67"/>
      <c r="CN537" s="105"/>
      <c r="CO537" s="105"/>
      <c r="CQ537" s="105"/>
      <c r="EC537" s="86"/>
      <c r="EG537" s="105"/>
      <c r="EQ537" s="134"/>
    </row>
    <row r="538" spans="43:147" ht="14.4">
      <c r="AQ538" s="158"/>
      <c r="BL538" s="134"/>
      <c r="BP538" s="67"/>
      <c r="CN538" s="105"/>
      <c r="CO538" s="105"/>
      <c r="CQ538" s="105"/>
      <c r="EC538" s="86"/>
      <c r="EG538" s="105"/>
      <c r="EQ538" s="134"/>
    </row>
    <row r="539" spans="43:147" ht="14.4">
      <c r="AQ539" s="158"/>
      <c r="BL539" s="134"/>
      <c r="BP539" s="67"/>
      <c r="CN539" s="105"/>
      <c r="CO539" s="105"/>
      <c r="CQ539" s="105"/>
      <c r="EC539" s="86"/>
      <c r="EG539" s="105"/>
      <c r="EQ539" s="134"/>
    </row>
    <row r="540" spans="43:147" ht="14.4">
      <c r="AQ540" s="158"/>
      <c r="BL540" s="134"/>
      <c r="BP540" s="67"/>
      <c r="CN540" s="105"/>
      <c r="CO540" s="105"/>
      <c r="CQ540" s="105"/>
      <c r="EC540" s="86"/>
      <c r="EG540" s="105"/>
      <c r="EQ540" s="134"/>
    </row>
    <row r="541" spans="43:147" ht="14.4">
      <c r="AQ541" s="158"/>
      <c r="BL541" s="134"/>
      <c r="BP541" s="67"/>
      <c r="CN541" s="105"/>
      <c r="CO541" s="105"/>
      <c r="CQ541" s="105"/>
      <c r="EC541" s="86"/>
      <c r="EG541" s="105"/>
      <c r="EQ541" s="134"/>
    </row>
    <row r="542" spans="43:147" ht="14.4">
      <c r="AQ542" s="158"/>
      <c r="BL542" s="134"/>
      <c r="BP542" s="67"/>
      <c r="CN542" s="105"/>
      <c r="CO542" s="105"/>
      <c r="CQ542" s="105"/>
      <c r="EC542" s="86"/>
      <c r="EG542" s="105"/>
      <c r="EQ542" s="134"/>
    </row>
    <row r="543" spans="43:147" ht="14.4">
      <c r="AQ543" s="158"/>
      <c r="BL543" s="134"/>
      <c r="BP543" s="67"/>
      <c r="CN543" s="105"/>
      <c r="CO543" s="105"/>
      <c r="CQ543" s="105"/>
      <c r="EC543" s="86"/>
      <c r="EG543" s="105"/>
      <c r="EQ543" s="134"/>
    </row>
    <row r="544" spans="43:147" ht="14.4">
      <c r="AQ544" s="158"/>
      <c r="BL544" s="134"/>
      <c r="BP544" s="67"/>
      <c r="CN544" s="105"/>
      <c r="CO544" s="105"/>
      <c r="CQ544" s="105"/>
      <c r="EC544" s="86"/>
      <c r="EG544" s="105"/>
      <c r="EQ544" s="134"/>
    </row>
    <row r="545" spans="43:147" ht="14.4">
      <c r="AQ545" s="158"/>
      <c r="BL545" s="134"/>
      <c r="BP545" s="67"/>
      <c r="CN545" s="105"/>
      <c r="CO545" s="105"/>
      <c r="CQ545" s="105"/>
      <c r="EC545" s="86"/>
      <c r="EG545" s="105"/>
      <c r="EQ545" s="134"/>
    </row>
    <row r="546" spans="43:147" ht="14.4">
      <c r="AQ546" s="158"/>
      <c r="BL546" s="134"/>
      <c r="BP546" s="67"/>
      <c r="CN546" s="105"/>
      <c r="CO546" s="105"/>
      <c r="CQ546" s="105"/>
      <c r="EC546" s="86"/>
      <c r="EG546" s="105"/>
      <c r="EQ546" s="134"/>
    </row>
    <row r="547" spans="43:147" ht="14.4">
      <c r="AQ547" s="158"/>
      <c r="BL547" s="134"/>
      <c r="BP547" s="67"/>
      <c r="CN547" s="105"/>
      <c r="CO547" s="105"/>
      <c r="CQ547" s="105"/>
      <c r="EC547" s="86"/>
      <c r="EG547" s="105"/>
      <c r="EQ547" s="134"/>
    </row>
    <row r="548" spans="43:147" ht="14.4">
      <c r="AQ548" s="158"/>
      <c r="BL548" s="134"/>
      <c r="BP548" s="67"/>
      <c r="CN548" s="105"/>
      <c r="CO548" s="105"/>
      <c r="CQ548" s="105"/>
      <c r="EC548" s="86"/>
      <c r="EG548" s="105"/>
      <c r="EQ548" s="134"/>
    </row>
    <row r="549" spans="43:147" ht="14.4">
      <c r="AQ549" s="158"/>
      <c r="BL549" s="134"/>
      <c r="BP549" s="67"/>
      <c r="CN549" s="105"/>
      <c r="CO549" s="105"/>
      <c r="CQ549" s="105"/>
      <c r="EC549" s="86"/>
      <c r="EG549" s="105"/>
      <c r="EQ549" s="134"/>
    </row>
    <row r="550" spans="43:147" ht="14.4">
      <c r="AQ550" s="158"/>
      <c r="BL550" s="134"/>
      <c r="BP550" s="67"/>
      <c r="CN550" s="105"/>
      <c r="CO550" s="105"/>
      <c r="CQ550" s="105"/>
      <c r="EC550" s="86"/>
      <c r="EG550" s="105"/>
      <c r="EQ550" s="134"/>
    </row>
    <row r="551" spans="43:147" ht="14.4">
      <c r="AQ551" s="158"/>
      <c r="BL551" s="134"/>
      <c r="BP551" s="67"/>
      <c r="CN551" s="105"/>
      <c r="CO551" s="105"/>
      <c r="CQ551" s="105"/>
      <c r="EC551" s="86"/>
      <c r="EG551" s="105"/>
      <c r="EQ551" s="134"/>
    </row>
    <row r="552" spans="43:147" ht="14.4">
      <c r="AQ552" s="158"/>
      <c r="BL552" s="134"/>
      <c r="BP552" s="67"/>
      <c r="CN552" s="105"/>
      <c r="CO552" s="105"/>
      <c r="CQ552" s="105"/>
      <c r="EC552" s="86"/>
      <c r="EG552" s="105"/>
      <c r="EQ552" s="134"/>
    </row>
    <row r="553" spans="43:147" ht="14.4">
      <c r="AQ553" s="158"/>
      <c r="BL553" s="134"/>
      <c r="BP553" s="67"/>
      <c r="CN553" s="105"/>
      <c r="CO553" s="105"/>
      <c r="CQ553" s="105"/>
      <c r="EC553" s="86"/>
      <c r="EG553" s="105"/>
      <c r="EQ553" s="134"/>
    </row>
    <row r="554" spans="43:147" ht="14.4">
      <c r="AQ554" s="158"/>
      <c r="BL554" s="134"/>
      <c r="BP554" s="67"/>
      <c r="CN554" s="105"/>
      <c r="CO554" s="105"/>
      <c r="CQ554" s="105"/>
      <c r="EC554" s="86"/>
      <c r="EG554" s="105"/>
      <c r="EQ554" s="134"/>
    </row>
    <row r="555" spans="43:147" ht="14.4">
      <c r="AQ555" s="158"/>
      <c r="BL555" s="134"/>
      <c r="BP555" s="67"/>
      <c r="CN555" s="105"/>
      <c r="CO555" s="105"/>
      <c r="CQ555" s="105"/>
      <c r="EC555" s="86"/>
      <c r="EG555" s="105"/>
      <c r="EQ555" s="134"/>
    </row>
    <row r="556" spans="43:147" ht="14.4">
      <c r="AQ556" s="158"/>
      <c r="BL556" s="134"/>
      <c r="BP556" s="67"/>
      <c r="CN556" s="105"/>
      <c r="CO556" s="105"/>
      <c r="CQ556" s="105"/>
      <c r="EC556" s="86"/>
      <c r="EG556" s="105"/>
      <c r="EQ556" s="134"/>
    </row>
    <row r="557" spans="43:147" ht="14.4">
      <c r="AQ557" s="158"/>
      <c r="BL557" s="134"/>
      <c r="BP557" s="67"/>
      <c r="CN557" s="105"/>
      <c r="CO557" s="105"/>
      <c r="CQ557" s="105"/>
      <c r="EC557" s="86"/>
      <c r="EG557" s="105"/>
      <c r="EQ557" s="134"/>
    </row>
    <row r="558" spans="43:147" ht="14.4">
      <c r="AQ558" s="158"/>
      <c r="BL558" s="134"/>
      <c r="BP558" s="67"/>
      <c r="CN558" s="105"/>
      <c r="CO558" s="105"/>
      <c r="CQ558" s="105"/>
      <c r="EC558" s="86"/>
      <c r="EG558" s="105"/>
      <c r="EQ558" s="134"/>
    </row>
    <row r="559" spans="43:147" ht="14.4">
      <c r="AQ559" s="158"/>
      <c r="BL559" s="134"/>
      <c r="BP559" s="67"/>
      <c r="CN559" s="105"/>
      <c r="CO559" s="105"/>
      <c r="CQ559" s="105"/>
      <c r="EC559" s="86"/>
      <c r="EG559" s="105"/>
      <c r="EQ559" s="134"/>
    </row>
    <row r="560" spans="43:147" ht="14.4">
      <c r="AQ560" s="158"/>
      <c r="BL560" s="134"/>
      <c r="BP560" s="67"/>
      <c r="CN560" s="105"/>
      <c r="CO560" s="105"/>
      <c r="CQ560" s="105"/>
      <c r="EC560" s="86"/>
      <c r="EG560" s="105"/>
      <c r="EQ560" s="134"/>
    </row>
    <row r="561" spans="43:147" ht="14.4">
      <c r="AQ561" s="158"/>
      <c r="BL561" s="134"/>
      <c r="BP561" s="67"/>
      <c r="CN561" s="105"/>
      <c r="CO561" s="105"/>
      <c r="CQ561" s="105"/>
      <c r="EC561" s="86"/>
      <c r="EG561" s="105"/>
      <c r="EQ561" s="134"/>
    </row>
    <row r="562" spans="43:147" ht="14.4">
      <c r="AQ562" s="158"/>
      <c r="BL562" s="134"/>
      <c r="BP562" s="67"/>
      <c r="CN562" s="105"/>
      <c r="CO562" s="105"/>
      <c r="CQ562" s="105"/>
      <c r="EC562" s="86"/>
      <c r="EG562" s="105"/>
      <c r="EQ562" s="134"/>
    </row>
    <row r="563" spans="43:147" ht="14.4">
      <c r="AQ563" s="158"/>
      <c r="BL563" s="134"/>
      <c r="BP563" s="67"/>
      <c r="CN563" s="105"/>
      <c r="CO563" s="105"/>
      <c r="CQ563" s="105"/>
      <c r="EC563" s="86"/>
      <c r="EG563" s="105"/>
      <c r="EQ563" s="134"/>
    </row>
    <row r="564" spans="43:147" ht="14.4">
      <c r="AQ564" s="158"/>
      <c r="BL564" s="134"/>
      <c r="BP564" s="67"/>
      <c r="CN564" s="105"/>
      <c r="CO564" s="105"/>
      <c r="CQ564" s="105"/>
      <c r="EC564" s="86"/>
      <c r="EG564" s="105"/>
      <c r="EQ564" s="134"/>
    </row>
    <row r="565" spans="43:147" ht="14.4">
      <c r="AQ565" s="158"/>
      <c r="BL565" s="134"/>
      <c r="BP565" s="67"/>
      <c r="CN565" s="105"/>
      <c r="CO565" s="105"/>
      <c r="CQ565" s="105"/>
      <c r="EC565" s="86"/>
      <c r="EG565" s="105"/>
      <c r="EQ565" s="134"/>
    </row>
    <row r="566" spans="43:147" ht="14.4">
      <c r="AQ566" s="158"/>
      <c r="BL566" s="134"/>
      <c r="BP566" s="67"/>
      <c r="CN566" s="105"/>
      <c r="CO566" s="105"/>
      <c r="CQ566" s="105"/>
      <c r="EC566" s="86"/>
      <c r="EG566" s="105"/>
      <c r="EQ566" s="134"/>
    </row>
    <row r="567" spans="43:147" ht="14.4">
      <c r="AQ567" s="158"/>
      <c r="BL567" s="134"/>
      <c r="BP567" s="67"/>
      <c r="CN567" s="105"/>
      <c r="CO567" s="105"/>
      <c r="CQ567" s="105"/>
      <c r="EC567" s="86"/>
      <c r="EG567" s="105"/>
      <c r="EQ567" s="134"/>
    </row>
    <row r="568" spans="43:147" ht="13.2">
      <c r="AQ568" s="158"/>
      <c r="BL568" s="134"/>
      <c r="CN568" s="105"/>
      <c r="CO568" s="105"/>
      <c r="CQ568" s="105"/>
      <c r="EC568" s="86"/>
      <c r="EG568" s="105"/>
      <c r="EQ568" s="134"/>
    </row>
    <row r="569" spans="43:147" ht="13.2">
      <c r="AQ569" s="158"/>
      <c r="BL569" s="134"/>
      <c r="CN569" s="105"/>
      <c r="CO569" s="105"/>
      <c r="CQ569" s="105"/>
      <c r="EC569" s="86"/>
      <c r="EG569" s="105"/>
      <c r="EQ569" s="134"/>
    </row>
    <row r="570" spans="43:147" ht="13.2">
      <c r="AQ570" s="158"/>
      <c r="BL570" s="134"/>
      <c r="CN570" s="105"/>
      <c r="CO570" s="105"/>
      <c r="CQ570" s="105"/>
      <c r="EC570" s="86"/>
      <c r="EG570" s="105"/>
      <c r="EQ570" s="134"/>
    </row>
    <row r="571" spans="43:147" ht="13.2">
      <c r="AQ571" s="158"/>
      <c r="BL571" s="134"/>
      <c r="CN571" s="105"/>
      <c r="CO571" s="105"/>
      <c r="CQ571" s="105"/>
      <c r="EC571" s="86"/>
      <c r="EG571" s="105"/>
      <c r="EQ571" s="134"/>
    </row>
    <row r="572" spans="43:147" ht="13.2">
      <c r="AQ572" s="158"/>
      <c r="BL572" s="134"/>
      <c r="CN572" s="105"/>
      <c r="CO572" s="105"/>
      <c r="CQ572" s="105"/>
      <c r="EC572" s="86"/>
      <c r="EG572" s="105"/>
      <c r="EQ572" s="134"/>
    </row>
    <row r="573" spans="43:147" ht="13.2">
      <c r="AQ573" s="158"/>
      <c r="BL573" s="134"/>
      <c r="CN573" s="105"/>
      <c r="CO573" s="105"/>
      <c r="CQ573" s="105"/>
      <c r="EC573" s="86"/>
      <c r="EG573" s="105"/>
      <c r="EQ573" s="134"/>
    </row>
    <row r="574" spans="43:147" ht="13.2">
      <c r="AQ574" s="158"/>
      <c r="BL574" s="134"/>
      <c r="CN574" s="105"/>
      <c r="CO574" s="105"/>
      <c r="CQ574" s="105"/>
      <c r="EC574" s="86"/>
      <c r="EG574" s="105"/>
      <c r="EQ574" s="134"/>
    </row>
    <row r="575" spans="43:147" ht="13.2">
      <c r="AQ575" s="158"/>
      <c r="BL575" s="134"/>
      <c r="CN575" s="105"/>
      <c r="CO575" s="105"/>
      <c r="CQ575" s="105"/>
      <c r="EC575" s="86"/>
      <c r="EG575" s="105"/>
      <c r="EQ575" s="134"/>
    </row>
    <row r="576" spans="43:147" ht="13.2">
      <c r="AQ576" s="158"/>
      <c r="BL576" s="134"/>
      <c r="CN576" s="105"/>
      <c r="CO576" s="105"/>
      <c r="CQ576" s="105"/>
      <c r="EC576" s="86"/>
      <c r="EG576" s="105"/>
      <c r="EQ576" s="134"/>
    </row>
    <row r="577" spans="43:147" ht="13.2">
      <c r="AQ577" s="158"/>
      <c r="BL577" s="134"/>
      <c r="CN577" s="105"/>
      <c r="CO577" s="105"/>
      <c r="CQ577" s="105"/>
      <c r="EC577" s="86"/>
      <c r="EG577" s="105"/>
      <c r="EQ577" s="134"/>
    </row>
    <row r="578" spans="43:147" ht="13.2">
      <c r="AQ578" s="158"/>
      <c r="BL578" s="134"/>
      <c r="CN578" s="105"/>
      <c r="CO578" s="105"/>
      <c r="CQ578" s="105"/>
      <c r="EC578" s="86"/>
      <c r="EG578" s="105"/>
      <c r="EQ578" s="134"/>
    </row>
    <row r="579" spans="43:147" ht="13.2">
      <c r="AQ579" s="158"/>
      <c r="BL579" s="134"/>
      <c r="CN579" s="105"/>
      <c r="CO579" s="105"/>
      <c r="CQ579" s="105"/>
      <c r="EC579" s="86"/>
      <c r="EG579" s="105"/>
      <c r="EQ579" s="134"/>
    </row>
    <row r="580" spans="43:147" ht="13.2">
      <c r="AQ580" s="158"/>
      <c r="BL580" s="134"/>
      <c r="CN580" s="105"/>
      <c r="CO580" s="105"/>
      <c r="CQ580" s="105"/>
      <c r="EC580" s="86"/>
      <c r="EG580" s="105"/>
      <c r="EQ580" s="134"/>
    </row>
    <row r="581" spans="43:147" ht="13.2">
      <c r="AQ581" s="158"/>
      <c r="BL581" s="134"/>
      <c r="CN581" s="105"/>
      <c r="CO581" s="105"/>
      <c r="CQ581" s="105"/>
      <c r="EC581" s="86"/>
      <c r="EG581" s="105"/>
      <c r="EQ581" s="134"/>
    </row>
    <row r="582" spans="43:147" ht="13.2">
      <c r="AQ582" s="158"/>
      <c r="BL582" s="134"/>
      <c r="CN582" s="105"/>
      <c r="CO582" s="105"/>
      <c r="CQ582" s="105"/>
      <c r="EC582" s="86"/>
      <c r="EG582" s="105"/>
      <c r="EQ582" s="134"/>
    </row>
    <row r="583" spans="43:147" ht="13.2">
      <c r="AQ583" s="158"/>
      <c r="BL583" s="134"/>
      <c r="CN583" s="105"/>
      <c r="CO583" s="105"/>
      <c r="CQ583" s="105"/>
      <c r="EC583" s="86"/>
      <c r="EG583" s="105"/>
      <c r="EQ583" s="134"/>
    </row>
    <row r="584" spans="43:147" ht="13.2">
      <c r="AQ584" s="158"/>
      <c r="BL584" s="134"/>
      <c r="CN584" s="105"/>
      <c r="CO584" s="105"/>
      <c r="CQ584" s="105"/>
      <c r="EC584" s="86"/>
      <c r="EG584" s="105"/>
      <c r="EQ584" s="134"/>
    </row>
    <row r="585" spans="43:147" ht="13.2">
      <c r="AQ585" s="158"/>
      <c r="BL585" s="134"/>
      <c r="CN585" s="105"/>
      <c r="CO585" s="105"/>
      <c r="CQ585" s="105"/>
      <c r="EC585" s="86"/>
      <c r="EG585" s="105"/>
      <c r="EQ585" s="134"/>
    </row>
    <row r="586" spans="43:147" ht="13.2">
      <c r="AQ586" s="158"/>
      <c r="BL586" s="134"/>
      <c r="CN586" s="105"/>
      <c r="CO586" s="105"/>
      <c r="CQ586" s="105"/>
      <c r="EC586" s="86"/>
      <c r="EG586" s="105"/>
      <c r="EQ586" s="134"/>
    </row>
    <row r="587" spans="43:147" ht="13.2">
      <c r="AQ587" s="158"/>
      <c r="BL587" s="134"/>
      <c r="CN587" s="105"/>
      <c r="CO587" s="105"/>
      <c r="CQ587" s="105"/>
      <c r="EC587" s="86"/>
      <c r="EG587" s="105"/>
      <c r="EQ587" s="134"/>
    </row>
    <row r="588" spans="43:147" ht="13.2">
      <c r="AQ588" s="158"/>
      <c r="BL588" s="134"/>
      <c r="CN588" s="105"/>
      <c r="CO588" s="105"/>
      <c r="CQ588" s="105"/>
      <c r="EC588" s="86"/>
      <c r="EG588" s="105"/>
      <c r="EQ588" s="134"/>
    </row>
    <row r="589" spans="43:147" ht="13.2">
      <c r="AQ589" s="158"/>
      <c r="BL589" s="134"/>
      <c r="CN589" s="105"/>
      <c r="CO589" s="105"/>
      <c r="CQ589" s="105"/>
      <c r="EC589" s="86"/>
      <c r="EG589" s="105"/>
      <c r="EQ589" s="134"/>
    </row>
    <row r="590" spans="43:147" ht="13.2">
      <c r="AQ590" s="158"/>
      <c r="BL590" s="134"/>
      <c r="CN590" s="105"/>
      <c r="CO590" s="105"/>
      <c r="CQ590" s="105"/>
      <c r="EC590" s="86"/>
      <c r="EG590" s="105"/>
      <c r="EQ590" s="134"/>
    </row>
    <row r="591" spans="43:147" ht="13.2">
      <c r="AQ591" s="158"/>
      <c r="BL591" s="134"/>
      <c r="CN591" s="105"/>
      <c r="CO591" s="105"/>
      <c r="CQ591" s="105"/>
      <c r="EC591" s="86"/>
      <c r="EG591" s="105"/>
      <c r="EQ591" s="134"/>
    </row>
    <row r="592" spans="43:147" ht="13.2">
      <c r="AQ592" s="158"/>
      <c r="BL592" s="134"/>
      <c r="CN592" s="105"/>
      <c r="CO592" s="105"/>
      <c r="CQ592" s="105"/>
      <c r="EC592" s="86"/>
      <c r="EG592" s="105"/>
      <c r="EQ592" s="134"/>
    </row>
    <row r="593" spans="43:147" ht="13.2">
      <c r="AQ593" s="158"/>
      <c r="BL593" s="134"/>
      <c r="CN593" s="105"/>
      <c r="CO593" s="105"/>
      <c r="CQ593" s="105"/>
      <c r="EC593" s="86"/>
      <c r="EG593" s="105"/>
      <c r="EQ593" s="134"/>
    </row>
    <row r="594" spans="43:147" ht="13.2">
      <c r="AQ594" s="158"/>
      <c r="BL594" s="134"/>
      <c r="CN594" s="105"/>
      <c r="CO594" s="105"/>
      <c r="CQ594" s="105"/>
      <c r="EC594" s="86"/>
      <c r="EG594" s="105"/>
      <c r="EQ594" s="134"/>
    </row>
    <row r="595" spans="43:147" ht="13.2">
      <c r="AQ595" s="158"/>
      <c r="BL595" s="134"/>
      <c r="CN595" s="105"/>
      <c r="CO595" s="105"/>
      <c r="CQ595" s="105"/>
      <c r="EC595" s="86"/>
      <c r="EG595" s="105"/>
      <c r="EQ595" s="134"/>
    </row>
    <row r="596" spans="43:147" ht="13.2">
      <c r="AQ596" s="158"/>
      <c r="BL596" s="134"/>
      <c r="CN596" s="105"/>
      <c r="CO596" s="105"/>
      <c r="CQ596" s="105"/>
      <c r="EC596" s="86"/>
      <c r="EG596" s="105"/>
      <c r="EQ596" s="134"/>
    </row>
    <row r="597" spans="43:147" ht="13.2">
      <c r="AQ597" s="158"/>
      <c r="BL597" s="134"/>
      <c r="CN597" s="105"/>
      <c r="CO597" s="105"/>
      <c r="CQ597" s="105"/>
      <c r="EC597" s="86"/>
      <c r="EG597" s="105"/>
      <c r="EQ597" s="134"/>
    </row>
    <row r="598" spans="43:147" ht="13.2">
      <c r="AQ598" s="158"/>
      <c r="BL598" s="134"/>
      <c r="CN598" s="105"/>
      <c r="CO598" s="105"/>
      <c r="CQ598" s="105"/>
      <c r="EC598" s="86"/>
      <c r="EG598" s="105"/>
      <c r="EQ598" s="134"/>
    </row>
    <row r="599" spans="43:147" ht="13.2">
      <c r="AQ599" s="158"/>
      <c r="BL599" s="134"/>
      <c r="CN599" s="105"/>
      <c r="CO599" s="105"/>
      <c r="CQ599" s="105"/>
      <c r="EC599" s="86"/>
      <c r="EG599" s="105"/>
      <c r="EQ599" s="134"/>
    </row>
    <row r="600" spans="43:147" ht="13.2">
      <c r="AQ600" s="158"/>
      <c r="BL600" s="134"/>
      <c r="CN600" s="105"/>
      <c r="CO600" s="105"/>
      <c r="CQ600" s="105"/>
      <c r="EC600" s="86"/>
      <c r="EG600" s="105"/>
      <c r="EQ600" s="134"/>
    </row>
    <row r="601" spans="43:147" ht="13.2">
      <c r="AQ601" s="158"/>
      <c r="BL601" s="134"/>
      <c r="CN601" s="105"/>
      <c r="CO601" s="105"/>
      <c r="CQ601" s="105"/>
      <c r="EC601" s="86"/>
      <c r="EG601" s="105"/>
      <c r="EQ601" s="134"/>
    </row>
    <row r="602" spans="43:147" ht="13.2">
      <c r="AQ602" s="158"/>
      <c r="BL602" s="134"/>
      <c r="CN602" s="105"/>
      <c r="CO602" s="105"/>
      <c r="CQ602" s="105"/>
      <c r="EC602" s="86"/>
      <c r="EG602" s="105"/>
      <c r="EQ602" s="134"/>
    </row>
    <row r="603" spans="43:147" ht="13.2">
      <c r="AQ603" s="158"/>
      <c r="BL603" s="134"/>
      <c r="CN603" s="105"/>
      <c r="CO603" s="105"/>
      <c r="CQ603" s="105"/>
      <c r="EC603" s="86"/>
      <c r="EG603" s="105"/>
      <c r="EQ603" s="134"/>
    </row>
    <row r="604" spans="43:147" ht="13.2">
      <c r="AQ604" s="158"/>
      <c r="BL604" s="134"/>
      <c r="CN604" s="105"/>
      <c r="CO604" s="105"/>
      <c r="CQ604" s="105"/>
      <c r="EC604" s="86"/>
      <c r="EG604" s="105"/>
      <c r="EQ604" s="134"/>
    </row>
    <row r="605" spans="43:147" ht="13.2">
      <c r="AQ605" s="158"/>
      <c r="BL605" s="134"/>
      <c r="CN605" s="105"/>
      <c r="CO605" s="105"/>
      <c r="CQ605" s="105"/>
      <c r="EC605" s="86"/>
      <c r="EG605" s="105"/>
      <c r="EQ605" s="134"/>
    </row>
    <row r="606" spans="43:147" ht="13.2">
      <c r="AQ606" s="158"/>
      <c r="BL606" s="134"/>
      <c r="CN606" s="105"/>
      <c r="CO606" s="105"/>
      <c r="CQ606" s="105"/>
      <c r="EC606" s="86"/>
      <c r="EG606" s="105"/>
      <c r="EQ606" s="134"/>
    </row>
    <row r="607" spans="43:147" ht="13.2">
      <c r="AQ607" s="158"/>
      <c r="BL607" s="134"/>
      <c r="CN607" s="105"/>
      <c r="CO607" s="105"/>
      <c r="CQ607" s="105"/>
      <c r="EC607" s="86"/>
      <c r="EG607" s="105"/>
      <c r="EQ607" s="134"/>
    </row>
    <row r="608" spans="43:147" ht="13.2">
      <c r="AQ608" s="158"/>
      <c r="BL608" s="134"/>
      <c r="CN608" s="105"/>
      <c r="CO608" s="105"/>
      <c r="CQ608" s="105"/>
      <c r="EC608" s="86"/>
      <c r="EG608" s="105"/>
      <c r="EQ608" s="134"/>
    </row>
    <row r="609" spans="43:147" ht="13.2">
      <c r="AQ609" s="158"/>
      <c r="BL609" s="134"/>
      <c r="CN609" s="105"/>
      <c r="CO609" s="105"/>
      <c r="CQ609" s="105"/>
      <c r="EC609" s="86"/>
      <c r="EG609" s="105"/>
      <c r="EQ609" s="134"/>
    </row>
    <row r="610" spans="43:147" ht="13.2">
      <c r="AQ610" s="158"/>
      <c r="BL610" s="134"/>
      <c r="CN610" s="105"/>
      <c r="CO610" s="105"/>
      <c r="CQ610" s="105"/>
      <c r="EC610" s="86"/>
      <c r="EG610" s="105"/>
      <c r="EQ610" s="134"/>
    </row>
    <row r="611" spans="43:147" ht="13.2">
      <c r="AQ611" s="158"/>
      <c r="BL611" s="134"/>
      <c r="CN611" s="105"/>
      <c r="CO611" s="105"/>
      <c r="CQ611" s="105"/>
      <c r="EC611" s="86"/>
      <c r="EG611" s="105"/>
      <c r="EQ611" s="134"/>
    </row>
    <row r="612" spans="43:147" ht="13.2">
      <c r="AQ612" s="158"/>
      <c r="BL612" s="134"/>
      <c r="CN612" s="105"/>
      <c r="CO612" s="105"/>
      <c r="CQ612" s="105"/>
      <c r="EC612" s="86"/>
      <c r="EG612" s="105"/>
      <c r="EQ612" s="134"/>
    </row>
    <row r="613" spans="43:147" ht="13.2">
      <c r="AQ613" s="158"/>
      <c r="BL613" s="134"/>
      <c r="CN613" s="105"/>
      <c r="CO613" s="105"/>
      <c r="CQ613" s="105"/>
      <c r="EC613" s="86"/>
      <c r="EG613" s="105"/>
      <c r="EQ613" s="134"/>
    </row>
    <row r="614" spans="43:147" ht="13.2">
      <c r="AQ614" s="158"/>
      <c r="BL614" s="134"/>
      <c r="CN614" s="105"/>
      <c r="CO614" s="105"/>
      <c r="CQ614" s="105"/>
      <c r="EC614" s="86"/>
      <c r="EG614" s="105"/>
      <c r="EQ614" s="134"/>
    </row>
    <row r="615" spans="43:147" ht="13.2">
      <c r="AQ615" s="158"/>
      <c r="BL615" s="134"/>
      <c r="CN615" s="105"/>
      <c r="CO615" s="105"/>
      <c r="CQ615" s="105"/>
      <c r="EC615" s="86"/>
      <c r="EG615" s="105"/>
      <c r="EQ615" s="134"/>
    </row>
    <row r="616" spans="43:147" ht="13.2">
      <c r="AQ616" s="158"/>
      <c r="BL616" s="134"/>
      <c r="CN616" s="105"/>
      <c r="CO616" s="105"/>
      <c r="CQ616" s="105"/>
      <c r="EC616" s="86"/>
      <c r="EG616" s="105"/>
      <c r="EQ616" s="134"/>
    </row>
    <row r="617" spans="43:147" ht="13.2">
      <c r="AQ617" s="158"/>
      <c r="BL617" s="134"/>
      <c r="CN617" s="105"/>
      <c r="CO617" s="105"/>
      <c r="CQ617" s="105"/>
      <c r="EC617" s="86"/>
      <c r="EG617" s="105"/>
      <c r="EQ617" s="134"/>
    </row>
    <row r="618" spans="43:147" ht="13.2">
      <c r="AQ618" s="158"/>
      <c r="BL618" s="134"/>
      <c r="CN618" s="105"/>
      <c r="CO618" s="105"/>
      <c r="CQ618" s="105"/>
      <c r="EC618" s="86"/>
      <c r="EG618" s="105"/>
      <c r="EQ618" s="134"/>
    </row>
    <row r="619" spans="43:147" ht="13.2">
      <c r="AQ619" s="158"/>
      <c r="BL619" s="134"/>
      <c r="CN619" s="105"/>
      <c r="CO619" s="105"/>
      <c r="CQ619" s="105"/>
      <c r="EC619" s="86"/>
      <c r="EG619" s="105"/>
      <c r="EQ619" s="134"/>
    </row>
    <row r="620" spans="43:147" ht="13.2">
      <c r="AQ620" s="158"/>
      <c r="BL620" s="134"/>
      <c r="CN620" s="105"/>
      <c r="CO620" s="105"/>
      <c r="CQ620" s="105"/>
      <c r="EC620" s="86"/>
      <c r="EG620" s="105"/>
      <c r="EQ620" s="134"/>
    </row>
    <row r="621" spans="43:147" ht="13.2">
      <c r="AQ621" s="158"/>
      <c r="BL621" s="134"/>
      <c r="CN621" s="105"/>
      <c r="CO621" s="105"/>
      <c r="CQ621" s="105"/>
      <c r="EC621" s="86"/>
      <c r="EG621" s="105"/>
      <c r="EQ621" s="134"/>
    </row>
    <row r="622" spans="43:147" ht="13.2">
      <c r="AQ622" s="158"/>
      <c r="BL622" s="134"/>
      <c r="CN622" s="105"/>
      <c r="CO622" s="105"/>
      <c r="CQ622" s="105"/>
      <c r="EC622" s="86"/>
      <c r="EG622" s="105"/>
      <c r="EQ622" s="134"/>
    </row>
    <row r="623" spans="43:147" ht="13.2">
      <c r="AQ623" s="158"/>
      <c r="BL623" s="134"/>
      <c r="CN623" s="105"/>
      <c r="CO623" s="105"/>
      <c r="CQ623" s="105"/>
      <c r="EC623" s="86"/>
      <c r="EG623" s="105"/>
      <c r="EQ623" s="134"/>
    </row>
    <row r="624" spans="43:147" ht="13.2">
      <c r="AQ624" s="158"/>
      <c r="BL624" s="134"/>
      <c r="CN624" s="105"/>
      <c r="CO624" s="105"/>
      <c r="CQ624" s="105"/>
      <c r="EC624" s="86"/>
      <c r="EG624" s="105"/>
      <c r="EQ624" s="134"/>
    </row>
    <row r="625" spans="43:147" ht="13.2">
      <c r="AQ625" s="158"/>
      <c r="BL625" s="134"/>
      <c r="CN625" s="105"/>
      <c r="CO625" s="105"/>
      <c r="CQ625" s="105"/>
      <c r="EC625" s="86"/>
      <c r="EG625" s="105"/>
      <c r="EQ625" s="134"/>
    </row>
    <row r="626" spans="43:147" ht="13.2">
      <c r="AQ626" s="158"/>
      <c r="BL626" s="134"/>
      <c r="CN626" s="105"/>
      <c r="CO626" s="105"/>
      <c r="CQ626" s="105"/>
      <c r="EC626" s="86"/>
      <c r="EG626" s="105"/>
      <c r="EQ626" s="134"/>
    </row>
    <row r="627" spans="43:147" ht="13.2">
      <c r="AQ627" s="158"/>
      <c r="BL627" s="134"/>
      <c r="CN627" s="105"/>
      <c r="CO627" s="105"/>
      <c r="CQ627" s="105"/>
      <c r="EC627" s="86"/>
      <c r="EG627" s="105"/>
      <c r="EQ627" s="134"/>
    </row>
    <row r="628" spans="43:147" ht="13.2">
      <c r="AQ628" s="158"/>
      <c r="BL628" s="134"/>
      <c r="CN628" s="105"/>
      <c r="CO628" s="105"/>
      <c r="CQ628" s="105"/>
      <c r="EC628" s="86"/>
      <c r="EG628" s="105"/>
      <c r="EQ628" s="134"/>
    </row>
    <row r="629" spans="43:147" ht="13.2">
      <c r="AQ629" s="158"/>
      <c r="BL629" s="134"/>
      <c r="CN629" s="105"/>
      <c r="CO629" s="105"/>
      <c r="CQ629" s="105"/>
      <c r="EC629" s="86"/>
      <c r="EG629" s="105"/>
      <c r="EQ629" s="134"/>
    </row>
    <row r="630" spans="43:147" ht="13.2">
      <c r="AQ630" s="158"/>
      <c r="BL630" s="134"/>
      <c r="CN630" s="105"/>
      <c r="CO630" s="105"/>
      <c r="CQ630" s="105"/>
      <c r="EC630" s="86"/>
      <c r="EG630" s="105"/>
      <c r="EQ630" s="134"/>
    </row>
    <row r="631" spans="43:147" ht="13.2">
      <c r="AQ631" s="158"/>
      <c r="BL631" s="134"/>
      <c r="CN631" s="105"/>
      <c r="CO631" s="105"/>
      <c r="CQ631" s="105"/>
      <c r="EC631" s="86"/>
      <c r="EG631" s="105"/>
      <c r="EQ631" s="134"/>
    </row>
    <row r="632" spans="43:147" ht="13.2">
      <c r="AQ632" s="158"/>
      <c r="BL632" s="134"/>
      <c r="CN632" s="105"/>
      <c r="CO632" s="105"/>
      <c r="CQ632" s="105"/>
      <c r="EC632" s="86"/>
      <c r="EG632" s="105"/>
      <c r="EQ632" s="134"/>
    </row>
    <row r="633" spans="43:147" ht="13.2">
      <c r="AQ633" s="158"/>
      <c r="BL633" s="134"/>
      <c r="CN633" s="105"/>
      <c r="CO633" s="105"/>
      <c r="CQ633" s="105"/>
      <c r="EC633" s="86"/>
      <c r="EG633" s="105"/>
      <c r="EQ633" s="134"/>
    </row>
    <row r="634" spans="43:147" ht="13.2">
      <c r="AQ634" s="158"/>
      <c r="BL634" s="134"/>
      <c r="CN634" s="105"/>
      <c r="CO634" s="105"/>
      <c r="CQ634" s="105"/>
      <c r="EC634" s="86"/>
      <c r="EG634" s="105"/>
      <c r="EQ634" s="134"/>
    </row>
    <row r="635" spans="43:147" ht="13.2">
      <c r="AQ635" s="158"/>
      <c r="BL635" s="134"/>
      <c r="CN635" s="105"/>
      <c r="CO635" s="105"/>
      <c r="CQ635" s="105"/>
      <c r="EC635" s="86"/>
      <c r="EG635" s="105"/>
      <c r="EQ635" s="134"/>
    </row>
    <row r="636" spans="43:147" ht="13.2">
      <c r="AQ636" s="158"/>
      <c r="BL636" s="134"/>
      <c r="CN636" s="105"/>
      <c r="CO636" s="105"/>
      <c r="CQ636" s="105"/>
      <c r="EC636" s="86"/>
      <c r="EG636" s="105"/>
      <c r="EQ636" s="134"/>
    </row>
    <row r="637" spans="43:147" ht="13.2">
      <c r="AQ637" s="158"/>
      <c r="BL637" s="134"/>
      <c r="CN637" s="105"/>
      <c r="CO637" s="105"/>
      <c r="CQ637" s="105"/>
      <c r="EC637" s="86"/>
      <c r="EG637" s="105"/>
      <c r="EQ637" s="134"/>
    </row>
    <row r="638" spans="43:147" ht="13.2">
      <c r="AQ638" s="158"/>
      <c r="BL638" s="134"/>
      <c r="CN638" s="105"/>
      <c r="CO638" s="105"/>
      <c r="CQ638" s="105"/>
      <c r="EC638" s="86"/>
      <c r="EG638" s="105"/>
      <c r="EQ638" s="134"/>
    </row>
    <row r="639" spans="43:147" ht="13.2">
      <c r="AQ639" s="158"/>
      <c r="BL639" s="134"/>
      <c r="CN639" s="105"/>
      <c r="CO639" s="105"/>
      <c r="CQ639" s="105"/>
      <c r="EC639" s="86"/>
      <c r="EG639" s="105"/>
      <c r="EQ639" s="134"/>
    </row>
    <row r="640" spans="43:147" ht="13.2">
      <c r="AQ640" s="158"/>
      <c r="BL640" s="134"/>
      <c r="CN640" s="105"/>
      <c r="CO640" s="105"/>
      <c r="CQ640" s="105"/>
      <c r="EC640" s="86"/>
      <c r="EG640" s="105"/>
      <c r="EQ640" s="134"/>
    </row>
    <row r="641" spans="43:147" ht="13.2">
      <c r="AQ641" s="158"/>
      <c r="BL641" s="134"/>
      <c r="CN641" s="105"/>
      <c r="CO641" s="105"/>
      <c r="CQ641" s="105"/>
      <c r="EC641" s="86"/>
      <c r="EG641" s="105"/>
      <c r="EQ641" s="134"/>
    </row>
    <row r="642" spans="43:147" ht="13.2">
      <c r="AQ642" s="158"/>
      <c r="BL642" s="134"/>
      <c r="CN642" s="105"/>
      <c r="CO642" s="105"/>
      <c r="CQ642" s="105"/>
      <c r="EC642" s="86"/>
      <c r="EG642" s="105"/>
      <c r="EQ642" s="134"/>
    </row>
    <row r="643" spans="43:147" ht="13.2">
      <c r="AQ643" s="158"/>
      <c r="BL643" s="134"/>
      <c r="CN643" s="105"/>
      <c r="CO643" s="105"/>
      <c r="CQ643" s="105"/>
      <c r="EC643" s="86"/>
      <c r="EG643" s="105"/>
      <c r="EQ643" s="134"/>
    </row>
    <row r="644" spans="43:147" ht="13.2">
      <c r="AQ644" s="158"/>
      <c r="BL644" s="134"/>
      <c r="CN644" s="105"/>
      <c r="CO644" s="105"/>
      <c r="CQ644" s="105"/>
      <c r="EC644" s="86"/>
      <c r="EG644" s="105"/>
      <c r="EQ644" s="134"/>
    </row>
    <row r="645" spans="43:147" ht="13.2">
      <c r="AQ645" s="158"/>
      <c r="BL645" s="134"/>
      <c r="CN645" s="105"/>
      <c r="CO645" s="105"/>
      <c r="CQ645" s="105"/>
      <c r="EC645" s="86"/>
      <c r="EG645" s="105"/>
      <c r="EQ645" s="134"/>
    </row>
    <row r="646" spans="43:147" ht="13.2">
      <c r="AQ646" s="158"/>
      <c r="BL646" s="134"/>
      <c r="CN646" s="105"/>
      <c r="CO646" s="105"/>
      <c r="CQ646" s="105"/>
      <c r="EC646" s="86"/>
      <c r="EG646" s="105"/>
      <c r="EQ646" s="134"/>
    </row>
    <row r="647" spans="43:147" ht="13.2">
      <c r="AQ647" s="158"/>
      <c r="BL647" s="134"/>
      <c r="CN647" s="105"/>
      <c r="CO647" s="105"/>
      <c r="CQ647" s="105"/>
      <c r="EC647" s="86"/>
      <c r="EG647" s="105"/>
      <c r="EQ647" s="134"/>
    </row>
    <row r="648" spans="43:147" ht="13.2">
      <c r="AQ648" s="158"/>
      <c r="BL648" s="134"/>
      <c r="CN648" s="105"/>
      <c r="CO648" s="105"/>
      <c r="CQ648" s="105"/>
      <c r="EC648" s="86"/>
      <c r="EG648" s="105"/>
      <c r="EQ648" s="134"/>
    </row>
    <row r="649" spans="43:147" ht="13.2">
      <c r="AQ649" s="158"/>
      <c r="BL649" s="134"/>
      <c r="CN649" s="105"/>
      <c r="CO649" s="105"/>
      <c r="CQ649" s="105"/>
      <c r="EC649" s="86"/>
      <c r="EG649" s="105"/>
      <c r="EQ649" s="134"/>
    </row>
    <row r="650" spans="43:147" ht="13.2">
      <c r="AQ650" s="158"/>
      <c r="BL650" s="134"/>
      <c r="CN650" s="105"/>
      <c r="CO650" s="105"/>
      <c r="CQ650" s="105"/>
      <c r="EC650" s="86"/>
      <c r="EG650" s="105"/>
      <c r="EQ650" s="134"/>
    </row>
    <row r="651" spans="43:147" ht="13.2">
      <c r="AQ651" s="158"/>
      <c r="BL651" s="134"/>
      <c r="CN651" s="105"/>
      <c r="CO651" s="105"/>
      <c r="CQ651" s="105"/>
      <c r="EC651" s="86"/>
      <c r="EG651" s="105"/>
      <c r="EQ651" s="134"/>
    </row>
    <row r="652" spans="43:147" ht="13.2">
      <c r="AQ652" s="158"/>
      <c r="BL652" s="134"/>
      <c r="CN652" s="105"/>
      <c r="CO652" s="105"/>
      <c r="CQ652" s="105"/>
      <c r="EC652" s="86"/>
      <c r="EG652" s="105"/>
      <c r="EQ652" s="134"/>
    </row>
    <row r="653" spans="43:147" ht="13.2">
      <c r="AQ653" s="158"/>
      <c r="BL653" s="134"/>
      <c r="CN653" s="105"/>
      <c r="CO653" s="105"/>
      <c r="CQ653" s="105"/>
      <c r="EC653" s="86"/>
      <c r="EG653" s="105"/>
      <c r="EQ653" s="134"/>
    </row>
    <row r="654" spans="43:147" ht="13.2">
      <c r="AQ654" s="158"/>
      <c r="BL654" s="134"/>
      <c r="CN654" s="105"/>
      <c r="CO654" s="105"/>
      <c r="CQ654" s="105"/>
      <c r="EC654" s="86"/>
      <c r="EG654" s="105"/>
      <c r="EQ654" s="134"/>
    </row>
    <row r="655" spans="43:147" ht="13.2">
      <c r="AQ655" s="158"/>
      <c r="BL655" s="134"/>
      <c r="CN655" s="105"/>
      <c r="CO655" s="105"/>
      <c r="CQ655" s="105"/>
      <c r="EC655" s="86"/>
      <c r="EG655" s="105"/>
      <c r="EQ655" s="134"/>
    </row>
    <row r="656" spans="43:147" ht="13.2">
      <c r="AQ656" s="158"/>
      <c r="BL656" s="134"/>
      <c r="CN656" s="105"/>
      <c r="CO656" s="105"/>
      <c r="CQ656" s="105"/>
      <c r="EC656" s="86"/>
      <c r="EG656" s="105"/>
      <c r="EQ656" s="134"/>
    </row>
    <row r="657" spans="43:147" ht="13.2">
      <c r="AQ657" s="158"/>
      <c r="BL657" s="134"/>
      <c r="CN657" s="105"/>
      <c r="CO657" s="105"/>
      <c r="CQ657" s="105"/>
      <c r="EC657" s="86"/>
      <c r="EG657" s="105"/>
      <c r="EQ657" s="134"/>
    </row>
    <row r="658" spans="43:147" ht="13.2">
      <c r="AQ658" s="158"/>
      <c r="BL658" s="134"/>
      <c r="CN658" s="105"/>
      <c r="CO658" s="105"/>
      <c r="CQ658" s="105"/>
      <c r="EC658" s="86"/>
      <c r="EG658" s="105"/>
      <c r="EQ658" s="134"/>
    </row>
    <row r="659" spans="43:147" ht="13.2">
      <c r="AQ659" s="158"/>
      <c r="BL659" s="134"/>
      <c r="CN659" s="105"/>
      <c r="CO659" s="105"/>
      <c r="CQ659" s="105"/>
      <c r="EC659" s="86"/>
      <c r="EG659" s="105"/>
      <c r="EQ659" s="134"/>
    </row>
    <row r="660" spans="43:147" ht="13.2">
      <c r="AQ660" s="158"/>
      <c r="BL660" s="134"/>
      <c r="CN660" s="105"/>
      <c r="CO660" s="105"/>
      <c r="CQ660" s="105"/>
      <c r="EC660" s="86"/>
      <c r="EG660" s="105"/>
      <c r="EQ660" s="134"/>
    </row>
    <row r="661" spans="43:147" ht="13.2">
      <c r="AQ661" s="158"/>
      <c r="BL661" s="134"/>
      <c r="CN661" s="105"/>
      <c r="CO661" s="105"/>
      <c r="CQ661" s="105"/>
      <c r="EC661" s="86"/>
      <c r="EG661" s="105"/>
      <c r="EQ661" s="134"/>
    </row>
    <row r="662" spans="43:147" ht="13.2">
      <c r="AQ662" s="158"/>
      <c r="BL662" s="134"/>
      <c r="CN662" s="105"/>
      <c r="CO662" s="105"/>
      <c r="CQ662" s="105"/>
      <c r="EC662" s="86"/>
      <c r="EG662" s="105"/>
      <c r="EQ662" s="134"/>
    </row>
    <row r="663" spans="43:147" ht="13.2">
      <c r="AQ663" s="158"/>
      <c r="BL663" s="134"/>
      <c r="CN663" s="105"/>
      <c r="CO663" s="105"/>
      <c r="CQ663" s="105"/>
      <c r="EC663" s="86"/>
      <c r="EG663" s="105"/>
      <c r="EQ663" s="134"/>
    </row>
    <row r="664" spans="43:147" ht="13.2">
      <c r="AQ664" s="158"/>
      <c r="BL664" s="134"/>
      <c r="CN664" s="105"/>
      <c r="CO664" s="105"/>
      <c r="CQ664" s="105"/>
      <c r="EC664" s="86"/>
      <c r="EG664" s="105"/>
      <c r="EQ664" s="134"/>
    </row>
    <row r="665" spans="43:147" ht="13.2">
      <c r="AQ665" s="158"/>
      <c r="BL665" s="134"/>
      <c r="CN665" s="105"/>
      <c r="CO665" s="105"/>
      <c r="CQ665" s="105"/>
      <c r="EC665" s="86"/>
      <c r="EG665" s="105"/>
      <c r="EQ665" s="134"/>
    </row>
    <row r="666" spans="43:147" ht="13.2">
      <c r="AQ666" s="158"/>
      <c r="BL666" s="134"/>
      <c r="CN666" s="105"/>
      <c r="CO666" s="105"/>
      <c r="CQ666" s="105"/>
      <c r="EC666" s="86"/>
      <c r="EG666" s="105"/>
      <c r="EQ666" s="134"/>
    </row>
    <row r="667" spans="43:147" ht="13.2">
      <c r="AQ667" s="158"/>
      <c r="BL667" s="134"/>
      <c r="CN667" s="105"/>
      <c r="CO667" s="105"/>
      <c r="CQ667" s="105"/>
      <c r="EC667" s="86"/>
      <c r="EG667" s="105"/>
      <c r="EQ667" s="134"/>
    </row>
    <row r="668" spans="43:147" ht="13.2">
      <c r="AQ668" s="158"/>
      <c r="BL668" s="134"/>
      <c r="CN668" s="105"/>
      <c r="CO668" s="105"/>
      <c r="CQ668" s="105"/>
      <c r="EC668" s="86"/>
      <c r="EG668" s="105"/>
      <c r="EQ668" s="134"/>
    </row>
    <row r="669" spans="43:147" ht="13.2">
      <c r="AQ669" s="158"/>
      <c r="BL669" s="134"/>
      <c r="CN669" s="105"/>
      <c r="CO669" s="105"/>
      <c r="CQ669" s="105"/>
      <c r="EC669" s="86"/>
      <c r="EG669" s="105"/>
      <c r="EQ669" s="134"/>
    </row>
    <row r="670" spans="43:147" ht="13.2">
      <c r="AQ670" s="158"/>
      <c r="BL670" s="134"/>
      <c r="CN670" s="105"/>
      <c r="CO670" s="105"/>
      <c r="CQ670" s="105"/>
      <c r="EC670" s="86"/>
      <c r="EG670" s="105"/>
      <c r="EQ670" s="134"/>
    </row>
    <row r="671" spans="43:147" ht="13.2">
      <c r="AQ671" s="158"/>
      <c r="BL671" s="134"/>
      <c r="CN671" s="105"/>
      <c r="CO671" s="105"/>
      <c r="CQ671" s="105"/>
      <c r="EC671" s="86"/>
      <c r="EG671" s="105"/>
      <c r="EQ671" s="134"/>
    </row>
    <row r="672" spans="43:147" ht="13.2">
      <c r="AQ672" s="158"/>
      <c r="BL672" s="134"/>
      <c r="CN672" s="105"/>
      <c r="CO672" s="105"/>
      <c r="CQ672" s="105"/>
      <c r="EC672" s="86"/>
      <c r="EG672" s="105"/>
      <c r="EQ672" s="134"/>
    </row>
    <row r="673" spans="43:147" ht="13.2">
      <c r="AQ673" s="158"/>
      <c r="BL673" s="134"/>
      <c r="CN673" s="105"/>
      <c r="CO673" s="105"/>
      <c r="CQ673" s="105"/>
      <c r="EC673" s="86"/>
      <c r="EG673" s="105"/>
      <c r="EQ673" s="134"/>
    </row>
    <row r="674" spans="43:147" ht="13.2">
      <c r="AQ674" s="158"/>
      <c r="BL674" s="134"/>
      <c r="CN674" s="105"/>
      <c r="CO674" s="105"/>
      <c r="CQ674" s="105"/>
      <c r="EC674" s="86"/>
      <c r="EG674" s="105"/>
      <c r="EQ674" s="134"/>
    </row>
    <row r="675" spans="43:147" ht="13.2">
      <c r="AQ675" s="158"/>
      <c r="BL675" s="134"/>
      <c r="CN675" s="105"/>
      <c r="CO675" s="105"/>
      <c r="CQ675" s="105"/>
      <c r="EC675" s="86"/>
      <c r="EG675" s="105"/>
      <c r="EQ675" s="134"/>
    </row>
    <row r="676" spans="43:147" ht="13.2">
      <c r="AQ676" s="158"/>
      <c r="BL676" s="134"/>
      <c r="CN676" s="105"/>
      <c r="CO676" s="105"/>
      <c r="CQ676" s="105"/>
      <c r="EC676" s="86"/>
      <c r="EG676" s="105"/>
      <c r="EQ676" s="134"/>
    </row>
    <row r="677" spans="43:147" ht="13.2">
      <c r="AQ677" s="158"/>
      <c r="BL677" s="134"/>
      <c r="CN677" s="105"/>
      <c r="CO677" s="105"/>
      <c r="CQ677" s="105"/>
      <c r="EC677" s="86"/>
      <c r="EG677" s="105"/>
      <c r="EQ677" s="134"/>
    </row>
    <row r="678" spans="43:147" ht="13.2">
      <c r="AQ678" s="158"/>
      <c r="BL678" s="134"/>
      <c r="CN678" s="105"/>
      <c r="CO678" s="105"/>
      <c r="CQ678" s="105"/>
      <c r="EC678" s="86"/>
      <c r="EG678" s="105"/>
      <c r="EQ678" s="134"/>
    </row>
    <row r="679" spans="43:147" ht="13.2">
      <c r="AQ679" s="158"/>
      <c r="BL679" s="134"/>
      <c r="CN679" s="105"/>
      <c r="CO679" s="105"/>
      <c r="CQ679" s="105"/>
      <c r="EC679" s="86"/>
      <c r="EG679" s="105"/>
      <c r="EQ679" s="134"/>
    </row>
    <row r="680" spans="43:147" ht="13.2">
      <c r="AQ680" s="158"/>
      <c r="BL680" s="134"/>
      <c r="CN680" s="105"/>
      <c r="CO680" s="105"/>
      <c r="CQ680" s="105"/>
      <c r="EC680" s="86"/>
      <c r="EG680" s="105"/>
      <c r="EQ680" s="134"/>
    </row>
    <row r="681" spans="43:147" ht="13.2">
      <c r="AQ681" s="158"/>
      <c r="BL681" s="134"/>
      <c r="CN681" s="105"/>
      <c r="CO681" s="105"/>
      <c r="CQ681" s="105"/>
      <c r="EC681" s="86"/>
      <c r="EG681" s="105"/>
      <c r="EQ681" s="134"/>
    </row>
    <row r="682" spans="43:147" ht="13.2">
      <c r="AQ682" s="158"/>
      <c r="BL682" s="134"/>
      <c r="CN682" s="105"/>
      <c r="CO682" s="105"/>
      <c r="CQ682" s="105"/>
      <c r="EC682" s="86"/>
      <c r="EG682" s="105"/>
      <c r="EQ682" s="134"/>
    </row>
    <row r="683" spans="43:147" ht="13.2">
      <c r="AQ683" s="158"/>
      <c r="BL683" s="134"/>
      <c r="CN683" s="105"/>
      <c r="CO683" s="105"/>
      <c r="CQ683" s="105"/>
      <c r="EC683" s="86"/>
      <c r="EG683" s="105"/>
      <c r="EQ683" s="134"/>
    </row>
    <row r="684" spans="43:147" ht="13.2">
      <c r="AQ684" s="158"/>
      <c r="BL684" s="134"/>
      <c r="CN684" s="105"/>
      <c r="CO684" s="105"/>
      <c r="CQ684" s="105"/>
      <c r="EC684" s="86"/>
      <c r="EG684" s="105"/>
      <c r="EQ684" s="134"/>
    </row>
    <row r="685" spans="43:147" ht="13.2">
      <c r="AQ685" s="158"/>
      <c r="BL685" s="134"/>
      <c r="CN685" s="105"/>
      <c r="CO685" s="105"/>
      <c r="CQ685" s="105"/>
      <c r="EC685" s="86"/>
      <c r="EG685" s="105"/>
      <c r="EQ685" s="134"/>
    </row>
    <row r="686" spans="43:147" ht="13.2">
      <c r="AQ686" s="158"/>
      <c r="BL686" s="134"/>
      <c r="CN686" s="105"/>
      <c r="CO686" s="105"/>
      <c r="CQ686" s="105"/>
      <c r="EC686" s="86"/>
      <c r="EG686" s="105"/>
      <c r="EQ686" s="134"/>
    </row>
    <row r="687" spans="43:147" ht="13.2">
      <c r="AQ687" s="158"/>
      <c r="BL687" s="134"/>
      <c r="CN687" s="105"/>
      <c r="CO687" s="105"/>
      <c r="CQ687" s="105"/>
      <c r="EC687" s="86"/>
      <c r="EG687" s="105"/>
      <c r="EQ687" s="134"/>
    </row>
    <row r="688" spans="43:147" ht="13.2">
      <c r="AQ688" s="158"/>
      <c r="BL688" s="134"/>
      <c r="CN688" s="105"/>
      <c r="CO688" s="105"/>
      <c r="CQ688" s="105"/>
      <c r="EC688" s="86"/>
      <c r="EG688" s="105"/>
      <c r="EQ688" s="134"/>
    </row>
    <row r="689" spans="43:147" ht="13.2">
      <c r="AQ689" s="158"/>
      <c r="BL689" s="134"/>
      <c r="CN689" s="105"/>
      <c r="CO689" s="105"/>
      <c r="CQ689" s="105"/>
      <c r="EC689" s="86"/>
      <c r="EG689" s="105"/>
      <c r="EQ689" s="134"/>
    </row>
    <row r="690" spans="43:147" ht="13.2">
      <c r="AQ690" s="158"/>
      <c r="BL690" s="134"/>
      <c r="CN690" s="105"/>
      <c r="CO690" s="105"/>
      <c r="CQ690" s="105"/>
      <c r="EC690" s="86"/>
      <c r="EG690" s="105"/>
      <c r="EQ690" s="134"/>
    </row>
    <row r="691" spans="43:147" ht="13.2">
      <c r="AQ691" s="158"/>
      <c r="BL691" s="134"/>
      <c r="CN691" s="105"/>
      <c r="CO691" s="105"/>
      <c r="CQ691" s="105"/>
      <c r="EC691" s="86"/>
      <c r="EG691" s="105"/>
      <c r="EQ691" s="134"/>
    </row>
    <row r="692" spans="43:147" ht="13.2">
      <c r="AQ692" s="158"/>
      <c r="BL692" s="134"/>
      <c r="CN692" s="105"/>
      <c r="CO692" s="105"/>
      <c r="CQ692" s="105"/>
      <c r="EC692" s="86"/>
      <c r="EG692" s="105"/>
      <c r="EQ692" s="134"/>
    </row>
    <row r="693" spans="43:147" ht="13.2">
      <c r="AQ693" s="158"/>
      <c r="BL693" s="134"/>
      <c r="CN693" s="105"/>
      <c r="CO693" s="105"/>
      <c r="CQ693" s="105"/>
      <c r="EC693" s="86"/>
      <c r="EG693" s="105"/>
      <c r="EQ693" s="134"/>
    </row>
    <row r="694" spans="43:147" ht="13.2">
      <c r="AQ694" s="158"/>
      <c r="BL694" s="134"/>
      <c r="CN694" s="105"/>
      <c r="CO694" s="105"/>
      <c r="CQ694" s="105"/>
      <c r="EC694" s="86"/>
      <c r="EG694" s="105"/>
      <c r="EQ694" s="134"/>
    </row>
    <row r="695" spans="43:147" ht="13.2">
      <c r="AQ695" s="158"/>
      <c r="BL695" s="134"/>
      <c r="CN695" s="105"/>
      <c r="CO695" s="105"/>
      <c r="CQ695" s="105"/>
      <c r="EC695" s="86"/>
      <c r="EG695" s="105"/>
      <c r="EQ695" s="134"/>
    </row>
    <row r="696" spans="43:147" ht="13.2">
      <c r="AQ696" s="158"/>
      <c r="BL696" s="134"/>
      <c r="CN696" s="105"/>
      <c r="CO696" s="105"/>
      <c r="CQ696" s="105"/>
      <c r="EC696" s="86"/>
      <c r="EG696" s="105"/>
      <c r="EQ696" s="134"/>
    </row>
    <row r="697" spans="43:147" ht="13.2">
      <c r="AQ697" s="158"/>
      <c r="BL697" s="134"/>
      <c r="CN697" s="105"/>
      <c r="CO697" s="105"/>
      <c r="CQ697" s="105"/>
      <c r="EC697" s="86"/>
      <c r="EG697" s="105"/>
      <c r="EQ697" s="134"/>
    </row>
    <row r="698" spans="43:147" ht="13.2">
      <c r="AQ698" s="158"/>
      <c r="BL698" s="134"/>
      <c r="CN698" s="105"/>
      <c r="CO698" s="105"/>
      <c r="CQ698" s="105"/>
      <c r="EC698" s="86"/>
      <c r="EG698" s="105"/>
      <c r="EQ698" s="134"/>
    </row>
    <row r="699" spans="43:147" ht="13.2">
      <c r="AQ699" s="158"/>
      <c r="BL699" s="134"/>
      <c r="CN699" s="105"/>
      <c r="CO699" s="105"/>
      <c r="CQ699" s="105"/>
      <c r="EC699" s="86"/>
      <c r="EG699" s="105"/>
      <c r="EQ699" s="134"/>
    </row>
    <row r="700" spans="43:147" ht="13.2">
      <c r="AQ700" s="158"/>
      <c r="BL700" s="134"/>
      <c r="CN700" s="105"/>
      <c r="CO700" s="105"/>
      <c r="CQ700" s="105"/>
      <c r="EC700" s="86"/>
      <c r="EG700" s="105"/>
      <c r="EQ700" s="134"/>
    </row>
    <row r="701" spans="43:147" ht="13.2">
      <c r="AQ701" s="158"/>
      <c r="BL701" s="134"/>
      <c r="CN701" s="105"/>
      <c r="CO701" s="105"/>
      <c r="CQ701" s="105"/>
      <c r="EC701" s="86"/>
      <c r="EG701" s="105"/>
      <c r="EQ701" s="134"/>
    </row>
    <row r="702" spans="43:147" ht="13.2">
      <c r="AQ702" s="158"/>
      <c r="BL702" s="134"/>
      <c r="CN702" s="105"/>
      <c r="CO702" s="105"/>
      <c r="CQ702" s="105"/>
      <c r="EC702" s="86"/>
      <c r="EG702" s="105"/>
      <c r="EQ702" s="134"/>
    </row>
    <row r="703" spans="43:147" ht="13.2">
      <c r="AQ703" s="158"/>
      <c r="BL703" s="134"/>
      <c r="CN703" s="105"/>
      <c r="CO703" s="105"/>
      <c r="CQ703" s="105"/>
      <c r="EC703" s="86"/>
      <c r="EG703" s="105"/>
      <c r="EQ703" s="134"/>
    </row>
    <row r="704" spans="43:147" ht="13.2">
      <c r="AQ704" s="158"/>
      <c r="BL704" s="134"/>
      <c r="CN704" s="105"/>
      <c r="CO704" s="105"/>
      <c r="CQ704" s="105"/>
      <c r="EC704" s="86"/>
      <c r="EG704" s="105"/>
      <c r="EQ704" s="134"/>
    </row>
    <row r="705" spans="43:147" ht="13.2">
      <c r="AQ705" s="158"/>
      <c r="BL705" s="134"/>
      <c r="CN705" s="105"/>
      <c r="CO705" s="105"/>
      <c r="CQ705" s="105"/>
      <c r="EC705" s="86"/>
      <c r="EG705" s="105"/>
      <c r="EQ705" s="134"/>
    </row>
    <row r="706" spans="43:147" ht="13.2">
      <c r="AQ706" s="158"/>
      <c r="BL706" s="134"/>
      <c r="CN706" s="105"/>
      <c r="CO706" s="105"/>
      <c r="CQ706" s="105"/>
      <c r="EC706" s="86"/>
      <c r="EG706" s="105"/>
      <c r="EQ706" s="134"/>
    </row>
    <row r="707" spans="43:147" ht="13.2">
      <c r="AQ707" s="158"/>
      <c r="BL707" s="134"/>
      <c r="CN707" s="105"/>
      <c r="CO707" s="105"/>
      <c r="CQ707" s="105"/>
      <c r="EC707" s="86"/>
      <c r="EG707" s="105"/>
      <c r="EQ707" s="134"/>
    </row>
    <row r="708" spans="43:147" ht="13.2">
      <c r="AQ708" s="158"/>
      <c r="BL708" s="134"/>
      <c r="CN708" s="105"/>
      <c r="CO708" s="105"/>
      <c r="CQ708" s="105"/>
      <c r="EC708" s="86"/>
      <c r="EG708" s="105"/>
      <c r="EQ708" s="134"/>
    </row>
    <row r="709" spans="43:147" ht="13.2">
      <c r="AQ709" s="158"/>
      <c r="BL709" s="134"/>
      <c r="CN709" s="105"/>
      <c r="CO709" s="105"/>
      <c r="CQ709" s="105"/>
      <c r="EC709" s="86"/>
      <c r="EG709" s="105"/>
      <c r="EQ709" s="134"/>
    </row>
    <row r="710" spans="43:147" ht="13.2">
      <c r="AQ710" s="158"/>
      <c r="BL710" s="134"/>
      <c r="CN710" s="105"/>
      <c r="CO710" s="105"/>
      <c r="CQ710" s="105"/>
      <c r="EC710" s="86"/>
      <c r="EG710" s="105"/>
      <c r="EQ710" s="134"/>
    </row>
    <row r="711" spans="43:147" ht="13.2">
      <c r="AQ711" s="158"/>
      <c r="BL711" s="134"/>
      <c r="CN711" s="105"/>
      <c r="CO711" s="105"/>
      <c r="CQ711" s="105"/>
      <c r="EC711" s="86"/>
      <c r="EG711" s="105"/>
      <c r="EQ711" s="134"/>
    </row>
    <row r="712" spans="43:147" ht="13.2">
      <c r="AQ712" s="158"/>
      <c r="BL712" s="134"/>
      <c r="CN712" s="105"/>
      <c r="CO712" s="105"/>
      <c r="CQ712" s="105"/>
      <c r="EC712" s="86"/>
      <c r="EG712" s="105"/>
      <c r="EQ712" s="134"/>
    </row>
    <row r="713" spans="43:147" ht="13.2">
      <c r="AQ713" s="158"/>
      <c r="BL713" s="134"/>
      <c r="CN713" s="105"/>
      <c r="CO713" s="105"/>
      <c r="CQ713" s="105"/>
      <c r="EC713" s="86"/>
      <c r="EG713" s="105"/>
      <c r="EQ713" s="134"/>
    </row>
    <row r="714" spans="43:147" ht="13.2">
      <c r="AQ714" s="158"/>
      <c r="BL714" s="134"/>
      <c r="CN714" s="105"/>
      <c r="CO714" s="105"/>
      <c r="CQ714" s="105"/>
      <c r="EC714" s="86"/>
      <c r="EG714" s="105"/>
      <c r="EQ714" s="134"/>
    </row>
    <row r="715" spans="43:147" ht="13.2">
      <c r="AQ715" s="158"/>
      <c r="BL715" s="134"/>
      <c r="CN715" s="105"/>
      <c r="CO715" s="105"/>
      <c r="CQ715" s="105"/>
      <c r="EC715" s="86"/>
      <c r="EG715" s="105"/>
      <c r="EQ715" s="134"/>
    </row>
    <row r="716" spans="43:147" ht="13.2">
      <c r="AQ716" s="158"/>
      <c r="BL716" s="134"/>
      <c r="CN716" s="105"/>
      <c r="CO716" s="105"/>
      <c r="CQ716" s="105"/>
      <c r="EC716" s="86"/>
      <c r="EG716" s="105"/>
      <c r="EQ716" s="134"/>
    </row>
    <row r="717" spans="43:147" ht="13.2">
      <c r="AQ717" s="158"/>
      <c r="BL717" s="134"/>
      <c r="CN717" s="105"/>
      <c r="CO717" s="105"/>
      <c r="CQ717" s="105"/>
      <c r="EC717" s="86"/>
      <c r="EG717" s="105"/>
      <c r="EQ717" s="134"/>
    </row>
    <row r="718" spans="43:147" ht="13.2">
      <c r="AQ718" s="158"/>
      <c r="BL718" s="134"/>
      <c r="CN718" s="105"/>
      <c r="CO718" s="105"/>
      <c r="CQ718" s="105"/>
      <c r="EC718" s="86"/>
      <c r="EG718" s="105"/>
      <c r="EQ718" s="134"/>
    </row>
    <row r="719" spans="43:147" ht="13.2">
      <c r="AQ719" s="158"/>
      <c r="BL719" s="134"/>
      <c r="CN719" s="105"/>
      <c r="CO719" s="105"/>
      <c r="CQ719" s="105"/>
      <c r="EC719" s="86"/>
      <c r="EG719" s="105"/>
      <c r="EQ719" s="134"/>
    </row>
    <row r="720" spans="43:147" ht="13.2">
      <c r="AQ720" s="158"/>
      <c r="BL720" s="134"/>
      <c r="CN720" s="105"/>
      <c r="CO720" s="105"/>
      <c r="CQ720" s="105"/>
      <c r="EC720" s="86"/>
      <c r="EG720" s="105"/>
      <c r="EQ720" s="134"/>
    </row>
    <row r="721" spans="43:147" ht="13.2">
      <c r="AQ721" s="158"/>
      <c r="BL721" s="134"/>
      <c r="CN721" s="105"/>
      <c r="CO721" s="105"/>
      <c r="CQ721" s="105"/>
      <c r="EC721" s="86"/>
      <c r="EG721" s="105"/>
      <c r="EQ721" s="134"/>
    </row>
    <row r="722" spans="43:147" ht="13.2">
      <c r="AQ722" s="158"/>
      <c r="BL722" s="134"/>
      <c r="CN722" s="105"/>
      <c r="CO722" s="105"/>
      <c r="CQ722" s="105"/>
      <c r="EC722" s="86"/>
      <c r="EG722" s="105"/>
      <c r="EQ722" s="134"/>
    </row>
    <row r="723" spans="43:147" ht="13.2">
      <c r="AQ723" s="158"/>
      <c r="BL723" s="134"/>
      <c r="CN723" s="105"/>
      <c r="CO723" s="105"/>
      <c r="CQ723" s="105"/>
      <c r="EC723" s="86"/>
      <c r="EG723" s="105"/>
      <c r="EQ723" s="134"/>
    </row>
    <row r="724" spans="43:147" ht="13.2">
      <c r="AQ724" s="158"/>
      <c r="BL724" s="134"/>
      <c r="CN724" s="105"/>
      <c r="CO724" s="105"/>
      <c r="CQ724" s="105"/>
      <c r="EC724" s="86"/>
      <c r="EG724" s="105"/>
      <c r="EQ724" s="134"/>
    </row>
    <row r="725" spans="43:147" ht="13.2">
      <c r="AQ725" s="158"/>
      <c r="BL725" s="134"/>
      <c r="CN725" s="105"/>
      <c r="CO725" s="105"/>
      <c r="CQ725" s="105"/>
      <c r="EC725" s="86"/>
      <c r="EG725" s="105"/>
      <c r="EQ725" s="134"/>
    </row>
    <row r="726" spans="43:147" ht="13.2">
      <c r="AQ726" s="158"/>
      <c r="BL726" s="134"/>
      <c r="CN726" s="105"/>
      <c r="CO726" s="105"/>
      <c r="CQ726" s="105"/>
      <c r="EC726" s="86"/>
      <c r="EG726" s="105"/>
      <c r="EQ726" s="134"/>
    </row>
    <row r="727" spans="43:147" ht="13.2">
      <c r="AQ727" s="158"/>
      <c r="BL727" s="134"/>
      <c r="CN727" s="105"/>
      <c r="CO727" s="105"/>
      <c r="CQ727" s="105"/>
      <c r="EC727" s="86"/>
      <c r="EG727" s="105"/>
      <c r="EQ727" s="134"/>
    </row>
    <row r="728" spans="43:147" ht="13.2">
      <c r="AQ728" s="158"/>
      <c r="BL728" s="134"/>
      <c r="CN728" s="105"/>
      <c r="CO728" s="105"/>
      <c r="CQ728" s="105"/>
      <c r="EC728" s="86"/>
      <c r="EG728" s="105"/>
      <c r="EQ728" s="134"/>
    </row>
    <row r="729" spans="43:147" ht="13.2">
      <c r="AQ729" s="158"/>
      <c r="BL729" s="134"/>
      <c r="CN729" s="105"/>
      <c r="CO729" s="105"/>
      <c r="CQ729" s="105"/>
      <c r="EC729" s="86"/>
      <c r="EG729" s="105"/>
      <c r="EQ729" s="134"/>
    </row>
    <row r="730" spans="43:147" ht="13.2">
      <c r="AQ730" s="158"/>
      <c r="BL730" s="134"/>
      <c r="CN730" s="105"/>
      <c r="CO730" s="105"/>
      <c r="CQ730" s="105"/>
      <c r="EC730" s="86"/>
      <c r="EG730" s="105"/>
      <c r="EQ730" s="134"/>
    </row>
    <row r="731" spans="43:147" ht="13.2">
      <c r="AQ731" s="158"/>
      <c r="BL731" s="134"/>
      <c r="CN731" s="105"/>
      <c r="CO731" s="105"/>
      <c r="CQ731" s="105"/>
      <c r="EC731" s="86"/>
      <c r="EG731" s="105"/>
      <c r="EQ731" s="134"/>
    </row>
    <row r="732" spans="43:147" ht="13.2">
      <c r="AQ732" s="158"/>
      <c r="BL732" s="134"/>
      <c r="CN732" s="105"/>
      <c r="CO732" s="105"/>
      <c r="CQ732" s="105"/>
      <c r="EC732" s="86"/>
      <c r="EG732" s="105"/>
      <c r="EQ732" s="134"/>
    </row>
    <row r="733" spans="43:147" ht="13.2">
      <c r="AQ733" s="158"/>
      <c r="BL733" s="134"/>
      <c r="CN733" s="105"/>
      <c r="CO733" s="105"/>
      <c r="CQ733" s="105"/>
      <c r="EC733" s="86"/>
      <c r="EG733" s="105"/>
      <c r="EQ733" s="134"/>
    </row>
    <row r="734" spans="43:147" ht="13.2">
      <c r="AQ734" s="158"/>
      <c r="BL734" s="134"/>
      <c r="CN734" s="105"/>
      <c r="CO734" s="105"/>
      <c r="CQ734" s="105"/>
      <c r="EC734" s="86"/>
      <c r="EG734" s="105"/>
      <c r="EQ734" s="134"/>
    </row>
    <row r="735" spans="43:147" ht="13.2">
      <c r="AQ735" s="158"/>
      <c r="BL735" s="134"/>
      <c r="CN735" s="105"/>
      <c r="CO735" s="105"/>
      <c r="CQ735" s="105"/>
      <c r="EC735" s="86"/>
      <c r="EG735" s="105"/>
      <c r="EQ735" s="134"/>
    </row>
    <row r="736" spans="43:147" ht="13.2">
      <c r="AQ736" s="158"/>
      <c r="BL736" s="134"/>
      <c r="CN736" s="105"/>
      <c r="CO736" s="105"/>
      <c r="CQ736" s="105"/>
      <c r="EC736" s="86"/>
      <c r="EG736" s="105"/>
      <c r="EQ736" s="134"/>
    </row>
    <row r="737" spans="43:147" ht="13.2">
      <c r="AQ737" s="158"/>
      <c r="BL737" s="134"/>
      <c r="CN737" s="105"/>
      <c r="CO737" s="105"/>
      <c r="CQ737" s="105"/>
      <c r="EC737" s="86"/>
      <c r="EG737" s="105"/>
      <c r="EQ737" s="134"/>
    </row>
    <row r="738" spans="43:147" ht="13.2">
      <c r="AQ738" s="158"/>
      <c r="BL738" s="134"/>
      <c r="CN738" s="105"/>
      <c r="CO738" s="105"/>
      <c r="CQ738" s="105"/>
      <c r="EC738" s="86"/>
      <c r="EG738" s="105"/>
      <c r="EQ738" s="134"/>
    </row>
    <row r="739" spans="43:147" ht="13.2">
      <c r="AQ739" s="158"/>
      <c r="BL739" s="134"/>
      <c r="CN739" s="105"/>
      <c r="CO739" s="105"/>
      <c r="CQ739" s="105"/>
      <c r="EC739" s="86"/>
      <c r="EG739" s="105"/>
      <c r="EQ739" s="134"/>
    </row>
    <row r="740" spans="43:147" ht="13.2">
      <c r="AQ740" s="158"/>
      <c r="BL740" s="134"/>
      <c r="CN740" s="105"/>
      <c r="CO740" s="105"/>
      <c r="CQ740" s="105"/>
      <c r="EC740" s="86"/>
      <c r="EG740" s="105"/>
      <c r="EQ740" s="134"/>
    </row>
    <row r="741" spans="43:147" ht="13.2">
      <c r="AQ741" s="158"/>
      <c r="BL741" s="134"/>
      <c r="CN741" s="105"/>
      <c r="CO741" s="105"/>
      <c r="CQ741" s="105"/>
      <c r="EC741" s="86"/>
      <c r="EG741" s="105"/>
      <c r="EQ741" s="134"/>
    </row>
    <row r="742" spans="43:147" ht="13.2">
      <c r="AQ742" s="158"/>
      <c r="BL742" s="134"/>
      <c r="CN742" s="105"/>
      <c r="CO742" s="105"/>
      <c r="CQ742" s="105"/>
      <c r="EC742" s="86"/>
      <c r="EG742" s="105"/>
      <c r="EQ742" s="134"/>
    </row>
    <row r="743" spans="43:147" ht="13.2">
      <c r="AQ743" s="158"/>
      <c r="BL743" s="134"/>
      <c r="CN743" s="105"/>
      <c r="CO743" s="105"/>
      <c r="CQ743" s="105"/>
      <c r="EC743" s="86"/>
      <c r="EG743" s="105"/>
      <c r="EQ743" s="134"/>
    </row>
    <row r="744" spans="43:147" ht="13.2">
      <c r="AQ744" s="158"/>
      <c r="BL744" s="134"/>
      <c r="CN744" s="105"/>
      <c r="CO744" s="105"/>
      <c r="CQ744" s="105"/>
      <c r="EC744" s="86"/>
      <c r="EG744" s="105"/>
      <c r="EQ744" s="134"/>
    </row>
    <row r="745" spans="43:147" ht="13.2">
      <c r="AQ745" s="158"/>
      <c r="BL745" s="134"/>
      <c r="CN745" s="105"/>
      <c r="CO745" s="105"/>
      <c r="CQ745" s="105"/>
      <c r="EC745" s="86"/>
      <c r="EG745" s="105"/>
      <c r="EQ745" s="134"/>
    </row>
    <row r="746" spans="43:147" ht="13.2">
      <c r="AQ746" s="158"/>
      <c r="BL746" s="134"/>
      <c r="CN746" s="105"/>
      <c r="CO746" s="105"/>
      <c r="CQ746" s="105"/>
      <c r="EC746" s="86"/>
      <c r="EG746" s="105"/>
      <c r="EQ746" s="134"/>
    </row>
    <row r="747" spans="43:147" ht="13.2">
      <c r="AQ747" s="158"/>
      <c r="BL747" s="134"/>
      <c r="CN747" s="105"/>
      <c r="CO747" s="105"/>
      <c r="CQ747" s="105"/>
      <c r="EC747" s="86"/>
      <c r="EG747" s="105"/>
      <c r="EQ747" s="134"/>
    </row>
    <row r="748" spans="43:147" ht="13.2">
      <c r="AQ748" s="158"/>
      <c r="BL748" s="134"/>
      <c r="CN748" s="105"/>
      <c r="CO748" s="105"/>
      <c r="CQ748" s="105"/>
      <c r="EC748" s="86"/>
      <c r="EG748" s="105"/>
      <c r="EQ748" s="134"/>
    </row>
    <row r="749" spans="43:147" ht="13.2">
      <c r="AQ749" s="158"/>
      <c r="BL749" s="134"/>
      <c r="CN749" s="105"/>
      <c r="CO749" s="105"/>
      <c r="CQ749" s="105"/>
      <c r="EC749" s="86"/>
      <c r="EG749" s="105"/>
      <c r="EQ749" s="134"/>
    </row>
    <row r="750" spans="43:147" ht="13.2">
      <c r="AQ750" s="158"/>
      <c r="BL750" s="134"/>
      <c r="CN750" s="105"/>
      <c r="CO750" s="105"/>
      <c r="CQ750" s="105"/>
      <c r="EC750" s="86"/>
      <c r="EG750" s="105"/>
      <c r="EQ750" s="134"/>
    </row>
    <row r="751" spans="43:147" ht="13.2">
      <c r="AQ751" s="158"/>
      <c r="BL751" s="134"/>
      <c r="CN751" s="105"/>
      <c r="CO751" s="105"/>
      <c r="CQ751" s="105"/>
      <c r="EC751" s="86"/>
      <c r="EG751" s="105"/>
      <c r="EQ751" s="134"/>
    </row>
    <row r="752" spans="43:147" ht="13.2">
      <c r="AQ752" s="158"/>
      <c r="BL752" s="134"/>
      <c r="CN752" s="105"/>
      <c r="CO752" s="105"/>
      <c r="CQ752" s="105"/>
      <c r="EC752" s="86"/>
      <c r="EG752" s="105"/>
      <c r="EQ752" s="134"/>
    </row>
    <row r="753" spans="43:147" ht="13.2">
      <c r="AQ753" s="158"/>
      <c r="BL753" s="134"/>
      <c r="CN753" s="105"/>
      <c r="CO753" s="105"/>
      <c r="CQ753" s="105"/>
      <c r="EC753" s="86"/>
      <c r="EG753" s="105"/>
      <c r="EQ753" s="134"/>
    </row>
    <row r="754" spans="43:147" ht="13.2">
      <c r="AQ754" s="158"/>
      <c r="BL754" s="134"/>
      <c r="CN754" s="105"/>
      <c r="CO754" s="105"/>
      <c r="CQ754" s="105"/>
      <c r="EC754" s="86"/>
      <c r="EG754" s="105"/>
      <c r="EQ754" s="134"/>
    </row>
    <row r="755" spans="43:147" ht="13.2">
      <c r="AQ755" s="158"/>
      <c r="BL755" s="134"/>
      <c r="CN755" s="105"/>
      <c r="CO755" s="105"/>
      <c r="CQ755" s="105"/>
      <c r="EC755" s="86"/>
      <c r="EG755" s="105"/>
      <c r="EQ755" s="134"/>
    </row>
    <row r="756" spans="43:147" ht="13.2">
      <c r="AQ756" s="158"/>
      <c r="BL756" s="134"/>
      <c r="CN756" s="105"/>
      <c r="CO756" s="105"/>
      <c r="CQ756" s="105"/>
      <c r="EC756" s="86"/>
      <c r="EG756" s="105"/>
      <c r="EQ756" s="134"/>
    </row>
    <row r="757" spans="43:147" ht="13.2">
      <c r="AQ757" s="158"/>
      <c r="BL757" s="134"/>
      <c r="CN757" s="105"/>
      <c r="CO757" s="105"/>
      <c r="CQ757" s="105"/>
      <c r="EC757" s="86"/>
      <c r="EG757" s="105"/>
      <c r="EQ757" s="134"/>
    </row>
    <row r="758" spans="43:147" ht="13.2">
      <c r="AQ758" s="158"/>
      <c r="BL758" s="134"/>
      <c r="CN758" s="105"/>
      <c r="CO758" s="105"/>
      <c r="CQ758" s="105"/>
      <c r="EC758" s="86"/>
      <c r="EG758" s="105"/>
      <c r="EQ758" s="134"/>
    </row>
    <row r="759" spans="43:147" ht="13.2">
      <c r="AQ759" s="158"/>
      <c r="BL759" s="134"/>
      <c r="CN759" s="105"/>
      <c r="CO759" s="105"/>
      <c r="CQ759" s="105"/>
      <c r="EC759" s="86"/>
      <c r="EG759" s="105"/>
      <c r="EQ759" s="134"/>
    </row>
    <row r="760" spans="43:147" ht="13.2">
      <c r="AQ760" s="158"/>
      <c r="BL760" s="134"/>
      <c r="CN760" s="105"/>
      <c r="CO760" s="105"/>
      <c r="CQ760" s="105"/>
      <c r="EC760" s="86"/>
      <c r="EG760" s="105"/>
      <c r="EQ760" s="134"/>
    </row>
    <row r="761" spans="43:147" ht="13.2">
      <c r="AQ761" s="158"/>
      <c r="BL761" s="134"/>
      <c r="CN761" s="105"/>
      <c r="CO761" s="105"/>
      <c r="CQ761" s="105"/>
      <c r="EC761" s="86"/>
      <c r="EG761" s="105"/>
      <c r="EQ761" s="134"/>
    </row>
    <row r="762" spans="43:147" ht="13.2">
      <c r="AQ762" s="158"/>
      <c r="BL762" s="134"/>
      <c r="CN762" s="105"/>
      <c r="CO762" s="105"/>
      <c r="CQ762" s="105"/>
      <c r="EC762" s="86"/>
      <c r="EG762" s="105"/>
      <c r="EQ762" s="134"/>
    </row>
    <row r="763" spans="43:147" ht="13.2">
      <c r="AQ763" s="158"/>
      <c r="BL763" s="134"/>
      <c r="CN763" s="105"/>
      <c r="CO763" s="105"/>
      <c r="CQ763" s="105"/>
      <c r="EC763" s="86"/>
      <c r="EG763" s="105"/>
      <c r="EQ763" s="134"/>
    </row>
    <row r="764" spans="43:147" ht="13.2">
      <c r="AQ764" s="158"/>
      <c r="BL764" s="134"/>
      <c r="CN764" s="105"/>
      <c r="CO764" s="105"/>
      <c r="CQ764" s="105"/>
      <c r="EC764" s="86"/>
      <c r="EG764" s="105"/>
      <c r="EQ764" s="134"/>
    </row>
    <row r="765" spans="43:147" ht="13.2">
      <c r="AQ765" s="158"/>
      <c r="BL765" s="134"/>
      <c r="CN765" s="105"/>
      <c r="CO765" s="105"/>
      <c r="CQ765" s="105"/>
      <c r="EC765" s="86"/>
      <c r="EG765" s="105"/>
      <c r="EQ765" s="134"/>
    </row>
    <row r="766" spans="43:147" ht="13.2">
      <c r="AQ766" s="158"/>
      <c r="BL766" s="134"/>
      <c r="CN766" s="105"/>
      <c r="CO766" s="105"/>
      <c r="CQ766" s="105"/>
      <c r="EC766" s="86"/>
      <c r="EG766" s="105"/>
      <c r="EQ766" s="134"/>
    </row>
    <row r="767" spans="43:147" ht="13.2">
      <c r="AQ767" s="158"/>
      <c r="BL767" s="134"/>
      <c r="CN767" s="105"/>
      <c r="CO767" s="105"/>
      <c r="CQ767" s="105"/>
      <c r="EC767" s="86"/>
      <c r="EG767" s="105"/>
      <c r="EQ767" s="134"/>
    </row>
    <row r="768" spans="43:147" ht="13.2">
      <c r="AQ768" s="158"/>
      <c r="BL768" s="134"/>
      <c r="CN768" s="105"/>
      <c r="CO768" s="105"/>
      <c r="CQ768" s="105"/>
      <c r="EC768" s="86"/>
      <c r="EG768" s="105"/>
      <c r="EQ768" s="134"/>
    </row>
    <row r="769" spans="43:147" ht="13.2">
      <c r="AQ769" s="158"/>
      <c r="BL769" s="134"/>
      <c r="CN769" s="105"/>
      <c r="CO769" s="105"/>
      <c r="CQ769" s="105"/>
      <c r="EC769" s="86"/>
      <c r="EG769" s="105"/>
      <c r="EQ769" s="134"/>
    </row>
    <row r="770" spans="43:147" ht="13.2">
      <c r="AQ770" s="158"/>
      <c r="BL770" s="134"/>
      <c r="CN770" s="105"/>
      <c r="CO770" s="105"/>
      <c r="CQ770" s="105"/>
      <c r="EC770" s="86"/>
      <c r="EG770" s="105"/>
      <c r="EQ770" s="134"/>
    </row>
    <row r="771" spans="43:147" ht="13.2">
      <c r="AQ771" s="158"/>
      <c r="BL771" s="134"/>
      <c r="CN771" s="105"/>
      <c r="CO771" s="105"/>
      <c r="CQ771" s="105"/>
      <c r="EC771" s="86"/>
      <c r="EG771" s="105"/>
      <c r="EQ771" s="134"/>
    </row>
    <row r="772" spans="43:147" ht="13.2">
      <c r="AQ772" s="158"/>
      <c r="BL772" s="134"/>
      <c r="CN772" s="105"/>
      <c r="CO772" s="105"/>
      <c r="CQ772" s="105"/>
      <c r="EC772" s="86"/>
      <c r="EG772" s="105"/>
      <c r="EQ772" s="134"/>
    </row>
    <row r="773" spans="43:147" ht="13.2">
      <c r="AQ773" s="158"/>
      <c r="BL773" s="134"/>
      <c r="CN773" s="105"/>
      <c r="CO773" s="105"/>
      <c r="CQ773" s="105"/>
      <c r="EC773" s="86"/>
      <c r="EG773" s="105"/>
      <c r="EQ773" s="134"/>
    </row>
    <row r="774" spans="43:147" ht="13.2">
      <c r="AQ774" s="158"/>
      <c r="BL774" s="134"/>
      <c r="CN774" s="105"/>
      <c r="CO774" s="105"/>
      <c r="CQ774" s="105"/>
      <c r="EC774" s="86"/>
      <c r="EG774" s="105"/>
      <c r="EQ774" s="134"/>
    </row>
    <row r="775" spans="43:147" ht="13.2">
      <c r="AQ775" s="158"/>
      <c r="BL775" s="134"/>
      <c r="CN775" s="105"/>
      <c r="CO775" s="105"/>
      <c r="CQ775" s="105"/>
      <c r="EC775" s="86"/>
      <c r="EG775" s="105"/>
      <c r="EQ775" s="134"/>
    </row>
    <row r="776" spans="43:147" ht="13.2">
      <c r="AQ776" s="158"/>
      <c r="BL776" s="134"/>
      <c r="CN776" s="105"/>
      <c r="CO776" s="105"/>
      <c r="CQ776" s="105"/>
      <c r="EC776" s="86"/>
      <c r="EG776" s="105"/>
      <c r="EQ776" s="134"/>
    </row>
    <row r="777" spans="43:147" ht="13.2">
      <c r="AQ777" s="158"/>
      <c r="BL777" s="134"/>
      <c r="CN777" s="105"/>
      <c r="CO777" s="105"/>
      <c r="CQ777" s="105"/>
      <c r="EC777" s="86"/>
      <c r="EG777" s="105"/>
      <c r="EQ777" s="134"/>
    </row>
    <row r="778" spans="43:147" ht="13.2">
      <c r="AQ778" s="158"/>
      <c r="BL778" s="134"/>
      <c r="CN778" s="105"/>
      <c r="CO778" s="105"/>
      <c r="CQ778" s="105"/>
      <c r="EC778" s="86"/>
      <c r="EG778" s="105"/>
      <c r="EQ778" s="134"/>
    </row>
    <row r="779" spans="43:147" ht="13.2">
      <c r="AQ779" s="158"/>
      <c r="BL779" s="134"/>
      <c r="CN779" s="105"/>
      <c r="CO779" s="105"/>
      <c r="CQ779" s="105"/>
      <c r="EC779" s="86"/>
      <c r="EG779" s="105"/>
      <c r="EQ779" s="134"/>
    </row>
    <row r="780" spans="43:147" ht="13.2">
      <c r="AQ780" s="158"/>
      <c r="BL780" s="134"/>
      <c r="CN780" s="105"/>
      <c r="CO780" s="105"/>
      <c r="CQ780" s="105"/>
      <c r="EC780" s="86"/>
      <c r="EG780" s="105"/>
      <c r="EQ780" s="134"/>
    </row>
    <row r="781" spans="43:147" ht="13.2">
      <c r="AQ781" s="158"/>
      <c r="BL781" s="134"/>
      <c r="CN781" s="105"/>
      <c r="CO781" s="105"/>
      <c r="CQ781" s="105"/>
      <c r="EC781" s="86"/>
      <c r="EG781" s="105"/>
      <c r="EQ781" s="134"/>
    </row>
    <row r="782" spans="43:147" ht="13.2">
      <c r="AQ782" s="158"/>
      <c r="BL782" s="134"/>
      <c r="CN782" s="105"/>
      <c r="CO782" s="105"/>
      <c r="CQ782" s="105"/>
      <c r="EC782" s="86"/>
      <c r="EG782" s="105"/>
      <c r="EQ782" s="134"/>
    </row>
    <row r="783" spans="43:147" ht="13.2">
      <c r="AQ783" s="158"/>
      <c r="BL783" s="134"/>
      <c r="CN783" s="105"/>
      <c r="CO783" s="105"/>
      <c r="CQ783" s="105"/>
      <c r="EC783" s="86"/>
      <c r="EG783" s="105"/>
      <c r="EQ783" s="134"/>
    </row>
    <row r="784" spans="43:147" ht="13.2">
      <c r="AQ784" s="158"/>
      <c r="BL784" s="134"/>
      <c r="CN784" s="105"/>
      <c r="CO784" s="105"/>
      <c r="CQ784" s="105"/>
      <c r="EC784" s="86"/>
      <c r="EG784" s="105"/>
      <c r="EQ784" s="134"/>
    </row>
    <row r="785" spans="43:147" ht="13.2">
      <c r="AQ785" s="158"/>
      <c r="BL785" s="134"/>
      <c r="CN785" s="105"/>
      <c r="CO785" s="105"/>
      <c r="CQ785" s="105"/>
      <c r="EC785" s="86"/>
      <c r="EG785" s="105"/>
      <c r="EQ785" s="134"/>
    </row>
    <row r="786" spans="43:147" ht="13.2">
      <c r="AQ786" s="158"/>
      <c r="BL786" s="134"/>
      <c r="CN786" s="105"/>
      <c r="CO786" s="105"/>
      <c r="CQ786" s="105"/>
      <c r="EC786" s="86"/>
      <c r="EG786" s="105"/>
      <c r="EQ786" s="134"/>
    </row>
    <row r="787" spans="43:147" ht="13.2">
      <c r="AQ787" s="158"/>
      <c r="BL787" s="134"/>
      <c r="CN787" s="105"/>
      <c r="CO787" s="105"/>
      <c r="CQ787" s="105"/>
      <c r="EC787" s="86"/>
      <c r="EG787" s="105"/>
      <c r="EQ787" s="134"/>
    </row>
    <row r="788" spans="43:147" ht="13.2">
      <c r="AQ788" s="158"/>
      <c r="BL788" s="134"/>
      <c r="CN788" s="105"/>
      <c r="CO788" s="105"/>
      <c r="CQ788" s="105"/>
      <c r="EC788" s="86"/>
      <c r="EG788" s="105"/>
      <c r="EQ788" s="134"/>
    </row>
    <row r="789" spans="43:147" ht="13.2">
      <c r="AQ789" s="158"/>
      <c r="BL789" s="134"/>
      <c r="CN789" s="105"/>
      <c r="CO789" s="105"/>
      <c r="CQ789" s="105"/>
      <c r="EC789" s="86"/>
      <c r="EG789" s="105"/>
      <c r="EQ789" s="134"/>
    </row>
    <row r="790" spans="43:147" ht="13.2">
      <c r="AQ790" s="158"/>
      <c r="BL790" s="134"/>
      <c r="CN790" s="105"/>
      <c r="CO790" s="105"/>
      <c r="CQ790" s="105"/>
      <c r="EC790" s="86"/>
      <c r="EG790" s="105"/>
      <c r="EQ790" s="134"/>
    </row>
    <row r="791" spans="43:147" ht="13.2">
      <c r="AQ791" s="158"/>
      <c r="BL791" s="134"/>
      <c r="CN791" s="105"/>
      <c r="CO791" s="105"/>
      <c r="CQ791" s="105"/>
      <c r="EC791" s="86"/>
      <c r="EG791" s="105"/>
      <c r="EQ791" s="134"/>
    </row>
    <row r="792" spans="43:147" ht="13.2">
      <c r="AQ792" s="158"/>
      <c r="BL792" s="134"/>
      <c r="CN792" s="105"/>
      <c r="CO792" s="105"/>
      <c r="CQ792" s="105"/>
      <c r="EC792" s="86"/>
      <c r="EG792" s="105"/>
      <c r="EQ792" s="134"/>
    </row>
    <row r="793" spans="43:147" ht="13.2">
      <c r="AQ793" s="158"/>
      <c r="BL793" s="134"/>
      <c r="CN793" s="105"/>
      <c r="CO793" s="105"/>
      <c r="CQ793" s="105"/>
      <c r="EC793" s="86"/>
      <c r="EG793" s="105"/>
      <c r="EQ793" s="134"/>
    </row>
    <row r="794" spans="43:147" ht="13.2">
      <c r="AQ794" s="158"/>
      <c r="BL794" s="134"/>
      <c r="CN794" s="105"/>
      <c r="CO794" s="105"/>
      <c r="CQ794" s="105"/>
      <c r="EC794" s="86"/>
      <c r="EG794" s="105"/>
      <c r="EQ794" s="134"/>
    </row>
    <row r="795" spans="43:147" ht="13.2">
      <c r="AQ795" s="158"/>
      <c r="BL795" s="134"/>
      <c r="CN795" s="105"/>
      <c r="CO795" s="105"/>
      <c r="CQ795" s="105"/>
      <c r="EC795" s="86"/>
      <c r="EG795" s="105"/>
      <c r="EQ795" s="134"/>
    </row>
    <row r="796" spans="43:147" ht="13.2">
      <c r="AQ796" s="158"/>
      <c r="BL796" s="134"/>
      <c r="CN796" s="105"/>
      <c r="CO796" s="105"/>
      <c r="CQ796" s="105"/>
      <c r="EC796" s="86"/>
      <c r="EG796" s="105"/>
      <c r="EQ796" s="134"/>
    </row>
    <row r="797" spans="43:147" ht="13.2">
      <c r="AQ797" s="158"/>
      <c r="BL797" s="134"/>
      <c r="CN797" s="105"/>
      <c r="CO797" s="105"/>
      <c r="CQ797" s="105"/>
      <c r="EC797" s="86"/>
      <c r="EG797" s="105"/>
      <c r="EQ797" s="134"/>
    </row>
    <row r="798" spans="43:147" ht="13.2">
      <c r="AQ798" s="158"/>
      <c r="BL798" s="134"/>
      <c r="CN798" s="105"/>
      <c r="CO798" s="105"/>
      <c r="CQ798" s="105"/>
      <c r="EC798" s="86"/>
      <c r="EG798" s="105"/>
      <c r="EQ798" s="134"/>
    </row>
    <row r="799" spans="43:147" ht="13.2">
      <c r="AQ799" s="158"/>
      <c r="BL799" s="134"/>
      <c r="CN799" s="105"/>
      <c r="CO799" s="105"/>
      <c r="CQ799" s="105"/>
      <c r="EC799" s="86"/>
      <c r="EG799" s="105"/>
      <c r="EQ799" s="134"/>
    </row>
    <row r="800" spans="43:147" ht="13.2">
      <c r="AQ800" s="158"/>
      <c r="BL800" s="134"/>
      <c r="CN800" s="105"/>
      <c r="CO800" s="105"/>
      <c r="CQ800" s="105"/>
      <c r="EC800" s="86"/>
      <c r="EG800" s="105"/>
      <c r="EQ800" s="134"/>
    </row>
    <row r="801" spans="43:147" ht="13.2">
      <c r="AQ801" s="158"/>
      <c r="BL801" s="134"/>
      <c r="CN801" s="105"/>
      <c r="CO801" s="105"/>
      <c r="CQ801" s="105"/>
      <c r="EC801" s="86"/>
      <c r="EG801" s="105"/>
      <c r="EQ801" s="134"/>
    </row>
    <row r="802" spans="43:147" ht="13.2">
      <c r="AQ802" s="158"/>
      <c r="BL802" s="134"/>
      <c r="CN802" s="105"/>
      <c r="CO802" s="105"/>
      <c r="CQ802" s="105"/>
      <c r="EC802" s="86"/>
      <c r="EG802" s="105"/>
      <c r="EQ802" s="134"/>
    </row>
    <row r="803" spans="43:147" ht="13.2">
      <c r="AQ803" s="158"/>
      <c r="BL803" s="134"/>
      <c r="CN803" s="105"/>
      <c r="CO803" s="105"/>
      <c r="CQ803" s="105"/>
      <c r="EC803" s="86"/>
      <c r="EG803" s="105"/>
      <c r="EQ803" s="134"/>
    </row>
    <row r="804" spans="43:147" ht="13.2">
      <c r="AQ804" s="158"/>
      <c r="BL804" s="134"/>
      <c r="CN804" s="105"/>
      <c r="CO804" s="105"/>
      <c r="CQ804" s="105"/>
      <c r="EC804" s="86"/>
      <c r="EG804" s="105"/>
      <c r="EQ804" s="134"/>
    </row>
    <row r="805" spans="43:147" ht="13.2">
      <c r="AQ805" s="158"/>
      <c r="BL805" s="134"/>
      <c r="CN805" s="105"/>
      <c r="CO805" s="105"/>
      <c r="CQ805" s="105"/>
      <c r="EC805" s="86"/>
      <c r="EG805" s="105"/>
      <c r="EQ805" s="134"/>
    </row>
    <row r="806" spans="43:147" ht="13.2">
      <c r="AQ806" s="158"/>
      <c r="BL806" s="134"/>
      <c r="CN806" s="105"/>
      <c r="CO806" s="105"/>
      <c r="CQ806" s="105"/>
      <c r="EC806" s="86"/>
      <c r="EG806" s="105"/>
      <c r="EQ806" s="134"/>
    </row>
    <row r="807" spans="43:147" ht="13.2">
      <c r="AQ807" s="158"/>
      <c r="BL807" s="134"/>
      <c r="CN807" s="105"/>
      <c r="CO807" s="105"/>
      <c r="CQ807" s="105"/>
      <c r="EC807" s="86"/>
      <c r="EG807" s="105"/>
      <c r="EQ807" s="134"/>
    </row>
    <row r="808" spans="43:147" ht="13.2">
      <c r="AQ808" s="158"/>
      <c r="BL808" s="134"/>
      <c r="CN808" s="105"/>
      <c r="CO808" s="105"/>
      <c r="CQ808" s="105"/>
      <c r="EC808" s="86"/>
      <c r="EG808" s="105"/>
      <c r="EQ808" s="134"/>
    </row>
    <row r="809" spans="43:147" ht="13.2">
      <c r="AQ809" s="158"/>
      <c r="BL809" s="134"/>
      <c r="CN809" s="105"/>
      <c r="CO809" s="105"/>
      <c r="CQ809" s="105"/>
      <c r="EC809" s="86"/>
      <c r="EG809" s="105"/>
      <c r="EQ809" s="134"/>
    </row>
    <row r="810" spans="43:147" ht="13.2">
      <c r="AQ810" s="158"/>
      <c r="BL810" s="134"/>
      <c r="CN810" s="105"/>
      <c r="CO810" s="105"/>
      <c r="CQ810" s="105"/>
      <c r="EC810" s="86"/>
      <c r="EG810" s="105"/>
      <c r="EQ810" s="134"/>
    </row>
    <row r="811" spans="43:147" ht="13.2">
      <c r="AQ811" s="158"/>
      <c r="BL811" s="134"/>
      <c r="CN811" s="105"/>
      <c r="CO811" s="105"/>
      <c r="CQ811" s="105"/>
      <c r="EC811" s="86"/>
      <c r="EG811" s="105"/>
      <c r="EQ811" s="134"/>
    </row>
    <row r="812" spans="43:147" ht="13.2">
      <c r="AQ812" s="158"/>
      <c r="BL812" s="134"/>
      <c r="CN812" s="105"/>
      <c r="CO812" s="105"/>
      <c r="CQ812" s="105"/>
      <c r="EC812" s="86"/>
      <c r="EG812" s="105"/>
      <c r="EQ812" s="134"/>
    </row>
    <row r="813" spans="43:147" ht="13.2">
      <c r="AQ813" s="158"/>
      <c r="BL813" s="134"/>
      <c r="CN813" s="105"/>
      <c r="CO813" s="105"/>
      <c r="CQ813" s="105"/>
      <c r="EC813" s="86"/>
      <c r="EG813" s="105"/>
      <c r="EQ813" s="134"/>
    </row>
    <row r="814" spans="43:147" ht="13.2">
      <c r="AQ814" s="158"/>
      <c r="BL814" s="134"/>
      <c r="CN814" s="105"/>
      <c r="CO814" s="105"/>
      <c r="CQ814" s="105"/>
      <c r="EC814" s="86"/>
      <c r="EG814" s="105"/>
      <c r="EQ814" s="134"/>
    </row>
    <row r="815" spans="43:147" ht="13.2">
      <c r="AQ815" s="158"/>
      <c r="BL815" s="134"/>
      <c r="CN815" s="105"/>
      <c r="CO815" s="105"/>
      <c r="CQ815" s="105"/>
      <c r="EC815" s="86"/>
      <c r="EG815" s="105"/>
      <c r="EQ815" s="134"/>
    </row>
    <row r="816" spans="43:147" ht="13.2">
      <c r="AQ816" s="158"/>
      <c r="BL816" s="134"/>
      <c r="CN816" s="105"/>
      <c r="CO816" s="105"/>
      <c r="CQ816" s="105"/>
      <c r="EC816" s="86"/>
      <c r="EG816" s="105"/>
      <c r="EQ816" s="134"/>
    </row>
    <row r="817" spans="43:147" ht="13.2">
      <c r="AQ817" s="158"/>
      <c r="BL817" s="134"/>
      <c r="CN817" s="105"/>
      <c r="CO817" s="105"/>
      <c r="CQ817" s="105"/>
      <c r="EC817" s="86"/>
      <c r="EG817" s="105"/>
      <c r="EQ817" s="134"/>
    </row>
    <row r="818" spans="43:147" ht="13.2">
      <c r="AQ818" s="158"/>
      <c r="BL818" s="134"/>
      <c r="CN818" s="105"/>
      <c r="CO818" s="105"/>
      <c r="CQ818" s="105"/>
      <c r="EC818" s="86"/>
      <c r="EG818" s="105"/>
      <c r="EQ818" s="134"/>
    </row>
    <row r="819" spans="43:147" ht="13.2">
      <c r="AQ819" s="158"/>
      <c r="BL819" s="134"/>
      <c r="CN819" s="105"/>
      <c r="CO819" s="105"/>
      <c r="CQ819" s="105"/>
      <c r="EC819" s="86"/>
      <c r="EG819" s="105"/>
      <c r="EQ819" s="134"/>
    </row>
    <row r="820" spans="43:147" ht="13.2">
      <c r="AQ820" s="158"/>
      <c r="BL820" s="134"/>
      <c r="CN820" s="105"/>
      <c r="CO820" s="105"/>
      <c r="CQ820" s="105"/>
      <c r="EC820" s="86"/>
      <c r="EG820" s="105"/>
      <c r="EQ820" s="134"/>
    </row>
    <row r="821" spans="43:147" ht="13.2">
      <c r="AQ821" s="158"/>
      <c r="BL821" s="134"/>
      <c r="CN821" s="105"/>
      <c r="CO821" s="105"/>
      <c r="CQ821" s="105"/>
      <c r="EC821" s="86"/>
      <c r="EG821" s="105"/>
      <c r="EQ821" s="134"/>
    </row>
    <row r="822" spans="43:147" ht="13.2">
      <c r="AQ822" s="158"/>
      <c r="BL822" s="134"/>
      <c r="CN822" s="105"/>
      <c r="CO822" s="105"/>
      <c r="CQ822" s="105"/>
      <c r="EC822" s="86"/>
      <c r="EG822" s="105"/>
      <c r="EQ822" s="134"/>
    </row>
    <row r="823" spans="43:147" ht="13.2">
      <c r="AQ823" s="158"/>
      <c r="BL823" s="134"/>
      <c r="CN823" s="105"/>
      <c r="CO823" s="105"/>
      <c r="CQ823" s="105"/>
      <c r="EC823" s="86"/>
      <c r="EG823" s="105"/>
      <c r="EQ823" s="134"/>
    </row>
    <row r="824" spans="43:147" ht="13.2">
      <c r="AQ824" s="158"/>
      <c r="BL824" s="134"/>
      <c r="CN824" s="105"/>
      <c r="CO824" s="105"/>
      <c r="CQ824" s="105"/>
      <c r="EC824" s="86"/>
      <c r="EG824" s="105"/>
      <c r="EQ824" s="134"/>
    </row>
    <row r="825" spans="43:147" ht="13.2">
      <c r="AQ825" s="158"/>
      <c r="BL825" s="134"/>
      <c r="CN825" s="105"/>
      <c r="CO825" s="105"/>
      <c r="CQ825" s="105"/>
      <c r="EC825" s="86"/>
      <c r="EG825" s="105"/>
      <c r="EQ825" s="134"/>
    </row>
    <row r="826" spans="43:147" ht="13.2">
      <c r="AQ826" s="158"/>
      <c r="BL826" s="134"/>
      <c r="CN826" s="105"/>
      <c r="CO826" s="105"/>
      <c r="CQ826" s="105"/>
      <c r="EC826" s="86"/>
      <c r="EG826" s="105"/>
      <c r="EQ826" s="134"/>
    </row>
    <row r="827" spans="43:147" ht="13.2">
      <c r="AQ827" s="158"/>
      <c r="BL827" s="134"/>
      <c r="CN827" s="105"/>
      <c r="CO827" s="105"/>
      <c r="CQ827" s="105"/>
      <c r="EC827" s="86"/>
      <c r="EG827" s="105"/>
      <c r="EQ827" s="134"/>
    </row>
    <row r="828" spans="43:147" ht="13.2">
      <c r="AQ828" s="158"/>
      <c r="BL828" s="134"/>
      <c r="CN828" s="105"/>
      <c r="CO828" s="105"/>
      <c r="CQ828" s="105"/>
      <c r="EC828" s="86"/>
      <c r="EG828" s="105"/>
      <c r="EQ828" s="134"/>
    </row>
    <row r="829" spans="43:147" ht="13.2">
      <c r="AQ829" s="158"/>
      <c r="BL829" s="134"/>
      <c r="CN829" s="105"/>
      <c r="CO829" s="105"/>
      <c r="CQ829" s="105"/>
      <c r="EC829" s="86"/>
      <c r="EG829" s="105"/>
      <c r="EQ829" s="134"/>
    </row>
    <row r="830" spans="43:147" ht="13.2">
      <c r="AQ830" s="158"/>
      <c r="BL830" s="134"/>
      <c r="CN830" s="105"/>
      <c r="CO830" s="105"/>
      <c r="CQ830" s="105"/>
      <c r="EC830" s="86"/>
      <c r="EG830" s="105"/>
      <c r="EQ830" s="134"/>
    </row>
    <row r="831" spans="43:147" ht="13.2">
      <c r="AQ831" s="158"/>
      <c r="BL831" s="134"/>
      <c r="CN831" s="105"/>
      <c r="CO831" s="105"/>
      <c r="CQ831" s="105"/>
      <c r="EC831" s="86"/>
      <c r="EG831" s="105"/>
      <c r="EQ831" s="134"/>
    </row>
    <row r="832" spans="43:147" ht="13.2">
      <c r="AQ832" s="158"/>
      <c r="BL832" s="134"/>
      <c r="CN832" s="105"/>
      <c r="CO832" s="105"/>
      <c r="CQ832" s="105"/>
      <c r="EC832" s="86"/>
      <c r="EG832" s="105"/>
      <c r="EQ832" s="134"/>
    </row>
    <row r="833" spans="43:147" ht="13.2">
      <c r="AQ833" s="158"/>
      <c r="BL833" s="134"/>
      <c r="CN833" s="105"/>
      <c r="CO833" s="105"/>
      <c r="CQ833" s="105"/>
      <c r="EC833" s="86"/>
      <c r="EG833" s="105"/>
      <c r="EQ833" s="134"/>
    </row>
    <row r="834" spans="43:147" ht="13.2">
      <c r="AQ834" s="158"/>
      <c r="BL834" s="134"/>
      <c r="CN834" s="105"/>
      <c r="CO834" s="105"/>
      <c r="CQ834" s="105"/>
      <c r="EC834" s="86"/>
      <c r="EG834" s="105"/>
      <c r="EQ834" s="134"/>
    </row>
    <row r="835" spans="43:147" ht="13.2">
      <c r="AQ835" s="158"/>
      <c r="BL835" s="134"/>
      <c r="CN835" s="105"/>
      <c r="CO835" s="105"/>
      <c r="CQ835" s="105"/>
      <c r="EC835" s="86"/>
      <c r="EG835" s="105"/>
      <c r="EQ835" s="134"/>
    </row>
    <row r="836" spans="43:147" ht="13.2">
      <c r="AQ836" s="158"/>
      <c r="BL836" s="134"/>
      <c r="CN836" s="105"/>
      <c r="CO836" s="105"/>
      <c r="CQ836" s="105"/>
      <c r="EC836" s="86"/>
      <c r="EG836" s="105"/>
      <c r="EQ836" s="134"/>
    </row>
    <row r="837" spans="43:147" ht="13.2">
      <c r="AQ837" s="158"/>
      <c r="BL837" s="134"/>
      <c r="CN837" s="105"/>
      <c r="CO837" s="105"/>
      <c r="CQ837" s="105"/>
      <c r="EC837" s="86"/>
      <c r="EG837" s="105"/>
      <c r="EQ837" s="134"/>
    </row>
    <row r="838" spans="43:147" ht="13.2">
      <c r="AQ838" s="158"/>
      <c r="BL838" s="134"/>
      <c r="CN838" s="105"/>
      <c r="CO838" s="105"/>
      <c r="CQ838" s="105"/>
      <c r="EC838" s="86"/>
      <c r="EG838" s="105"/>
      <c r="EQ838" s="134"/>
    </row>
    <row r="839" spans="43:147" ht="13.2">
      <c r="AQ839" s="158"/>
      <c r="BL839" s="134"/>
      <c r="CN839" s="105"/>
      <c r="CO839" s="105"/>
      <c r="CQ839" s="105"/>
      <c r="EC839" s="86"/>
      <c r="EG839" s="105"/>
      <c r="EQ839" s="134"/>
    </row>
    <row r="840" spans="43:147" ht="13.2">
      <c r="AQ840" s="158"/>
      <c r="BL840" s="134"/>
      <c r="CN840" s="105"/>
      <c r="CO840" s="105"/>
      <c r="CQ840" s="105"/>
      <c r="EC840" s="86"/>
      <c r="EG840" s="105"/>
      <c r="EQ840" s="134"/>
    </row>
    <row r="841" spans="43:147" ht="13.2">
      <c r="AQ841" s="158"/>
      <c r="BL841" s="134"/>
      <c r="CN841" s="105"/>
      <c r="CO841" s="105"/>
      <c r="CQ841" s="105"/>
      <c r="EC841" s="86"/>
      <c r="EG841" s="105"/>
      <c r="EQ841" s="134"/>
    </row>
    <row r="842" spans="43:147" ht="13.2">
      <c r="AQ842" s="158"/>
      <c r="BL842" s="134"/>
      <c r="CN842" s="105"/>
      <c r="CO842" s="105"/>
      <c r="CQ842" s="105"/>
      <c r="EC842" s="86"/>
      <c r="EG842" s="105"/>
      <c r="EQ842" s="134"/>
    </row>
    <row r="843" spans="43:147" ht="13.2">
      <c r="AQ843" s="158"/>
      <c r="BL843" s="134"/>
      <c r="CN843" s="105"/>
      <c r="CO843" s="105"/>
      <c r="CQ843" s="105"/>
      <c r="EC843" s="86"/>
      <c r="EG843" s="105"/>
      <c r="EQ843" s="134"/>
    </row>
    <row r="844" spans="43:147" ht="13.2">
      <c r="AQ844" s="158"/>
      <c r="BL844" s="134"/>
      <c r="CN844" s="105"/>
      <c r="CO844" s="105"/>
      <c r="CQ844" s="105"/>
      <c r="EC844" s="86"/>
      <c r="EG844" s="105"/>
      <c r="EQ844" s="134"/>
    </row>
    <row r="845" spans="43:147" ht="13.2">
      <c r="AQ845" s="158"/>
      <c r="BL845" s="134"/>
      <c r="CN845" s="105"/>
      <c r="CO845" s="105"/>
      <c r="CQ845" s="105"/>
      <c r="EC845" s="86"/>
      <c r="EG845" s="105"/>
      <c r="EQ845" s="134"/>
    </row>
    <row r="846" spans="43:147" ht="13.2">
      <c r="AQ846" s="158"/>
      <c r="BL846" s="134"/>
      <c r="CN846" s="105"/>
      <c r="CO846" s="105"/>
      <c r="CQ846" s="105"/>
      <c r="EC846" s="86"/>
      <c r="EG846" s="105"/>
      <c r="EQ846" s="134"/>
    </row>
    <row r="847" spans="43:147" ht="13.2">
      <c r="AQ847" s="158"/>
      <c r="BL847" s="134"/>
      <c r="CN847" s="105"/>
      <c r="CO847" s="105"/>
      <c r="CQ847" s="105"/>
      <c r="EC847" s="86"/>
      <c r="EG847" s="105"/>
      <c r="EQ847" s="134"/>
    </row>
    <row r="848" spans="43:147" ht="13.2">
      <c r="AQ848" s="158"/>
      <c r="BL848" s="134"/>
      <c r="CN848" s="105"/>
      <c r="CO848" s="105"/>
      <c r="CQ848" s="105"/>
      <c r="EC848" s="86"/>
      <c r="EG848" s="105"/>
      <c r="EQ848" s="134"/>
    </row>
    <row r="849" spans="43:147" ht="13.2">
      <c r="AQ849" s="158"/>
      <c r="BL849" s="134"/>
      <c r="CN849" s="105"/>
      <c r="CO849" s="105"/>
      <c r="CQ849" s="105"/>
      <c r="EC849" s="86"/>
      <c r="EG849" s="105"/>
      <c r="EQ849" s="134"/>
    </row>
    <row r="850" spans="43:147" ht="13.2">
      <c r="AQ850" s="158"/>
      <c r="BL850" s="134"/>
      <c r="CN850" s="105"/>
      <c r="CO850" s="105"/>
      <c r="CQ850" s="105"/>
      <c r="EC850" s="86"/>
      <c r="EG850" s="105"/>
      <c r="EQ850" s="134"/>
    </row>
    <row r="851" spans="43:147" ht="13.2">
      <c r="AQ851" s="158"/>
      <c r="BL851" s="134"/>
      <c r="CN851" s="105"/>
      <c r="CO851" s="105"/>
      <c r="CQ851" s="105"/>
      <c r="EC851" s="86"/>
      <c r="EG851" s="105"/>
      <c r="EQ851" s="134"/>
    </row>
    <row r="852" spans="43:147" ht="13.2">
      <c r="AQ852" s="158"/>
      <c r="BL852" s="134"/>
      <c r="CN852" s="105"/>
      <c r="CO852" s="105"/>
      <c r="CQ852" s="105"/>
      <c r="EC852" s="86"/>
      <c r="EG852" s="105"/>
      <c r="EQ852" s="134"/>
    </row>
    <row r="853" spans="43:147" ht="13.2">
      <c r="AQ853" s="158"/>
      <c r="BL853" s="134"/>
      <c r="CN853" s="105"/>
      <c r="CO853" s="105"/>
      <c r="CQ853" s="105"/>
      <c r="EC853" s="86"/>
      <c r="EG853" s="105"/>
      <c r="EQ853" s="134"/>
    </row>
    <row r="854" spans="43:147" ht="13.2">
      <c r="AQ854" s="158"/>
      <c r="BL854" s="134"/>
      <c r="CN854" s="105"/>
      <c r="CO854" s="105"/>
      <c r="CQ854" s="105"/>
      <c r="EC854" s="86"/>
      <c r="EG854" s="105"/>
      <c r="EQ854" s="134"/>
    </row>
    <row r="855" spans="43:147" ht="13.2">
      <c r="AQ855" s="158"/>
      <c r="BL855" s="134"/>
      <c r="CN855" s="105"/>
      <c r="CO855" s="105"/>
      <c r="CQ855" s="105"/>
      <c r="EC855" s="86"/>
      <c r="EG855" s="105"/>
      <c r="EQ855" s="134"/>
    </row>
    <row r="856" spans="43:147" ht="13.2">
      <c r="AQ856" s="158"/>
      <c r="BL856" s="134"/>
      <c r="CN856" s="105"/>
      <c r="CO856" s="105"/>
      <c r="CQ856" s="105"/>
      <c r="EC856" s="86"/>
      <c r="EG856" s="105"/>
      <c r="EQ856" s="134"/>
    </row>
    <row r="857" spans="43:147" ht="13.2">
      <c r="AQ857" s="158"/>
      <c r="BL857" s="134"/>
      <c r="CN857" s="105"/>
      <c r="CO857" s="105"/>
      <c r="CQ857" s="105"/>
      <c r="EC857" s="86"/>
      <c r="EG857" s="105"/>
      <c r="EQ857" s="134"/>
    </row>
    <row r="858" spans="43:147" ht="13.2">
      <c r="AQ858" s="158"/>
      <c r="BL858" s="134"/>
      <c r="CN858" s="105"/>
      <c r="CO858" s="105"/>
      <c r="CQ858" s="105"/>
      <c r="EC858" s="86"/>
      <c r="EG858" s="105"/>
      <c r="EQ858" s="134"/>
    </row>
    <row r="859" spans="43:147" ht="13.2">
      <c r="AQ859" s="158"/>
      <c r="BL859" s="134"/>
      <c r="CN859" s="105"/>
      <c r="CO859" s="105"/>
      <c r="CQ859" s="105"/>
      <c r="EC859" s="86"/>
      <c r="EG859" s="105"/>
      <c r="EQ859" s="134"/>
    </row>
    <row r="860" spans="43:147" ht="13.2">
      <c r="AQ860" s="158"/>
      <c r="BL860" s="134"/>
      <c r="CN860" s="105"/>
      <c r="CO860" s="105"/>
      <c r="CQ860" s="105"/>
      <c r="EC860" s="86"/>
      <c r="EG860" s="105"/>
      <c r="EQ860" s="134"/>
    </row>
    <row r="861" spans="43:147" ht="13.2">
      <c r="AQ861" s="158"/>
      <c r="BL861" s="134"/>
      <c r="CN861" s="105"/>
      <c r="CO861" s="105"/>
      <c r="CQ861" s="105"/>
      <c r="EC861" s="86"/>
      <c r="EG861" s="105"/>
      <c r="EQ861" s="134"/>
    </row>
    <row r="862" spans="43:147" ht="13.2">
      <c r="AQ862" s="158"/>
      <c r="BL862" s="134"/>
      <c r="CN862" s="105"/>
      <c r="CO862" s="105"/>
      <c r="CQ862" s="105"/>
      <c r="EC862" s="86"/>
      <c r="EG862" s="105"/>
      <c r="EQ862" s="134"/>
    </row>
    <row r="863" spans="43:147" ht="13.2">
      <c r="AQ863" s="158"/>
      <c r="BL863" s="134"/>
      <c r="CN863" s="105"/>
      <c r="CO863" s="105"/>
      <c r="CQ863" s="105"/>
      <c r="EC863" s="86"/>
      <c r="EG863" s="105"/>
      <c r="EQ863" s="134"/>
    </row>
    <row r="864" spans="43:147" ht="13.2">
      <c r="AQ864" s="158"/>
      <c r="BL864" s="134"/>
      <c r="CN864" s="105"/>
      <c r="CO864" s="105"/>
      <c r="CQ864" s="105"/>
      <c r="EC864" s="86"/>
      <c r="EG864" s="105"/>
      <c r="EQ864" s="134"/>
    </row>
    <row r="865" spans="43:147" ht="13.2">
      <c r="AQ865" s="158"/>
      <c r="BL865" s="134"/>
      <c r="CN865" s="105"/>
      <c r="CO865" s="105"/>
      <c r="CQ865" s="105"/>
      <c r="EC865" s="86"/>
      <c r="EG865" s="105"/>
      <c r="EQ865" s="134"/>
    </row>
    <row r="866" spans="43:147" ht="13.2">
      <c r="AQ866" s="158"/>
      <c r="BL866" s="134"/>
      <c r="CN866" s="105"/>
      <c r="CO866" s="105"/>
      <c r="CQ866" s="105"/>
      <c r="EC866" s="86"/>
      <c r="EG866" s="105"/>
      <c r="EQ866" s="134"/>
    </row>
    <row r="867" spans="43:147" ht="13.2">
      <c r="AQ867" s="158"/>
      <c r="BL867" s="134"/>
      <c r="CN867" s="105"/>
      <c r="CO867" s="105"/>
      <c r="CQ867" s="105"/>
      <c r="EC867" s="86"/>
      <c r="EG867" s="105"/>
      <c r="EQ867" s="134"/>
    </row>
    <row r="868" spans="43:147" ht="13.2">
      <c r="AQ868" s="158"/>
      <c r="BL868" s="134"/>
      <c r="CN868" s="105"/>
      <c r="CO868" s="105"/>
      <c r="CQ868" s="105"/>
      <c r="EC868" s="86"/>
      <c r="EG868" s="105"/>
      <c r="EQ868" s="134"/>
    </row>
    <row r="869" spans="43:147" ht="13.2">
      <c r="AQ869" s="158"/>
      <c r="BL869" s="134"/>
      <c r="CN869" s="105"/>
      <c r="CO869" s="105"/>
      <c r="CQ869" s="105"/>
      <c r="EC869" s="86"/>
      <c r="EG869" s="105"/>
      <c r="EQ869" s="134"/>
    </row>
    <row r="870" spans="43:147" ht="13.2">
      <c r="AQ870" s="158"/>
      <c r="BL870" s="134"/>
      <c r="CN870" s="105"/>
      <c r="CO870" s="105"/>
      <c r="CQ870" s="105"/>
      <c r="EC870" s="86"/>
      <c r="EG870" s="105"/>
      <c r="EQ870" s="134"/>
    </row>
    <row r="871" spans="43:147" ht="13.2">
      <c r="AQ871" s="158"/>
      <c r="BL871" s="134"/>
      <c r="CN871" s="105"/>
      <c r="CO871" s="105"/>
      <c r="CQ871" s="105"/>
      <c r="EC871" s="86"/>
      <c r="EG871" s="105"/>
      <c r="EQ871" s="134"/>
    </row>
    <row r="872" spans="43:147" ht="13.2">
      <c r="AQ872" s="158"/>
      <c r="BL872" s="134"/>
      <c r="CN872" s="105"/>
      <c r="CO872" s="105"/>
      <c r="CQ872" s="105"/>
      <c r="EC872" s="86"/>
      <c r="EG872" s="105"/>
      <c r="EQ872" s="134"/>
    </row>
    <row r="873" spans="43:147" ht="13.2">
      <c r="AQ873" s="158"/>
      <c r="BL873" s="134"/>
      <c r="CN873" s="105"/>
      <c r="CO873" s="105"/>
      <c r="CQ873" s="105"/>
      <c r="EC873" s="86"/>
      <c r="EG873" s="105"/>
      <c r="EQ873" s="134"/>
    </row>
    <row r="874" spans="43:147" ht="13.2">
      <c r="AQ874" s="158"/>
      <c r="BL874" s="134"/>
      <c r="CN874" s="105"/>
      <c r="CO874" s="105"/>
      <c r="CQ874" s="105"/>
      <c r="EC874" s="86"/>
      <c r="EG874" s="105"/>
      <c r="EQ874" s="134"/>
    </row>
    <row r="875" spans="43:147" ht="13.2">
      <c r="AQ875" s="158"/>
      <c r="BL875" s="134"/>
      <c r="CN875" s="105"/>
      <c r="CO875" s="105"/>
      <c r="CQ875" s="105"/>
      <c r="EC875" s="86"/>
      <c r="EG875" s="105"/>
      <c r="EQ875" s="134"/>
    </row>
    <row r="876" spans="43:147" ht="13.2">
      <c r="AQ876" s="158"/>
      <c r="BL876" s="134"/>
      <c r="CN876" s="105"/>
      <c r="CO876" s="105"/>
      <c r="CQ876" s="105"/>
      <c r="EC876" s="86"/>
      <c r="EG876" s="105"/>
      <c r="EQ876" s="134"/>
    </row>
    <row r="877" spans="43:147" ht="13.2">
      <c r="AQ877" s="158"/>
      <c r="BL877" s="134"/>
      <c r="CN877" s="105"/>
      <c r="CO877" s="105"/>
      <c r="CQ877" s="105"/>
      <c r="EC877" s="86"/>
      <c r="EG877" s="105"/>
      <c r="EQ877" s="134"/>
    </row>
    <row r="878" spans="43:147" ht="13.2">
      <c r="AQ878" s="158"/>
      <c r="BL878" s="134"/>
      <c r="CN878" s="105"/>
      <c r="CO878" s="105"/>
      <c r="CQ878" s="105"/>
      <c r="EC878" s="86"/>
      <c r="EG878" s="105"/>
      <c r="EQ878" s="134"/>
    </row>
    <row r="879" spans="43:147" ht="13.2">
      <c r="AQ879" s="158"/>
      <c r="BL879" s="134"/>
      <c r="CN879" s="105"/>
      <c r="CO879" s="105"/>
      <c r="CQ879" s="105"/>
      <c r="EC879" s="86"/>
      <c r="EG879" s="105"/>
      <c r="EQ879" s="134"/>
    </row>
    <row r="880" spans="43:147" ht="13.2">
      <c r="AQ880" s="158"/>
      <c r="BL880" s="134"/>
      <c r="CN880" s="105"/>
      <c r="CO880" s="105"/>
      <c r="CQ880" s="105"/>
      <c r="EC880" s="86"/>
      <c r="EG880" s="105"/>
      <c r="EQ880" s="134"/>
    </row>
    <row r="881" spans="43:147" ht="13.2">
      <c r="AQ881" s="158"/>
      <c r="BL881" s="134"/>
      <c r="CN881" s="105"/>
      <c r="CO881" s="105"/>
      <c r="CQ881" s="105"/>
      <c r="EC881" s="86"/>
      <c r="EG881" s="105"/>
      <c r="EQ881" s="134"/>
    </row>
    <row r="882" spans="43:147" ht="13.2">
      <c r="AQ882" s="158"/>
      <c r="BL882" s="134"/>
      <c r="CN882" s="105"/>
      <c r="CO882" s="105"/>
      <c r="CQ882" s="105"/>
      <c r="EC882" s="86"/>
      <c r="EG882" s="105"/>
      <c r="EQ882" s="134"/>
    </row>
    <row r="883" spans="43:147" ht="13.2">
      <c r="AQ883" s="158"/>
      <c r="BL883" s="134"/>
      <c r="CN883" s="105"/>
      <c r="CO883" s="105"/>
      <c r="CQ883" s="105"/>
      <c r="EC883" s="86"/>
      <c r="EG883" s="105"/>
      <c r="EQ883" s="134"/>
    </row>
    <row r="884" spans="43:147" ht="13.2">
      <c r="AQ884" s="158"/>
      <c r="BL884" s="134"/>
      <c r="CN884" s="105"/>
      <c r="CO884" s="105"/>
      <c r="CQ884" s="105"/>
      <c r="EC884" s="86"/>
      <c r="EG884" s="105"/>
      <c r="EQ884" s="134"/>
    </row>
    <row r="885" spans="43:147" ht="13.2">
      <c r="AQ885" s="158"/>
      <c r="BL885" s="134"/>
      <c r="CN885" s="105"/>
      <c r="CO885" s="105"/>
      <c r="CQ885" s="105"/>
      <c r="EC885" s="86"/>
      <c r="EG885" s="105"/>
      <c r="EQ885" s="134"/>
    </row>
    <row r="886" spans="43:147" ht="13.2">
      <c r="AQ886" s="158"/>
      <c r="BL886" s="134"/>
      <c r="CN886" s="105"/>
      <c r="CO886" s="105"/>
      <c r="CQ886" s="105"/>
      <c r="EC886" s="86"/>
      <c r="EG886" s="105"/>
      <c r="EQ886" s="134"/>
    </row>
    <row r="887" spans="43:147" ht="13.2">
      <c r="AQ887" s="158"/>
      <c r="BL887" s="134"/>
      <c r="CN887" s="105"/>
      <c r="CO887" s="105"/>
      <c r="CQ887" s="105"/>
      <c r="EC887" s="86"/>
      <c r="EG887" s="105"/>
      <c r="EQ887" s="134"/>
    </row>
    <row r="888" spans="43:147" ht="13.2">
      <c r="AQ888" s="158"/>
      <c r="BL888" s="134"/>
      <c r="CN888" s="105"/>
      <c r="CO888" s="105"/>
      <c r="CQ888" s="105"/>
      <c r="EC888" s="86"/>
      <c r="EG888" s="105"/>
      <c r="EQ888" s="134"/>
    </row>
    <row r="889" spans="43:147" ht="13.2">
      <c r="AQ889" s="158"/>
      <c r="BL889" s="134"/>
      <c r="CN889" s="105"/>
      <c r="CO889" s="105"/>
      <c r="CQ889" s="105"/>
      <c r="EC889" s="86"/>
      <c r="EG889" s="105"/>
      <c r="EQ889" s="134"/>
    </row>
    <row r="890" spans="43:147" ht="13.2">
      <c r="AQ890" s="158"/>
      <c r="BL890" s="134"/>
      <c r="CN890" s="105"/>
      <c r="CO890" s="105"/>
      <c r="CQ890" s="105"/>
      <c r="EC890" s="86"/>
      <c r="EG890" s="105"/>
      <c r="EQ890" s="134"/>
    </row>
    <row r="891" spans="43:147" ht="13.2">
      <c r="AQ891" s="158"/>
      <c r="BL891" s="134"/>
      <c r="CN891" s="105"/>
      <c r="CO891" s="105"/>
      <c r="CQ891" s="105"/>
      <c r="EC891" s="86"/>
      <c r="EG891" s="105"/>
      <c r="EQ891" s="134"/>
    </row>
    <row r="892" spans="43:147" ht="13.2">
      <c r="AQ892" s="158"/>
      <c r="BL892" s="134"/>
      <c r="CN892" s="105"/>
      <c r="CO892" s="105"/>
      <c r="CQ892" s="105"/>
      <c r="EC892" s="86"/>
      <c r="EG892" s="105"/>
      <c r="EQ892" s="134"/>
    </row>
    <row r="893" spans="43:147" ht="13.2">
      <c r="AQ893" s="158"/>
      <c r="BL893" s="134"/>
      <c r="CN893" s="105"/>
      <c r="CO893" s="105"/>
      <c r="CQ893" s="105"/>
      <c r="EC893" s="86"/>
      <c r="EG893" s="105"/>
      <c r="EQ893" s="134"/>
    </row>
    <row r="894" spans="43:147" ht="13.2">
      <c r="AQ894" s="158"/>
      <c r="BL894" s="134"/>
      <c r="CN894" s="105"/>
      <c r="CO894" s="105"/>
      <c r="CQ894" s="105"/>
      <c r="EC894" s="86"/>
      <c r="EG894" s="105"/>
      <c r="EQ894" s="134"/>
    </row>
    <row r="895" spans="43:147" ht="13.2">
      <c r="AQ895" s="158"/>
      <c r="BL895" s="134"/>
      <c r="CN895" s="105"/>
      <c r="CO895" s="105"/>
      <c r="CQ895" s="105"/>
      <c r="EC895" s="86"/>
      <c r="EG895" s="105"/>
      <c r="EQ895" s="134"/>
    </row>
    <row r="896" spans="43:147" ht="13.2">
      <c r="AQ896" s="158"/>
      <c r="BL896" s="134"/>
      <c r="CN896" s="105"/>
      <c r="CO896" s="105"/>
      <c r="CQ896" s="105"/>
      <c r="EC896" s="86"/>
      <c r="EG896" s="105"/>
      <c r="EQ896" s="134"/>
    </row>
    <row r="897" spans="43:147" ht="13.2">
      <c r="AQ897" s="158"/>
      <c r="BL897" s="134"/>
      <c r="CN897" s="105"/>
      <c r="CO897" s="105"/>
      <c r="CQ897" s="105"/>
      <c r="EC897" s="86"/>
      <c r="EG897" s="105"/>
      <c r="EQ897" s="134"/>
    </row>
    <row r="898" spans="43:147" ht="13.2">
      <c r="AQ898" s="158"/>
      <c r="BL898" s="134"/>
      <c r="CN898" s="105"/>
      <c r="CO898" s="105"/>
      <c r="CQ898" s="105"/>
      <c r="EC898" s="86"/>
      <c r="EG898" s="105"/>
      <c r="EQ898" s="134"/>
    </row>
    <row r="899" spans="43:147" ht="13.2">
      <c r="AQ899" s="158"/>
      <c r="BL899" s="134"/>
      <c r="CN899" s="105"/>
      <c r="CO899" s="105"/>
      <c r="CQ899" s="105"/>
      <c r="EC899" s="86"/>
      <c r="EG899" s="105"/>
      <c r="EQ899" s="134"/>
    </row>
    <row r="900" spans="43:147" ht="13.2">
      <c r="AQ900" s="158"/>
      <c r="BL900" s="134"/>
      <c r="CN900" s="105"/>
      <c r="CO900" s="105"/>
      <c r="CQ900" s="105"/>
      <c r="EC900" s="86"/>
      <c r="EG900" s="105"/>
      <c r="EQ900" s="134"/>
    </row>
    <row r="901" spans="43:147" ht="13.2">
      <c r="AQ901" s="158"/>
      <c r="BL901" s="134"/>
      <c r="CN901" s="105"/>
      <c r="CO901" s="105"/>
      <c r="CQ901" s="105"/>
      <c r="EC901" s="86"/>
      <c r="EG901" s="105"/>
      <c r="EQ901" s="134"/>
    </row>
    <row r="902" spans="43:147" ht="13.2">
      <c r="AQ902" s="158"/>
      <c r="BL902" s="134"/>
      <c r="CN902" s="105"/>
      <c r="CO902" s="105"/>
      <c r="CQ902" s="105"/>
      <c r="EC902" s="86"/>
      <c r="EG902" s="105"/>
      <c r="EQ902" s="134"/>
    </row>
    <row r="903" spans="43:147" ht="13.2">
      <c r="AQ903" s="158"/>
      <c r="BL903" s="134"/>
      <c r="CN903" s="105"/>
      <c r="CO903" s="105"/>
      <c r="CQ903" s="105"/>
      <c r="EC903" s="86"/>
      <c r="EG903" s="105"/>
      <c r="EQ903" s="134"/>
    </row>
    <row r="904" spans="43:147" ht="13.2">
      <c r="AQ904" s="158"/>
      <c r="BL904" s="134"/>
      <c r="CN904" s="105"/>
      <c r="CO904" s="105"/>
      <c r="CQ904" s="105"/>
      <c r="EC904" s="86"/>
      <c r="EG904" s="105"/>
      <c r="EQ904" s="134"/>
    </row>
    <row r="905" spans="43:147" ht="13.2">
      <c r="AQ905" s="158"/>
      <c r="BL905" s="134"/>
      <c r="CN905" s="105"/>
      <c r="CO905" s="105"/>
      <c r="CQ905" s="105"/>
      <c r="EC905" s="86"/>
      <c r="EG905" s="105"/>
      <c r="EQ905" s="134"/>
    </row>
    <row r="906" spans="43:147" ht="13.2">
      <c r="AQ906" s="158"/>
      <c r="BL906" s="134"/>
      <c r="CN906" s="105"/>
      <c r="CO906" s="105"/>
      <c r="CQ906" s="105"/>
      <c r="EC906" s="86"/>
      <c r="EG906" s="105"/>
      <c r="EQ906" s="134"/>
    </row>
    <row r="907" spans="43:147" ht="13.2">
      <c r="AQ907" s="158"/>
      <c r="BL907" s="134"/>
      <c r="CN907" s="105"/>
      <c r="CO907" s="105"/>
      <c r="CQ907" s="105"/>
      <c r="EC907" s="86"/>
      <c r="EG907" s="105"/>
      <c r="EQ907" s="134"/>
    </row>
    <row r="908" spans="43:147" ht="13.2">
      <c r="AQ908" s="158"/>
      <c r="BL908" s="134"/>
      <c r="CN908" s="105"/>
      <c r="CO908" s="105"/>
      <c r="CQ908" s="105"/>
      <c r="EC908" s="86"/>
      <c r="EG908" s="105"/>
      <c r="EQ908" s="134"/>
    </row>
    <row r="909" spans="43:147" ht="13.2">
      <c r="AQ909" s="158"/>
      <c r="BL909" s="134"/>
      <c r="CN909" s="105"/>
      <c r="CO909" s="105"/>
      <c r="CQ909" s="105"/>
      <c r="EC909" s="86"/>
      <c r="EG909" s="105"/>
      <c r="EQ909" s="134"/>
    </row>
    <row r="910" spans="43:147" ht="13.2">
      <c r="AQ910" s="158"/>
      <c r="BL910" s="134"/>
      <c r="CN910" s="105"/>
      <c r="CO910" s="105"/>
      <c r="CQ910" s="105"/>
      <c r="EC910" s="86"/>
      <c r="EG910" s="105"/>
      <c r="EQ910" s="134"/>
    </row>
    <row r="911" spans="43:147" ht="13.2">
      <c r="AQ911" s="158"/>
      <c r="BL911" s="134"/>
      <c r="CN911" s="105"/>
      <c r="CO911" s="105"/>
      <c r="CQ911" s="105"/>
      <c r="EC911" s="86"/>
      <c r="EG911" s="105"/>
      <c r="EQ911" s="134"/>
    </row>
    <row r="912" spans="43:147" ht="13.2">
      <c r="AQ912" s="158"/>
      <c r="BL912" s="134"/>
      <c r="CN912" s="105"/>
      <c r="CO912" s="105"/>
      <c r="CQ912" s="105"/>
      <c r="EC912" s="86"/>
      <c r="EG912" s="105"/>
      <c r="EQ912" s="134"/>
    </row>
    <row r="913" spans="43:147" ht="13.2">
      <c r="AQ913" s="158"/>
      <c r="BL913" s="134"/>
      <c r="CN913" s="105"/>
      <c r="CO913" s="105"/>
      <c r="CQ913" s="105"/>
      <c r="EC913" s="86"/>
      <c r="EG913" s="105"/>
      <c r="EQ913" s="134"/>
    </row>
    <row r="914" spans="43:147" ht="13.2">
      <c r="AQ914" s="158"/>
      <c r="BL914" s="134"/>
      <c r="CN914" s="105"/>
      <c r="CO914" s="105"/>
      <c r="CQ914" s="105"/>
      <c r="EC914" s="86"/>
      <c r="EG914" s="105"/>
      <c r="EQ914" s="134"/>
    </row>
    <row r="915" spans="43:147" ht="13.2">
      <c r="AQ915" s="158"/>
      <c r="BL915" s="134"/>
      <c r="CN915" s="105"/>
      <c r="CO915" s="105"/>
      <c r="CQ915" s="105"/>
      <c r="EC915" s="86"/>
      <c r="EG915" s="105"/>
      <c r="EQ915" s="134"/>
    </row>
    <row r="916" spans="43:147" ht="13.2">
      <c r="AQ916" s="158"/>
      <c r="BL916" s="134"/>
      <c r="CN916" s="105"/>
      <c r="CO916" s="105"/>
      <c r="CQ916" s="105"/>
      <c r="EC916" s="86"/>
      <c r="EG916" s="105"/>
      <c r="EQ916" s="134"/>
    </row>
    <row r="917" spans="43:147" ht="13.2">
      <c r="AQ917" s="158"/>
      <c r="BL917" s="134"/>
      <c r="CN917" s="105"/>
      <c r="CO917" s="105"/>
      <c r="CQ917" s="105"/>
      <c r="EC917" s="86"/>
      <c r="EG917" s="105"/>
      <c r="EQ917" s="134"/>
    </row>
    <row r="918" spans="43:147" ht="13.2">
      <c r="AQ918" s="158"/>
      <c r="BL918" s="134"/>
      <c r="CN918" s="105"/>
      <c r="CO918" s="105"/>
      <c r="CQ918" s="105"/>
      <c r="EC918" s="86"/>
      <c r="EG918" s="105"/>
      <c r="EQ918" s="134"/>
    </row>
    <row r="919" spans="43:147" ht="13.2">
      <c r="AQ919" s="158"/>
      <c r="BL919" s="134"/>
      <c r="CN919" s="105"/>
      <c r="CO919" s="105"/>
      <c r="CQ919" s="105"/>
      <c r="EC919" s="86"/>
      <c r="EG919" s="105"/>
      <c r="EQ919" s="134"/>
    </row>
    <row r="920" spans="43:147" ht="13.2">
      <c r="AQ920" s="158"/>
      <c r="BL920" s="134"/>
      <c r="CN920" s="105"/>
      <c r="CO920" s="105"/>
      <c r="CQ920" s="105"/>
      <c r="EC920" s="86"/>
      <c r="EG920" s="105"/>
      <c r="EQ920" s="134"/>
    </row>
    <row r="921" spans="43:147" ht="13.2">
      <c r="AQ921" s="158"/>
      <c r="BL921" s="134"/>
      <c r="CN921" s="105"/>
      <c r="CO921" s="105"/>
      <c r="CQ921" s="105"/>
      <c r="EC921" s="86"/>
      <c r="EG921" s="105"/>
      <c r="EQ921" s="134"/>
    </row>
    <row r="922" spans="43:147" ht="13.2">
      <c r="AQ922" s="158"/>
      <c r="BL922" s="134"/>
      <c r="CN922" s="105"/>
      <c r="CO922" s="105"/>
      <c r="CQ922" s="105"/>
      <c r="EC922" s="86"/>
      <c r="EG922" s="105"/>
      <c r="EQ922" s="134"/>
    </row>
    <row r="923" spans="43:147" ht="13.2">
      <c r="AQ923" s="158"/>
      <c r="BL923" s="134"/>
      <c r="CN923" s="105"/>
      <c r="CO923" s="105"/>
      <c r="CQ923" s="105"/>
      <c r="EC923" s="86"/>
      <c r="EG923" s="105"/>
      <c r="EQ923" s="134"/>
    </row>
    <row r="924" spans="43:147" ht="13.2">
      <c r="AQ924" s="158"/>
      <c r="BL924" s="134"/>
      <c r="CN924" s="105"/>
      <c r="CO924" s="105"/>
      <c r="CQ924" s="105"/>
      <c r="EC924" s="86"/>
      <c r="EG924" s="105"/>
      <c r="EQ924" s="134"/>
    </row>
    <row r="925" spans="43:147" ht="13.2">
      <c r="AQ925" s="158"/>
      <c r="BL925" s="134"/>
      <c r="CN925" s="105"/>
      <c r="CO925" s="105"/>
      <c r="CQ925" s="105"/>
      <c r="EC925" s="86"/>
      <c r="EG925" s="105"/>
      <c r="EQ925" s="134"/>
    </row>
    <row r="926" spans="43:147" ht="13.2">
      <c r="AQ926" s="158"/>
      <c r="BL926" s="134"/>
      <c r="CN926" s="105"/>
      <c r="CO926" s="105"/>
      <c r="CQ926" s="105"/>
      <c r="EC926" s="86"/>
      <c r="EG926" s="105"/>
      <c r="EQ926" s="134"/>
    </row>
    <row r="927" spans="43:147" ht="13.2">
      <c r="AQ927" s="158"/>
      <c r="BL927" s="134"/>
      <c r="CN927" s="105"/>
      <c r="CO927" s="105"/>
      <c r="CQ927" s="105"/>
      <c r="EC927" s="86"/>
      <c r="EG927" s="105"/>
      <c r="EQ927" s="134"/>
    </row>
    <row r="928" spans="43:147" ht="13.2">
      <c r="AQ928" s="158"/>
      <c r="BL928" s="134"/>
      <c r="CN928" s="105"/>
      <c r="CO928" s="105"/>
      <c r="CQ928" s="105"/>
      <c r="EC928" s="86"/>
      <c r="EG928" s="105"/>
      <c r="EQ928" s="134"/>
    </row>
    <row r="929" spans="43:147" ht="13.2">
      <c r="AQ929" s="158"/>
      <c r="BL929" s="134"/>
      <c r="CN929" s="105"/>
      <c r="CO929" s="105"/>
      <c r="CQ929" s="105"/>
      <c r="EC929" s="86"/>
      <c r="EG929" s="105"/>
      <c r="EQ929" s="134"/>
    </row>
    <row r="930" spans="43:147" ht="13.2">
      <c r="AQ930" s="158"/>
      <c r="BL930" s="134"/>
      <c r="CN930" s="105"/>
      <c r="CO930" s="105"/>
      <c r="CQ930" s="105"/>
      <c r="EC930" s="86"/>
      <c r="EG930" s="105"/>
      <c r="EQ930" s="134"/>
    </row>
    <row r="931" spans="43:147" ht="13.2">
      <c r="AQ931" s="158"/>
      <c r="BL931" s="134"/>
      <c r="CN931" s="105"/>
      <c r="CO931" s="105"/>
      <c r="CQ931" s="105"/>
      <c r="EC931" s="86"/>
      <c r="EG931" s="105"/>
      <c r="EQ931" s="134"/>
    </row>
    <row r="932" spans="43:147" ht="13.2">
      <c r="AQ932" s="158"/>
      <c r="BL932" s="134"/>
      <c r="CN932" s="105"/>
      <c r="CO932" s="105"/>
      <c r="CQ932" s="105"/>
      <c r="EC932" s="86"/>
      <c r="EG932" s="105"/>
      <c r="EQ932" s="134"/>
    </row>
    <row r="933" spans="43:147" ht="13.2">
      <c r="AQ933" s="158"/>
      <c r="BL933" s="134"/>
      <c r="CN933" s="105"/>
      <c r="CO933" s="105"/>
      <c r="CQ933" s="105"/>
      <c r="EC933" s="86"/>
      <c r="EG933" s="105"/>
      <c r="EQ933" s="134"/>
    </row>
    <row r="934" spans="43:147" ht="13.2">
      <c r="AQ934" s="158"/>
      <c r="BL934" s="134"/>
      <c r="CN934" s="105"/>
      <c r="CO934" s="105"/>
      <c r="CQ934" s="105"/>
      <c r="EC934" s="86"/>
      <c r="EG934" s="105"/>
      <c r="EQ934" s="134"/>
    </row>
    <row r="935" spans="43:147" ht="13.2">
      <c r="AQ935" s="158"/>
      <c r="BL935" s="134"/>
      <c r="CN935" s="105"/>
      <c r="CO935" s="105"/>
      <c r="CQ935" s="105"/>
      <c r="EC935" s="86"/>
      <c r="EG935" s="105"/>
      <c r="EQ935" s="134"/>
    </row>
    <row r="936" spans="43:147" ht="13.2">
      <c r="AQ936" s="158"/>
      <c r="BL936" s="134"/>
      <c r="CN936" s="105"/>
      <c r="CO936" s="105"/>
      <c r="CQ936" s="105"/>
      <c r="EC936" s="86"/>
      <c r="EG936" s="105"/>
      <c r="EQ936" s="134"/>
    </row>
    <row r="937" spans="43:147" ht="13.2">
      <c r="AQ937" s="158"/>
      <c r="BL937" s="134"/>
      <c r="CN937" s="105"/>
      <c r="CO937" s="105"/>
      <c r="CQ937" s="105"/>
      <c r="EC937" s="86"/>
      <c r="EG937" s="105"/>
      <c r="EQ937" s="134"/>
    </row>
    <row r="938" spans="43:147" ht="13.2">
      <c r="AQ938" s="158"/>
      <c r="BL938" s="134"/>
      <c r="CN938" s="105"/>
      <c r="CO938" s="105"/>
      <c r="CQ938" s="105"/>
      <c r="EC938" s="86"/>
      <c r="EG938" s="105"/>
      <c r="EQ938" s="134"/>
    </row>
    <row r="939" spans="43:147" ht="13.2">
      <c r="AQ939" s="158"/>
      <c r="BL939" s="134"/>
      <c r="CN939" s="105"/>
      <c r="CO939" s="105"/>
      <c r="CQ939" s="105"/>
      <c r="EC939" s="86"/>
      <c r="EG939" s="105"/>
      <c r="EQ939" s="134"/>
    </row>
    <row r="940" spans="43:147" ht="13.2">
      <c r="AQ940" s="158"/>
      <c r="BL940" s="134"/>
      <c r="CN940" s="105"/>
      <c r="CO940" s="105"/>
      <c r="CQ940" s="105"/>
      <c r="EC940" s="86"/>
      <c r="EG940" s="105"/>
      <c r="EQ940" s="134"/>
    </row>
    <row r="941" spans="43:147" ht="13.2">
      <c r="AQ941" s="158"/>
      <c r="BL941" s="134"/>
      <c r="CN941" s="105"/>
      <c r="CO941" s="105"/>
      <c r="CQ941" s="105"/>
      <c r="EC941" s="86"/>
      <c r="EG941" s="105"/>
      <c r="EQ941" s="134"/>
    </row>
    <row r="942" spans="43:147" ht="13.2">
      <c r="AQ942" s="158"/>
      <c r="BL942" s="134"/>
      <c r="CN942" s="105"/>
      <c r="CO942" s="105"/>
      <c r="CQ942" s="105"/>
      <c r="EC942" s="86"/>
      <c r="EG942" s="105"/>
      <c r="EQ942" s="134"/>
    </row>
    <row r="943" spans="43:147" ht="13.2">
      <c r="AQ943" s="158"/>
      <c r="BL943" s="134"/>
      <c r="CN943" s="105"/>
      <c r="CO943" s="105"/>
      <c r="CQ943" s="105"/>
      <c r="EC943" s="86"/>
      <c r="EG943" s="105"/>
      <c r="EQ943" s="134"/>
    </row>
    <row r="944" spans="43:147" ht="13.2">
      <c r="AQ944" s="158"/>
      <c r="BL944" s="134"/>
      <c r="CN944" s="105"/>
      <c r="CO944" s="105"/>
      <c r="CQ944" s="105"/>
      <c r="EC944" s="86"/>
      <c r="EG944" s="105"/>
      <c r="EQ944" s="134"/>
    </row>
    <row r="945" spans="43:147" ht="13.2">
      <c r="AQ945" s="158"/>
      <c r="BL945" s="134"/>
      <c r="CN945" s="105"/>
      <c r="CO945" s="105"/>
      <c r="CQ945" s="105"/>
      <c r="EC945" s="86"/>
      <c r="EG945" s="105"/>
      <c r="EQ945" s="134"/>
    </row>
    <row r="946" spans="43:147" ht="13.2">
      <c r="AQ946" s="158"/>
      <c r="BL946" s="134"/>
      <c r="CN946" s="105"/>
      <c r="CO946" s="105"/>
      <c r="CQ946" s="105"/>
      <c r="EC946" s="86"/>
      <c r="EG946" s="105"/>
      <c r="EQ946" s="134"/>
    </row>
    <row r="947" spans="43:147" ht="13.2">
      <c r="AQ947" s="158"/>
      <c r="BL947" s="134"/>
      <c r="CN947" s="105"/>
      <c r="CO947" s="105"/>
      <c r="CQ947" s="105"/>
      <c r="EC947" s="86"/>
      <c r="EG947" s="105"/>
      <c r="EQ947" s="134"/>
    </row>
    <row r="948" spans="43:147" ht="13.2">
      <c r="AQ948" s="158"/>
      <c r="BL948" s="134"/>
      <c r="CN948" s="105"/>
      <c r="CO948" s="105"/>
      <c r="CQ948" s="105"/>
      <c r="EC948" s="86"/>
      <c r="EG948" s="105"/>
      <c r="EQ948" s="134"/>
    </row>
    <row r="949" spans="43:147" ht="13.2">
      <c r="AQ949" s="158"/>
      <c r="BL949" s="134"/>
      <c r="CN949" s="105"/>
      <c r="CO949" s="105"/>
      <c r="CQ949" s="105"/>
      <c r="EC949" s="86"/>
      <c r="EG949" s="105"/>
      <c r="EQ949" s="134"/>
    </row>
    <row r="950" spans="43:147" ht="13.2">
      <c r="AQ950" s="158"/>
      <c r="BL950" s="134"/>
      <c r="CN950" s="105"/>
      <c r="CO950" s="105"/>
      <c r="CQ950" s="105"/>
      <c r="EC950" s="86"/>
      <c r="EG950" s="105"/>
      <c r="EQ950" s="134"/>
    </row>
    <row r="951" spans="43:147" ht="13.2">
      <c r="AQ951" s="158"/>
      <c r="BL951" s="134"/>
      <c r="CN951" s="105"/>
      <c r="CO951" s="105"/>
      <c r="CQ951" s="105"/>
      <c r="EC951" s="86"/>
      <c r="EG951" s="105"/>
      <c r="EQ951" s="134"/>
    </row>
    <row r="952" spans="43:147" ht="13.2">
      <c r="AQ952" s="158"/>
      <c r="BL952" s="134"/>
      <c r="CN952" s="105"/>
      <c r="CO952" s="105"/>
      <c r="CQ952" s="105"/>
      <c r="EC952" s="86"/>
      <c r="EG952" s="105"/>
      <c r="EQ952" s="134"/>
    </row>
    <row r="953" spans="43:147" ht="13.2">
      <c r="AQ953" s="158"/>
      <c r="BL953" s="134"/>
      <c r="CN953" s="105"/>
      <c r="CO953" s="105"/>
      <c r="CQ953" s="105"/>
      <c r="EC953" s="86"/>
      <c r="EG953" s="105"/>
      <c r="EQ953" s="134"/>
    </row>
    <row r="954" spans="43:147" ht="13.2">
      <c r="AQ954" s="158"/>
      <c r="BL954" s="134"/>
      <c r="CN954" s="105"/>
      <c r="CO954" s="105"/>
      <c r="CQ954" s="105"/>
      <c r="EC954" s="86"/>
      <c r="EG954" s="105"/>
      <c r="EQ954" s="134"/>
    </row>
    <row r="955" spans="43:147" ht="13.2">
      <c r="AQ955" s="158"/>
      <c r="BL955" s="134"/>
      <c r="CN955" s="105"/>
      <c r="CO955" s="105"/>
      <c r="CQ955" s="105"/>
      <c r="EC955" s="86"/>
      <c r="EG955" s="105"/>
      <c r="EQ955" s="134"/>
    </row>
    <row r="956" spans="43:147" ht="13.2">
      <c r="AQ956" s="158"/>
      <c r="BL956" s="134"/>
      <c r="CN956" s="105"/>
      <c r="CO956" s="105"/>
      <c r="CQ956" s="105"/>
      <c r="EC956" s="86"/>
      <c r="EG956" s="105"/>
      <c r="EQ956" s="134"/>
    </row>
    <row r="957" spans="43:147" ht="13.2">
      <c r="AQ957" s="158"/>
      <c r="BL957" s="134"/>
      <c r="CN957" s="105"/>
      <c r="CO957" s="105"/>
      <c r="CQ957" s="105"/>
      <c r="EC957" s="86"/>
      <c r="EG957" s="105"/>
      <c r="EQ957" s="134"/>
    </row>
    <row r="958" spans="43:147" ht="13.2">
      <c r="AQ958" s="158"/>
      <c r="BL958" s="134"/>
      <c r="CN958" s="105"/>
      <c r="CO958" s="105"/>
      <c r="CQ958" s="105"/>
      <c r="EC958" s="86"/>
      <c r="EG958" s="105"/>
      <c r="EQ958" s="134"/>
    </row>
    <row r="959" spans="43:147" ht="13.2">
      <c r="AQ959" s="158"/>
      <c r="BL959" s="134"/>
      <c r="CN959" s="105"/>
      <c r="CO959" s="105"/>
      <c r="CQ959" s="105"/>
      <c r="EC959" s="86"/>
      <c r="EG959" s="105"/>
      <c r="EQ959" s="134"/>
    </row>
    <row r="960" spans="43:147" ht="13.2">
      <c r="AQ960" s="158"/>
      <c r="BL960" s="134"/>
      <c r="CN960" s="105"/>
      <c r="CO960" s="105"/>
      <c r="CQ960" s="105"/>
      <c r="EC960" s="86"/>
      <c r="EG960" s="105"/>
      <c r="EQ960" s="134"/>
    </row>
    <row r="961" spans="43:147" ht="13.2">
      <c r="AQ961" s="158"/>
      <c r="BL961" s="134"/>
      <c r="CN961" s="105"/>
      <c r="CO961" s="105"/>
      <c r="CQ961" s="105"/>
      <c r="EC961" s="86"/>
      <c r="EG961" s="105"/>
      <c r="EQ961" s="134"/>
    </row>
    <row r="962" spans="43:147" ht="13.2">
      <c r="AQ962" s="158"/>
      <c r="BL962" s="134"/>
      <c r="CN962" s="105"/>
      <c r="CO962" s="105"/>
      <c r="CQ962" s="105"/>
      <c r="EC962" s="86"/>
      <c r="EG962" s="105"/>
      <c r="EQ962" s="134"/>
    </row>
    <row r="963" spans="43:147" ht="13.2">
      <c r="AQ963" s="158"/>
      <c r="BL963" s="134"/>
      <c r="CN963" s="105"/>
      <c r="CO963" s="105"/>
      <c r="CQ963" s="105"/>
      <c r="EC963" s="86"/>
      <c r="EG963" s="105"/>
      <c r="EQ963" s="134"/>
    </row>
    <row r="964" spans="43:147" ht="13.2">
      <c r="AQ964" s="158"/>
      <c r="BL964" s="134"/>
      <c r="CN964" s="105"/>
      <c r="CO964" s="105"/>
      <c r="CQ964" s="105"/>
      <c r="EC964" s="86"/>
      <c r="EG964" s="105"/>
      <c r="EQ964" s="134"/>
    </row>
    <row r="965" spans="43:147" ht="13.2">
      <c r="AQ965" s="158"/>
      <c r="BL965" s="134"/>
      <c r="CN965" s="105"/>
      <c r="CO965" s="105"/>
      <c r="CQ965" s="105"/>
      <c r="EC965" s="86"/>
      <c r="EG965" s="105"/>
      <c r="EQ965" s="134"/>
    </row>
    <row r="966" spans="43:147" ht="13.2">
      <c r="AQ966" s="158"/>
      <c r="BL966" s="134"/>
      <c r="CN966" s="105"/>
      <c r="CO966" s="105"/>
      <c r="CQ966" s="105"/>
      <c r="EC966" s="86"/>
      <c r="EG966" s="105"/>
      <c r="EQ966" s="134"/>
    </row>
    <row r="967" spans="43:147" ht="13.2">
      <c r="AQ967" s="158"/>
      <c r="BL967" s="134"/>
      <c r="CN967" s="105"/>
      <c r="CO967" s="105"/>
      <c r="CQ967" s="105"/>
      <c r="EC967" s="86"/>
      <c r="EG967" s="105"/>
      <c r="EQ967" s="134"/>
    </row>
    <row r="968" spans="43:147" ht="13.2">
      <c r="AQ968" s="158"/>
      <c r="BL968" s="134"/>
      <c r="CN968" s="105"/>
      <c r="CO968" s="105"/>
      <c r="CQ968" s="105"/>
      <c r="EC968" s="86"/>
      <c r="EG968" s="105"/>
      <c r="EQ968" s="134"/>
    </row>
    <row r="969" spans="43:147" ht="13.2">
      <c r="AQ969" s="158"/>
      <c r="BL969" s="134"/>
      <c r="CN969" s="105"/>
      <c r="CO969" s="105"/>
      <c r="CQ969" s="105"/>
      <c r="EC969" s="86"/>
      <c r="EG969" s="105"/>
      <c r="EQ969" s="134"/>
    </row>
    <row r="970" spans="43:147" ht="13.2">
      <c r="AQ970" s="158"/>
      <c r="BL970" s="134"/>
      <c r="CN970" s="105"/>
      <c r="CO970" s="105"/>
      <c r="CQ970" s="105"/>
      <c r="EC970" s="86"/>
      <c r="EG970" s="105"/>
      <c r="EQ970" s="134"/>
    </row>
    <row r="971" spans="43:147" ht="13.2">
      <c r="AQ971" s="158"/>
      <c r="BL971" s="134"/>
      <c r="CN971" s="105"/>
      <c r="CO971" s="105"/>
      <c r="CQ971" s="105"/>
      <c r="EC971" s="86"/>
      <c r="EG971" s="105"/>
      <c r="EQ971" s="134"/>
    </row>
    <row r="972" spans="43:147" ht="13.2">
      <c r="AQ972" s="158"/>
      <c r="BL972" s="134"/>
      <c r="CN972" s="105"/>
      <c r="CO972" s="105"/>
      <c r="CQ972" s="105"/>
      <c r="EC972" s="86"/>
      <c r="EG972" s="105"/>
      <c r="EQ972" s="134"/>
    </row>
    <row r="973" spans="43:147" ht="13.2">
      <c r="AQ973" s="158"/>
      <c r="BL973" s="134"/>
      <c r="CN973" s="105"/>
      <c r="CO973" s="105"/>
      <c r="CQ973" s="105"/>
      <c r="EC973" s="86"/>
      <c r="EG973" s="105"/>
      <c r="EQ973" s="134"/>
    </row>
    <row r="974" spans="43:147" ht="13.2">
      <c r="AQ974" s="158"/>
      <c r="BL974" s="134"/>
      <c r="CN974" s="105"/>
      <c r="CO974" s="105"/>
      <c r="CQ974" s="105"/>
      <c r="EC974" s="86"/>
      <c r="EG974" s="105"/>
      <c r="EQ974" s="134"/>
    </row>
    <row r="975" spans="43:147" ht="13.2">
      <c r="AQ975" s="158"/>
      <c r="BL975" s="134"/>
      <c r="CN975" s="105"/>
      <c r="CO975" s="105"/>
      <c r="CQ975" s="105"/>
      <c r="EC975" s="86"/>
      <c r="EG975" s="105"/>
      <c r="EQ975" s="134"/>
    </row>
    <row r="976" spans="43:147" ht="13.2">
      <c r="AQ976" s="158"/>
      <c r="BL976" s="134"/>
      <c r="CN976" s="105"/>
      <c r="CO976" s="105"/>
      <c r="CQ976" s="105"/>
      <c r="EC976" s="86"/>
      <c r="EG976" s="105"/>
      <c r="EQ976" s="134"/>
    </row>
    <row r="977" spans="43:147" ht="13.2">
      <c r="AQ977" s="158"/>
      <c r="BL977" s="134"/>
      <c r="CN977" s="105"/>
      <c r="CO977" s="105"/>
      <c r="CQ977" s="105"/>
      <c r="EC977" s="86"/>
      <c r="EG977" s="105"/>
      <c r="EQ977" s="134"/>
    </row>
    <row r="978" spans="43:147" ht="13.2">
      <c r="AQ978" s="158"/>
      <c r="BL978" s="134"/>
      <c r="CN978" s="105"/>
      <c r="CO978" s="105"/>
      <c r="CQ978" s="105"/>
      <c r="EC978" s="86"/>
      <c r="EG978" s="105"/>
      <c r="EQ978" s="134"/>
    </row>
    <row r="979" spans="43:147" ht="13.2">
      <c r="AQ979" s="158"/>
      <c r="BL979" s="134"/>
      <c r="CN979" s="105"/>
      <c r="CO979" s="105"/>
      <c r="CQ979" s="105"/>
      <c r="EC979" s="86"/>
      <c r="EG979" s="105"/>
      <c r="EQ979" s="134"/>
    </row>
    <row r="980" spans="43:147" ht="13.2">
      <c r="AQ980" s="158"/>
      <c r="BL980" s="134"/>
      <c r="CN980" s="105"/>
      <c r="CO980" s="105"/>
      <c r="CQ980" s="105"/>
      <c r="EC980" s="86"/>
      <c r="EG980" s="105"/>
      <c r="EQ980" s="134"/>
    </row>
    <row r="981" spans="43:147" ht="13.2">
      <c r="AQ981" s="158"/>
      <c r="BL981" s="134"/>
      <c r="CN981" s="105"/>
      <c r="CO981" s="105"/>
      <c r="CQ981" s="105"/>
      <c r="EC981" s="86"/>
      <c r="EG981" s="105"/>
      <c r="EQ981" s="134"/>
    </row>
    <row r="982" spans="43:147" ht="13.2">
      <c r="AQ982" s="158"/>
      <c r="BL982" s="134"/>
      <c r="CN982" s="105"/>
      <c r="CO982" s="105"/>
      <c r="CQ982" s="105"/>
      <c r="EC982" s="86"/>
      <c r="EG982" s="105"/>
      <c r="EQ982" s="134"/>
    </row>
    <row r="983" spans="43:147" ht="13.2">
      <c r="AQ983" s="158"/>
      <c r="BL983" s="134"/>
      <c r="CN983" s="105"/>
      <c r="CO983" s="105"/>
      <c r="CQ983" s="105"/>
      <c r="EC983" s="86"/>
      <c r="EG983" s="105"/>
      <c r="EQ983" s="134"/>
    </row>
    <row r="984" spans="43:147" ht="13.2">
      <c r="AQ984" s="158"/>
      <c r="BL984" s="134"/>
      <c r="CN984" s="105"/>
      <c r="CO984" s="105"/>
      <c r="CQ984" s="105"/>
      <c r="EC984" s="86"/>
      <c r="EG984" s="105"/>
      <c r="EQ984" s="134"/>
    </row>
    <row r="985" spans="43:147" ht="13.2">
      <c r="AQ985" s="158"/>
      <c r="BL985" s="134"/>
      <c r="CN985" s="105"/>
      <c r="CO985" s="105"/>
      <c r="CQ985" s="105"/>
      <c r="EC985" s="86"/>
      <c r="EG985" s="105"/>
      <c r="EQ985" s="134"/>
    </row>
    <row r="986" spans="43:147" ht="13.2">
      <c r="AQ986" s="158"/>
      <c r="BL986" s="134"/>
      <c r="CN986" s="105"/>
      <c r="CO986" s="105"/>
      <c r="CQ986" s="105"/>
      <c r="EC986" s="86"/>
      <c r="EG986" s="105"/>
      <c r="EQ986" s="134"/>
    </row>
    <row r="987" spans="43:147" ht="13.2">
      <c r="AQ987" s="158"/>
      <c r="BL987" s="134"/>
      <c r="CN987" s="105"/>
      <c r="CO987" s="105"/>
      <c r="CQ987" s="105"/>
      <c r="EC987" s="86"/>
      <c r="EG987" s="105"/>
      <c r="EQ987" s="134"/>
    </row>
    <row r="988" spans="43:147" ht="13.2">
      <c r="AQ988" s="158"/>
      <c r="BL988" s="134"/>
      <c r="CN988" s="105"/>
      <c r="CO988" s="105"/>
      <c r="CQ988" s="105"/>
      <c r="EC988" s="86"/>
      <c r="EG988" s="105"/>
      <c r="EQ988" s="134"/>
    </row>
    <row r="989" spans="43:147" ht="13.2">
      <c r="AQ989" s="158"/>
      <c r="BL989" s="134"/>
      <c r="CN989" s="105"/>
      <c r="CO989" s="105"/>
      <c r="CQ989" s="105"/>
      <c r="EC989" s="86"/>
      <c r="EG989" s="105"/>
      <c r="EQ989" s="134"/>
    </row>
    <row r="990" spans="43:147" ht="13.2">
      <c r="AQ990" s="158"/>
      <c r="BL990" s="134"/>
      <c r="CN990" s="105"/>
      <c r="CO990" s="105"/>
      <c r="CQ990" s="105"/>
      <c r="EC990" s="86"/>
      <c r="EG990" s="105"/>
      <c r="EQ990" s="134"/>
    </row>
    <row r="991" spans="43:147" ht="13.2">
      <c r="AQ991" s="158"/>
      <c r="BL991" s="134"/>
      <c r="CN991" s="105"/>
      <c r="CO991" s="105"/>
      <c r="CQ991" s="105"/>
      <c r="EC991" s="86"/>
      <c r="EG991" s="105"/>
      <c r="EQ991" s="134"/>
    </row>
    <row r="992" spans="43:147" ht="13.2">
      <c r="AQ992" s="158"/>
      <c r="BL992" s="134"/>
      <c r="CN992" s="105"/>
      <c r="CO992" s="105"/>
      <c r="CQ992" s="105"/>
      <c r="EC992" s="86"/>
      <c r="EG992" s="105"/>
      <c r="EQ992" s="134"/>
    </row>
    <row r="993" spans="43:147" ht="13.2">
      <c r="AQ993" s="158"/>
      <c r="BL993" s="134"/>
      <c r="CN993" s="105"/>
      <c r="CO993" s="105"/>
      <c r="CQ993" s="105"/>
      <c r="EC993" s="86"/>
      <c r="EG993" s="105"/>
      <c r="EQ993" s="134"/>
    </row>
    <row r="994" spans="43:147" ht="13.2">
      <c r="AQ994" s="158"/>
      <c r="BL994" s="134"/>
      <c r="CN994" s="105"/>
      <c r="CO994" s="105"/>
      <c r="CQ994" s="105"/>
      <c r="EC994" s="86"/>
      <c r="EG994" s="105"/>
      <c r="EQ994" s="134"/>
    </row>
    <row r="995" spans="43:147" ht="13.2">
      <c r="AQ995" s="158"/>
      <c r="BL995" s="134"/>
      <c r="CN995" s="105"/>
      <c r="CO995" s="105"/>
      <c r="CQ995" s="105"/>
      <c r="EC995" s="86"/>
      <c r="EG995" s="105"/>
      <c r="EQ995" s="134"/>
    </row>
    <row r="996" spans="43:147" ht="13.2">
      <c r="AQ996" s="158"/>
      <c r="BL996" s="134"/>
      <c r="CN996" s="105"/>
      <c r="CO996" s="105"/>
      <c r="CQ996" s="105"/>
      <c r="EC996" s="86"/>
      <c r="EG996" s="105"/>
      <c r="EQ996" s="134"/>
    </row>
    <row r="997" spans="43:147" ht="13.2">
      <c r="AQ997" s="158"/>
      <c r="BL997" s="134"/>
      <c r="CN997" s="105"/>
      <c r="CO997" s="105"/>
      <c r="CQ997" s="105"/>
      <c r="EC997" s="86"/>
      <c r="EG997" s="105"/>
      <c r="EQ997" s="134"/>
    </row>
    <row r="998" spans="43:147" ht="13.2">
      <c r="AQ998" s="158"/>
      <c r="BL998" s="134"/>
      <c r="CN998" s="105"/>
      <c r="CO998" s="105"/>
      <c r="CQ998" s="105"/>
      <c r="EC998" s="86"/>
      <c r="EG998" s="105"/>
      <c r="EQ998" s="134"/>
    </row>
    <row r="999" spans="43:147" ht="13.2">
      <c r="AQ999" s="158"/>
      <c r="BL999" s="134"/>
      <c r="CN999" s="105"/>
      <c r="CO999" s="105"/>
      <c r="CQ999" s="105"/>
      <c r="EC999" s="86"/>
      <c r="EG999" s="105"/>
      <c r="EQ999" s="134"/>
    </row>
    <row r="1000" spans="43:147" ht="13.2">
      <c r="AQ1000" s="158"/>
      <c r="BL1000" s="134"/>
      <c r="CN1000" s="105"/>
      <c r="CO1000" s="105"/>
      <c r="CQ1000" s="105"/>
      <c r="EC1000" s="86"/>
      <c r="EG1000" s="105"/>
      <c r="EQ1000" s="134"/>
    </row>
    <row r="1001" spans="43:147" ht="13.2">
      <c r="AQ1001" s="158"/>
      <c r="BL1001" s="134"/>
      <c r="CN1001" s="105"/>
      <c r="CO1001" s="105"/>
      <c r="CQ1001" s="105"/>
      <c r="EC1001" s="86"/>
      <c r="EG1001" s="105"/>
      <c r="EQ1001" s="134"/>
    </row>
  </sheetData>
  <conditionalFormatting sqref="AQ1:AQ1001">
    <cfRule type="notContainsBlanks" dxfId="129" priority="1">
      <formula>LEN(TRIM(AQ1))&gt;0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5057-37E1-4F90-84BC-93941AE28EF0}">
  <dimension ref="A1:O23"/>
  <sheetViews>
    <sheetView topLeftCell="B1" zoomScale="115" zoomScaleNormal="115" workbookViewId="0">
      <selection activeCell="M14" sqref="M14"/>
    </sheetView>
  </sheetViews>
  <sheetFormatPr defaultRowHeight="13.2"/>
  <cols>
    <col min="1" max="1" width="4.77734375" customWidth="1"/>
    <col min="2" max="2" width="18.77734375" customWidth="1"/>
    <col min="3" max="3" width="12.5546875" customWidth="1"/>
    <col min="4" max="5" width="12.5546875" bestFit="1" customWidth="1"/>
    <col min="6" max="8" width="9.109375" customWidth="1"/>
    <col min="9" max="9" width="10.5546875" customWidth="1"/>
    <col min="10" max="10" width="15.44140625" customWidth="1"/>
  </cols>
  <sheetData>
    <row r="1" spans="1:15" ht="40.200000000000003" thickBot="1">
      <c r="A1" s="185"/>
      <c r="B1" s="273" t="s">
        <v>2561</v>
      </c>
      <c r="C1" s="274" t="s">
        <v>2562</v>
      </c>
      <c r="D1" s="274" t="s">
        <v>2559</v>
      </c>
      <c r="E1" s="277" t="s">
        <v>2563</v>
      </c>
      <c r="F1" s="273" t="s">
        <v>2672</v>
      </c>
      <c r="G1" s="274" t="s">
        <v>2673</v>
      </c>
      <c r="H1" s="274" t="s">
        <v>2674</v>
      </c>
      <c r="I1" s="274" t="s">
        <v>2711</v>
      </c>
      <c r="J1" s="274" t="s">
        <v>2716</v>
      </c>
      <c r="K1" s="274" t="s">
        <v>2721</v>
      </c>
      <c r="L1" s="274" t="s">
        <v>2722</v>
      </c>
      <c r="M1" s="274" t="s">
        <v>2723</v>
      </c>
      <c r="N1" s="274" t="s">
        <v>2724</v>
      </c>
      <c r="O1" s="274" t="s">
        <v>2740</v>
      </c>
    </row>
    <row r="2" spans="1:15" ht="14.4" thickBot="1">
      <c r="A2" s="186" t="s">
        <v>2567</v>
      </c>
      <c r="B2" s="275">
        <v>0</v>
      </c>
      <c r="C2" s="275">
        <v>0</v>
      </c>
      <c r="D2" s="275">
        <v>13.350632192233759</v>
      </c>
      <c r="E2" s="278">
        <v>54.993918841089481</v>
      </c>
      <c r="F2" s="275">
        <v>67.109682281762417</v>
      </c>
      <c r="G2" s="275">
        <v>67.109682281762417</v>
      </c>
      <c r="H2" s="275">
        <v>59.678053842928847</v>
      </c>
      <c r="I2" s="275">
        <v>51.879202201456387</v>
      </c>
      <c r="J2" s="275">
        <v>87.640867621974863</v>
      </c>
      <c r="K2" s="275">
        <v>23.807360979999999</v>
      </c>
      <c r="L2" s="275">
        <v>121.68235870919155</v>
      </c>
      <c r="M2" s="275">
        <v>48.162876733032775</v>
      </c>
      <c r="N2" s="275">
        <v>63.047566548401164</v>
      </c>
      <c r="O2" s="275">
        <v>127.0494835748425</v>
      </c>
    </row>
    <row r="3" spans="1:15" ht="14.4" thickBot="1">
      <c r="A3" s="186" t="s">
        <v>2568</v>
      </c>
      <c r="B3" s="275">
        <v>13.350632190000001</v>
      </c>
      <c r="C3" s="275">
        <v>13.350632192233759</v>
      </c>
      <c r="D3" s="275">
        <v>10.691530465992606</v>
      </c>
      <c r="E3" s="278">
        <v>84.984961119749272</v>
      </c>
      <c r="F3" s="275">
        <v>67.924671808358099</v>
      </c>
      <c r="G3" s="275">
        <v>67.924671808358099</v>
      </c>
      <c r="H3" s="275">
        <v>58.025192693113866</v>
      </c>
      <c r="I3" s="275">
        <v>28.157339458704037</v>
      </c>
      <c r="J3" s="275">
        <v>76.07282539043328</v>
      </c>
      <c r="K3" s="275">
        <v>58.669798795397895</v>
      </c>
      <c r="L3" s="275">
        <v>44.988365522370728</v>
      </c>
      <c r="M3" s="275">
        <v>65.663685945061914</v>
      </c>
      <c r="N3" s="275">
        <v>109.03620959640907</v>
      </c>
      <c r="O3" s="275">
        <v>61.595275331626489</v>
      </c>
    </row>
    <row r="4" spans="1:15" ht="14.4" thickBot="1">
      <c r="A4" s="186" t="s">
        <v>2569</v>
      </c>
      <c r="B4" s="275">
        <v>10.69153047</v>
      </c>
      <c r="C4" s="275">
        <v>39.53531931567273</v>
      </c>
      <c r="D4" s="275">
        <v>21.142041516925378</v>
      </c>
      <c r="E4" s="278">
        <v>74.495538527324982</v>
      </c>
      <c r="F4" s="275">
        <v>71.435399235427866</v>
      </c>
      <c r="G4" s="275">
        <v>71.435399235427866</v>
      </c>
      <c r="H4" s="275">
        <v>95.79005372113086</v>
      </c>
      <c r="I4" s="275">
        <v>38.69181493971</v>
      </c>
      <c r="J4" s="275">
        <v>51.997677877448595</v>
      </c>
      <c r="K4" s="275">
        <v>56.66259058095077</v>
      </c>
      <c r="L4" s="275">
        <v>61.563658530036889</v>
      </c>
      <c r="M4" s="275">
        <v>44.110235513939266</v>
      </c>
      <c r="N4" s="275">
        <v>86.172923405038759</v>
      </c>
      <c r="O4" s="275">
        <v>124.76988963015815</v>
      </c>
    </row>
    <row r="5" spans="1:15" ht="14.4" thickBot="1">
      <c r="A5" s="186" t="s">
        <v>2570</v>
      </c>
      <c r="B5" s="275">
        <v>86.658706780000003</v>
      </c>
      <c r="C5" s="275">
        <v>10.691530465992606</v>
      </c>
      <c r="D5" s="275">
        <v>76.973648407918404</v>
      </c>
      <c r="E5" s="278">
        <v>51.568176447439264</v>
      </c>
      <c r="F5" s="275">
        <v>38.260308128319764</v>
      </c>
      <c r="G5" s="275">
        <v>38.260308128319764</v>
      </c>
      <c r="H5" s="275">
        <v>42.072591571434828</v>
      </c>
      <c r="I5" s="275">
        <v>56.66259058095077</v>
      </c>
      <c r="J5" s="275">
        <v>79.560566272340424</v>
      </c>
      <c r="K5" s="275">
        <v>56.501303665073337</v>
      </c>
      <c r="L5" s="275">
        <v>21.142041516925378</v>
      </c>
      <c r="M5" s="275">
        <v>48.011927116897127</v>
      </c>
      <c r="N5" s="275">
        <v>59.754201188789928</v>
      </c>
      <c r="O5" s="275">
        <v>62.323344445059277</v>
      </c>
    </row>
    <row r="6" spans="1:15" ht="14.4" thickBot="1">
      <c r="A6" s="186" t="s">
        <v>2571</v>
      </c>
      <c r="B6" s="275">
        <v>219.59506569999999</v>
      </c>
      <c r="C6" s="275">
        <v>322.52178879594999</v>
      </c>
      <c r="D6" s="275">
        <v>75.354862986348024</v>
      </c>
      <c r="E6" s="278">
        <v>45.386344252232369</v>
      </c>
      <c r="F6" s="275">
        <v>51.861434598666222</v>
      </c>
      <c r="G6" s="275">
        <v>51.861434598666222</v>
      </c>
      <c r="H6" s="275">
        <v>51.861434598666222</v>
      </c>
      <c r="I6" s="275">
        <v>70.304491649087709</v>
      </c>
      <c r="J6" s="275">
        <v>21.142041516925378</v>
      </c>
      <c r="K6" s="275">
        <v>84.550124498106626</v>
      </c>
      <c r="L6" s="275">
        <v>69.370290882752684</v>
      </c>
      <c r="M6" s="275">
        <v>32.14728625989607</v>
      </c>
      <c r="N6" s="275">
        <v>47.646039239615014</v>
      </c>
      <c r="O6" s="275">
        <v>11.981885317748091</v>
      </c>
    </row>
    <row r="7" spans="1:15" ht="14.4" thickBot="1">
      <c r="A7" s="186" t="s">
        <v>2572</v>
      </c>
      <c r="B7" s="275">
        <v>70.258220539999996</v>
      </c>
      <c r="C7" s="275">
        <v>21.142041516925378</v>
      </c>
      <c r="D7" s="275">
        <v>64.221121537006525</v>
      </c>
      <c r="E7" s="278">
        <v>10.691530465992606</v>
      </c>
      <c r="F7" s="275">
        <v>10.691530465992606</v>
      </c>
      <c r="G7" s="275">
        <v>10.691530465992606</v>
      </c>
      <c r="H7" s="275">
        <v>10.691530465992606</v>
      </c>
      <c r="I7" s="275">
        <v>87.586142914988244</v>
      </c>
      <c r="J7" s="275">
        <v>10.691530465992606</v>
      </c>
      <c r="K7" s="275">
        <v>60.147277088819529</v>
      </c>
      <c r="L7" s="275">
        <v>52.942306802535754</v>
      </c>
      <c r="M7" s="275">
        <v>63.591269257261594</v>
      </c>
      <c r="N7" s="275">
        <v>0</v>
      </c>
      <c r="O7" s="275">
        <v>10.691530465992606</v>
      </c>
    </row>
    <row r="8" spans="1:15" ht="14.4" thickBot="1">
      <c r="A8" s="186" t="s">
        <v>2573</v>
      </c>
      <c r="B8" s="275" t="s">
        <v>23</v>
      </c>
      <c r="C8" s="275" t="s">
        <v>23</v>
      </c>
      <c r="D8" s="275">
        <v>79.66725064646306</v>
      </c>
      <c r="E8" s="278">
        <v>13.350632192233759</v>
      </c>
      <c r="F8" s="275">
        <v>62.189366117925204</v>
      </c>
      <c r="G8" s="275">
        <v>62.189366117925204</v>
      </c>
      <c r="H8" s="275">
        <v>62.189366117925204</v>
      </c>
      <c r="I8" s="275">
        <v>97.767896561336741</v>
      </c>
      <c r="J8" s="275">
        <v>58.669798795397895</v>
      </c>
      <c r="K8" s="275">
        <v>97.767896561336741</v>
      </c>
      <c r="L8" s="275">
        <v>10.691530465992606</v>
      </c>
      <c r="M8" s="275">
        <v>97.767896561336741</v>
      </c>
      <c r="N8" s="275">
        <v>10.691530465992606</v>
      </c>
      <c r="O8" s="275">
        <v>3.8175877037575976</v>
      </c>
    </row>
    <row r="9" spans="1:15" ht="14.4" thickBot="1">
      <c r="A9" s="187" t="s">
        <v>2560</v>
      </c>
      <c r="B9" s="276">
        <f>SUM(B2:B7)</f>
        <v>400.55415568000001</v>
      </c>
      <c r="C9" s="276">
        <f>SUM(C2:C7)</f>
        <v>407.24131228677447</v>
      </c>
      <c r="D9" s="276">
        <f t="shared" ref="D9:N9" si="0">SUM(D2:D8)</f>
        <v>341.40108775288775</v>
      </c>
      <c r="E9" s="279">
        <f t="shared" si="0"/>
        <v>335.4711018460618</v>
      </c>
      <c r="F9" s="276">
        <f t="shared" si="0"/>
        <v>369.47239263645218</v>
      </c>
      <c r="G9" s="276">
        <f t="shared" si="0"/>
        <v>369.47239263645218</v>
      </c>
      <c r="H9" s="276">
        <f t="shared" si="0"/>
        <v>380.30822301119247</v>
      </c>
      <c r="I9" s="276">
        <f t="shared" si="0"/>
        <v>431.04947830623388</v>
      </c>
      <c r="J9" s="276">
        <f t="shared" si="0"/>
        <v>385.77530794051313</v>
      </c>
      <c r="K9" s="276">
        <f t="shared" si="0"/>
        <v>438.1063521696849</v>
      </c>
      <c r="L9" s="276">
        <f t="shared" si="0"/>
        <v>382.38055242980562</v>
      </c>
      <c r="M9" s="276">
        <f t="shared" si="0"/>
        <v>399.45517738742552</v>
      </c>
      <c r="N9" s="276">
        <f t="shared" si="0"/>
        <v>376.34847044424652</v>
      </c>
      <c r="O9" s="276">
        <f t="shared" ref="O9" si="1">SUM(O2:O8)</f>
        <v>402.22899646918472</v>
      </c>
    </row>
    <row r="14" spans="1:15">
      <c r="A14" s="174"/>
      <c r="B14" s="174"/>
      <c r="C14" s="174"/>
      <c r="D14" s="174"/>
      <c r="E14" s="174"/>
      <c r="F14" s="174"/>
      <c r="G14" s="174"/>
    </row>
    <row r="15" spans="1:15">
      <c r="A15" s="174"/>
    </row>
    <row r="16" spans="1:15">
      <c r="A16" s="174"/>
    </row>
    <row r="17" spans="1:1">
      <c r="A17" s="174"/>
    </row>
    <row r="18" spans="1:1">
      <c r="A18" s="174"/>
    </row>
    <row r="19" spans="1:1">
      <c r="A19" s="174"/>
    </row>
    <row r="20" spans="1:1">
      <c r="A20" s="174"/>
    </row>
    <row r="21" spans="1:1">
      <c r="A21" s="174"/>
    </row>
    <row r="22" spans="1:1">
      <c r="A22" s="174"/>
    </row>
    <row r="23" spans="1:1">
      <c r="A23" s="174"/>
    </row>
  </sheetData>
  <phoneticPr fontId="6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3A5B-009A-4B7B-9A4F-57FD43255FA9}">
  <dimension ref="A1:AB20"/>
  <sheetViews>
    <sheetView zoomScale="70" zoomScaleNormal="70" workbookViewId="0">
      <selection activeCell="G52" sqref="G52"/>
    </sheetView>
  </sheetViews>
  <sheetFormatPr defaultRowHeight="13.2"/>
  <cols>
    <col min="2" max="2" width="8.77734375" bestFit="1" customWidth="1"/>
    <col min="10" max="10" width="16.77734375" customWidth="1"/>
    <col min="11" max="11" width="2.77734375" bestFit="1" customWidth="1"/>
    <col min="13" max="13" width="1.77734375" bestFit="1" customWidth="1"/>
    <col min="15" max="15" width="1.77734375" bestFit="1" customWidth="1"/>
  </cols>
  <sheetData>
    <row r="1" spans="1:28" ht="21.45" customHeight="1">
      <c r="A1" s="246" t="s">
        <v>2690</v>
      </c>
      <c r="B1" s="247" t="s">
        <v>2691</v>
      </c>
      <c r="C1" s="247"/>
      <c r="D1" s="247"/>
      <c r="E1" s="247"/>
      <c r="F1" s="247"/>
      <c r="G1" s="247"/>
      <c r="H1" s="248" t="s">
        <v>2692</v>
      </c>
      <c r="I1" s="247"/>
      <c r="J1" s="250"/>
      <c r="K1" s="250" t="s">
        <v>2690</v>
      </c>
      <c r="L1" s="250" t="s">
        <v>2693</v>
      </c>
      <c r="M1" s="250"/>
      <c r="N1" s="250" t="s">
        <v>2694</v>
      </c>
      <c r="O1" s="250"/>
      <c r="P1" s="249" t="s">
        <v>2695</v>
      </c>
      <c r="R1" s="248" t="s">
        <v>2692</v>
      </c>
      <c r="S1" s="248"/>
      <c r="T1" s="248"/>
      <c r="U1" s="248"/>
      <c r="V1" s="248" t="s">
        <v>2697</v>
      </c>
      <c r="W1" s="248" t="s">
        <v>2698</v>
      </c>
    </row>
    <row r="2" spans="1:28">
      <c r="A2" s="259">
        <v>1</v>
      </c>
      <c r="B2" s="252">
        <v>2.2240859999999998</v>
      </c>
      <c r="C2" s="244">
        <f>-(84-1/6*(2*G2+5))*LN(PRODUCT(B2:B10))</f>
        <v>186.6205627135358</v>
      </c>
      <c r="D2" s="251">
        <f>CHIINV((1-F2/2),H2)</f>
        <v>21.335881560799049</v>
      </c>
      <c r="E2" s="244">
        <f>CHIINV((F2/2),H2)</f>
        <v>54.437293631813226</v>
      </c>
      <c r="F2" s="244">
        <v>0.05</v>
      </c>
      <c r="G2" s="244">
        <v>9</v>
      </c>
      <c r="H2" s="244">
        <f>(G2*(G2-1)/2)</f>
        <v>36</v>
      </c>
      <c r="I2" s="244">
        <f>1-F2</f>
        <v>0.95</v>
      </c>
      <c r="J2" s="244">
        <f>NORMSINV((1+I2)/2)</f>
        <v>1.9599639845400536</v>
      </c>
      <c r="K2" s="244">
        <v>1</v>
      </c>
      <c r="L2" s="244">
        <f>$N2/(1+$J$2*SQRT(2/(84-1)))</f>
        <v>1.7052664887684552</v>
      </c>
      <c r="M2" s="251" t="s">
        <v>2696</v>
      </c>
      <c r="N2" s="252">
        <f>B2</f>
        <v>2.2240859999999998</v>
      </c>
      <c r="O2" s="251" t="s">
        <v>2696</v>
      </c>
      <c r="P2" s="253">
        <f>$N2/(1-$J$2*SQRT(2/(84-1)))</f>
        <v>3.196653028534592</v>
      </c>
      <c r="R2" s="244">
        <v>2</v>
      </c>
      <c r="S2" s="244">
        <f>CHIINV((1-F2/2),R2)</f>
        <v>5.0635615968579795E-2</v>
      </c>
      <c r="T2" s="244">
        <f>CHIINV((F2/2),R2)</f>
        <v>7.3777589082278725</v>
      </c>
      <c r="U2" s="244">
        <f>-(84-1)*(LN(B3)+LN(B4))+(84-1)*2*LN(0.5*(B3+B4))</f>
        <v>1.2390237121269791</v>
      </c>
      <c r="V2" s="242">
        <f>AVERAGE($N$3:$N$4)/(1+J2*SQRT(1/(84-1)))</f>
        <v>1.4400971458524705</v>
      </c>
      <c r="W2">
        <f>AVERAGE($N$3:$N$4)/(1-J2*SQRT(1/(84-1)))</f>
        <v>2.2295665653825272</v>
      </c>
    </row>
    <row r="3" spans="1:28">
      <c r="A3" s="259">
        <v>2</v>
      </c>
      <c r="B3" s="252">
        <v>1.96292</v>
      </c>
      <c r="C3" s="244"/>
      <c r="D3" s="244">
        <f>_xlfn.CHISQ.INV(F2/2,H2)</f>
        <v>21.335881560799052</v>
      </c>
      <c r="E3" s="244">
        <f>_xlfn.CHISQ.INV.RT(F2/2,H2)</f>
        <v>54.437293631813226</v>
      </c>
      <c r="F3" s="244"/>
      <c r="G3" s="244"/>
      <c r="H3" s="244"/>
      <c r="I3" s="244"/>
      <c r="J3" s="244"/>
      <c r="K3" s="244">
        <v>2</v>
      </c>
      <c r="L3" s="244">
        <f t="shared" ref="L3:L10" si="0">$N3/(1+$J$2*SQRT(2/(84-1)))</f>
        <v>1.505023500050527</v>
      </c>
      <c r="M3" s="251" t="s">
        <v>2696</v>
      </c>
      <c r="N3" s="252">
        <f t="shared" ref="N3:N10" si="1">B3</f>
        <v>1.96292</v>
      </c>
      <c r="O3" s="251" t="s">
        <v>2696</v>
      </c>
      <c r="P3" s="253">
        <f t="shared" ref="P3:P10" si="2">$N3/(1-$J$2*SQRT(2/(84-1)))</f>
        <v>2.8212821638961452</v>
      </c>
    </row>
    <row r="4" spans="1:28" ht="12.75" customHeight="1">
      <c r="A4" s="259">
        <v>3</v>
      </c>
      <c r="B4" s="252">
        <v>1.536902</v>
      </c>
      <c r="C4" s="244"/>
      <c r="D4" s="244"/>
      <c r="E4" s="244"/>
      <c r="F4" s="244"/>
      <c r="G4" s="244"/>
      <c r="H4" s="244"/>
      <c r="I4" s="244"/>
      <c r="J4" s="244"/>
      <c r="K4" s="244">
        <v>3</v>
      </c>
      <c r="L4" s="244">
        <f t="shared" si="0"/>
        <v>1.1783840539984589</v>
      </c>
      <c r="M4" s="251" t="s">
        <v>2696</v>
      </c>
      <c r="N4" s="252">
        <f t="shared" si="1"/>
        <v>1.536902</v>
      </c>
      <c r="O4" s="251" t="s">
        <v>2696</v>
      </c>
      <c r="P4" s="253">
        <f t="shared" si="2"/>
        <v>2.2089714304486749</v>
      </c>
      <c r="R4" s="350" t="s">
        <v>2712</v>
      </c>
      <c r="S4" s="350"/>
      <c r="T4" s="350"/>
      <c r="U4" s="350"/>
    </row>
    <row r="5" spans="1:28">
      <c r="A5" s="259">
        <v>4</v>
      </c>
      <c r="B5" s="252">
        <v>1.0042599999999999</v>
      </c>
      <c r="C5" s="244"/>
      <c r="D5" s="244"/>
      <c r="E5" s="251"/>
      <c r="F5" s="244"/>
      <c r="G5" s="244"/>
      <c r="H5" s="244"/>
      <c r="I5" s="244"/>
      <c r="J5" s="244"/>
      <c r="K5" s="244">
        <v>4</v>
      </c>
      <c r="L5" s="244">
        <f t="shared" si="0"/>
        <v>0.76999312257287211</v>
      </c>
      <c r="M5" s="251" t="s">
        <v>2696</v>
      </c>
      <c r="N5" s="252">
        <f t="shared" si="1"/>
        <v>1.0042599999999999</v>
      </c>
      <c r="O5" s="251" t="s">
        <v>2696</v>
      </c>
      <c r="P5" s="253">
        <f t="shared" si="2"/>
        <v>1.4434112576744558</v>
      </c>
      <c r="R5" s="350"/>
      <c r="S5" s="350"/>
      <c r="T5" s="350"/>
      <c r="U5" s="350"/>
    </row>
    <row r="6" spans="1:28">
      <c r="A6" s="259">
        <v>5</v>
      </c>
      <c r="B6" s="252">
        <v>0.61636100000000005</v>
      </c>
      <c r="C6" s="244"/>
      <c r="D6" s="244"/>
      <c r="E6" s="244"/>
      <c r="F6" s="244"/>
      <c r="G6" s="244"/>
      <c r="H6" s="244"/>
      <c r="I6" s="244"/>
      <c r="J6" s="244"/>
      <c r="K6" s="244">
        <v>5</v>
      </c>
      <c r="L6" s="244">
        <f t="shared" si="0"/>
        <v>0.47258053793055393</v>
      </c>
      <c r="M6" s="251" t="s">
        <v>2696</v>
      </c>
      <c r="N6" s="252">
        <f t="shared" si="1"/>
        <v>0.61636100000000005</v>
      </c>
      <c r="O6" s="251" t="s">
        <v>2696</v>
      </c>
      <c r="P6" s="253">
        <f t="shared" si="2"/>
        <v>0.88588852109163496</v>
      </c>
    </row>
    <row r="7" spans="1:28">
      <c r="A7" s="259">
        <v>6</v>
      </c>
      <c r="B7" s="252">
        <v>0.56977900000000004</v>
      </c>
      <c r="C7" s="244"/>
      <c r="D7" s="244"/>
      <c r="E7" s="244"/>
      <c r="F7" s="244"/>
      <c r="G7" s="244"/>
      <c r="H7" s="244"/>
      <c r="I7" s="244"/>
      <c r="J7" s="244"/>
      <c r="K7" s="244">
        <v>6</v>
      </c>
      <c r="L7" s="244">
        <f t="shared" si="0"/>
        <v>0.43686486705280358</v>
      </c>
      <c r="M7" s="251" t="s">
        <v>2696</v>
      </c>
      <c r="N7" s="252">
        <f t="shared" si="1"/>
        <v>0.56977900000000004</v>
      </c>
      <c r="O7" s="251" t="s">
        <v>2696</v>
      </c>
      <c r="P7" s="253">
        <f t="shared" si="2"/>
        <v>0.81893675242117958</v>
      </c>
    </row>
    <row r="8" spans="1:28">
      <c r="A8" s="259">
        <v>7</v>
      </c>
      <c r="B8" s="252">
        <v>0.47605700000000001</v>
      </c>
      <c r="C8" s="244"/>
      <c r="D8" s="244"/>
      <c r="E8" s="244"/>
      <c r="F8" s="244"/>
      <c r="G8" s="244"/>
      <c r="H8" s="244"/>
      <c r="I8" s="244"/>
      <c r="J8" s="244"/>
      <c r="K8" s="244">
        <v>7</v>
      </c>
      <c r="L8" s="244">
        <f t="shared" si="0"/>
        <v>0.36500569170600622</v>
      </c>
      <c r="M8" s="251" t="s">
        <v>2696</v>
      </c>
      <c r="N8" s="252">
        <f t="shared" si="1"/>
        <v>0.47605700000000001</v>
      </c>
      <c r="O8" s="251" t="s">
        <v>2696</v>
      </c>
      <c r="P8" s="253">
        <f t="shared" si="2"/>
        <v>0.68423120814801786</v>
      </c>
      <c r="R8" s="243" t="s">
        <v>2699</v>
      </c>
      <c r="S8" s="243" t="s">
        <v>2700</v>
      </c>
      <c r="T8" s="243" t="s">
        <v>2701</v>
      </c>
      <c r="U8" s="243" t="s">
        <v>2702</v>
      </c>
      <c r="V8" s="243" t="s">
        <v>2703</v>
      </c>
      <c r="W8" s="243" t="s">
        <v>2704</v>
      </c>
      <c r="X8" s="243" t="s">
        <v>2705</v>
      </c>
      <c r="Y8" s="243" t="s">
        <v>2706</v>
      </c>
      <c r="Z8" s="243" t="s">
        <v>2707</v>
      </c>
    </row>
    <row r="9" spans="1:28">
      <c r="A9" s="259">
        <v>8</v>
      </c>
      <c r="B9" s="252">
        <v>0.38460699999999998</v>
      </c>
      <c r="C9" s="244"/>
      <c r="D9" s="244"/>
      <c r="E9" s="244"/>
      <c r="F9" s="244"/>
      <c r="G9" s="244"/>
      <c r="H9" s="244"/>
      <c r="I9" s="244"/>
      <c r="J9" s="244"/>
      <c r="K9" s="244">
        <v>8</v>
      </c>
      <c r="L9" s="244">
        <f t="shared" si="0"/>
        <v>0.29488851979904068</v>
      </c>
      <c r="M9" s="251" t="s">
        <v>2696</v>
      </c>
      <c r="N9" s="252">
        <f t="shared" si="1"/>
        <v>0.38460699999999998</v>
      </c>
      <c r="O9" s="251" t="s">
        <v>2696</v>
      </c>
      <c r="P9" s="253">
        <f t="shared" si="2"/>
        <v>0.55279118314022202</v>
      </c>
      <c r="Q9" s="243" t="s">
        <v>2532</v>
      </c>
      <c r="R9" s="245">
        <v>0.6026021346410152</v>
      </c>
      <c r="S9" s="245">
        <v>0.62594196963367044</v>
      </c>
      <c r="T9" s="245">
        <v>5.0127547065968427E-2</v>
      </c>
      <c r="U9" s="245">
        <v>0.1215048932345501</v>
      </c>
      <c r="V9" s="245">
        <v>0.1820573800344952</v>
      </c>
      <c r="W9" s="245">
        <v>0.12087029059275076</v>
      </c>
      <c r="X9" s="245">
        <v>0.17910665428464745</v>
      </c>
      <c r="Y9" s="245">
        <v>0.31548323206950168</v>
      </c>
      <c r="Z9" s="245">
        <v>0.22006300875740584</v>
      </c>
      <c r="AA9" s="266">
        <f>MAX(R9:Z9)</f>
        <v>0.62594196963367044</v>
      </c>
      <c r="AB9" s="265">
        <f>_xlfn.XMATCH(AA9,R9:Z9,0,1)</f>
        <v>2</v>
      </c>
    </row>
    <row r="10" spans="1:28">
      <c r="A10" s="260">
        <v>9</v>
      </c>
      <c r="B10" s="256">
        <v>0.22502900000000001</v>
      </c>
      <c r="C10" s="254"/>
      <c r="D10" s="254"/>
      <c r="E10" s="254"/>
      <c r="F10" s="254"/>
      <c r="G10" s="254"/>
      <c r="H10" s="254"/>
      <c r="I10" s="254"/>
      <c r="J10" s="254"/>
      <c r="K10" s="254">
        <v>9</v>
      </c>
      <c r="L10" s="254">
        <f t="shared" si="0"/>
        <v>0.17253577995683472</v>
      </c>
      <c r="M10" s="255" t="s">
        <v>2696</v>
      </c>
      <c r="N10" s="256">
        <f t="shared" si="1"/>
        <v>0.22502900000000001</v>
      </c>
      <c r="O10" s="255" t="s">
        <v>2696</v>
      </c>
      <c r="P10" s="257">
        <f t="shared" si="2"/>
        <v>0.32343157340053885</v>
      </c>
      <c r="Q10" s="243" t="s">
        <v>2533</v>
      </c>
      <c r="R10" s="245">
        <v>0.35470221413586095</v>
      </c>
      <c r="S10" s="245">
        <v>0.17441719108882822</v>
      </c>
      <c r="T10" s="245">
        <v>7.217123645256833E-2</v>
      </c>
      <c r="U10" s="245">
        <v>0.86077461693839374</v>
      </c>
      <c r="V10" s="245">
        <v>0.2433438558949137</v>
      </c>
      <c r="W10" s="245">
        <v>0.15649751964750955</v>
      </c>
      <c r="X10" s="245">
        <v>7.2607860913852157E-2</v>
      </c>
      <c r="Y10" s="245">
        <v>3.1158454803604095E-2</v>
      </c>
      <c r="Z10" s="245">
        <v>8.7595077335482413E-2</v>
      </c>
      <c r="AA10" s="266">
        <f t="shared" ref="AA10:AA17" si="3">MAX(R10:Z10)</f>
        <v>0.86077461693839374</v>
      </c>
      <c r="AB10" s="265">
        <f t="shared" ref="AB10:AB17" si="4">_xlfn.XMATCH(AA10,R10:Z10,0,1)</f>
        <v>4</v>
      </c>
    </row>
    <row r="11" spans="1:28">
      <c r="Q11" s="243" t="s">
        <v>2534</v>
      </c>
      <c r="R11" s="245">
        <v>0.5911415183180021</v>
      </c>
      <c r="S11" s="245">
        <v>0.41620130983344911</v>
      </c>
      <c r="T11" s="245">
        <v>0.28646878367978434</v>
      </c>
      <c r="U11" s="245">
        <v>0.18260825964009381</v>
      </c>
      <c r="V11" s="245">
        <v>0.15762901121448486</v>
      </c>
      <c r="W11" s="245">
        <v>0.54533852684549655</v>
      </c>
      <c r="X11" s="245">
        <v>3.9904590996990182E-3</v>
      </c>
      <c r="Y11" s="245">
        <v>0.19555226590372138</v>
      </c>
      <c r="Z11" s="245">
        <v>3.7688300564899073E-2</v>
      </c>
      <c r="AA11" s="266">
        <f t="shared" si="3"/>
        <v>0.5911415183180021</v>
      </c>
      <c r="AB11" s="265">
        <f t="shared" si="4"/>
        <v>1</v>
      </c>
    </row>
    <row r="12" spans="1:28">
      <c r="J12" s="258"/>
      <c r="Q12" s="243" t="s">
        <v>2535</v>
      </c>
      <c r="R12" s="245">
        <v>0.67548948296064737</v>
      </c>
      <c r="S12" s="245">
        <v>0.39887728199341449</v>
      </c>
      <c r="T12" s="245">
        <v>0.40309693408627767</v>
      </c>
      <c r="U12" s="245">
        <v>2.3270489757172708E-2</v>
      </c>
      <c r="V12" s="245">
        <v>0.10835129930655395</v>
      </c>
      <c r="W12" s="245">
        <v>9.7859218149738366E-4</v>
      </c>
      <c r="X12" s="245">
        <v>0.31746568644642548</v>
      </c>
      <c r="Y12" s="245">
        <v>0.24186884775406811</v>
      </c>
      <c r="Z12" s="245">
        <v>0.22484718158551908</v>
      </c>
      <c r="AA12" s="266">
        <f t="shared" si="3"/>
        <v>0.67548948296064737</v>
      </c>
      <c r="AB12" s="265">
        <f t="shared" si="4"/>
        <v>1</v>
      </c>
    </row>
    <row r="13" spans="1:28">
      <c r="F13" s="258"/>
      <c r="J13" s="258"/>
      <c r="Q13" s="243" t="s">
        <v>2536</v>
      </c>
      <c r="R13" s="245">
        <v>0.53737704543734199</v>
      </c>
      <c r="S13" s="245">
        <v>0.50903143209961776</v>
      </c>
      <c r="T13" s="245">
        <v>0.49076567492263284</v>
      </c>
      <c r="U13" s="245">
        <v>5.3564458225975151E-2</v>
      </c>
      <c r="V13" s="245">
        <v>0.22660251869914066</v>
      </c>
      <c r="W13" s="245">
        <v>0.10670050827162998</v>
      </c>
      <c r="X13" s="245">
        <v>0.25965477530694364</v>
      </c>
      <c r="Y13" s="245">
        <v>8.7163722760021309E-2</v>
      </c>
      <c r="Z13" s="245">
        <v>0.265783740008733</v>
      </c>
      <c r="AA13" s="266">
        <f t="shared" si="3"/>
        <v>0.53737704543734199</v>
      </c>
      <c r="AB13" s="265">
        <f t="shared" si="4"/>
        <v>1</v>
      </c>
    </row>
    <row r="14" spans="1:28">
      <c r="Q14" s="243" t="s">
        <v>2537</v>
      </c>
      <c r="R14" s="245">
        <v>0.70791062165591279</v>
      </c>
      <c r="S14" s="245">
        <v>0.13423902474534902</v>
      </c>
      <c r="T14" s="245">
        <v>0.41732935911597097</v>
      </c>
      <c r="U14" s="245">
        <v>0.10488598030729057</v>
      </c>
      <c r="V14" s="245">
        <v>0.24956890489969388</v>
      </c>
      <c r="W14" s="245">
        <v>0.16103674521622507</v>
      </c>
      <c r="X14" s="245">
        <v>0.30751841455734452</v>
      </c>
      <c r="Y14" s="245">
        <v>0.33398659838223171</v>
      </c>
      <c r="Z14" s="245">
        <v>3.6680762580994918E-2</v>
      </c>
      <c r="AA14" s="266">
        <f t="shared" si="3"/>
        <v>0.70791062165591279</v>
      </c>
      <c r="AB14" s="265">
        <f t="shared" si="4"/>
        <v>1</v>
      </c>
    </row>
    <row r="15" spans="1:28">
      <c r="Q15" s="243" t="s">
        <v>2538</v>
      </c>
      <c r="R15" s="245">
        <v>0.36746162466765259</v>
      </c>
      <c r="S15" s="245">
        <v>0.67878228333176782</v>
      </c>
      <c r="T15" s="245">
        <v>0.23862096278497416</v>
      </c>
      <c r="U15" s="245">
        <v>0.17133410588618087</v>
      </c>
      <c r="V15" s="245">
        <v>0.41247424497000712</v>
      </c>
      <c r="W15" s="245">
        <v>0.31617687631424157</v>
      </c>
      <c r="X15" s="245">
        <v>4.7685263694014664E-3</v>
      </c>
      <c r="Y15" s="245">
        <v>0.11803243875355021</v>
      </c>
      <c r="Z15" s="245">
        <v>0.1840489369434668</v>
      </c>
      <c r="AA15" s="266">
        <f t="shared" si="3"/>
        <v>0.67878228333176782</v>
      </c>
      <c r="AB15" s="265">
        <f t="shared" si="4"/>
        <v>2</v>
      </c>
    </row>
    <row r="16" spans="1:28">
      <c r="Q16" s="243" t="s">
        <v>2539</v>
      </c>
      <c r="R16" s="245">
        <v>1.1980658979554651E-2</v>
      </c>
      <c r="S16" s="245">
        <v>0.13005666779540667</v>
      </c>
      <c r="T16" s="245">
        <v>0.83786943003376646</v>
      </c>
      <c r="U16" s="245">
        <v>0.20475900376357375</v>
      </c>
      <c r="V16" s="245">
        <v>0.19206100461576642</v>
      </c>
      <c r="W16" s="245">
        <v>0.19463986180234538</v>
      </c>
      <c r="X16" s="245">
        <v>0.38263423864303836</v>
      </c>
      <c r="Y16" s="245">
        <v>0.1047556775411321</v>
      </c>
      <c r="Z16" s="245">
        <v>8.267694787254222E-2</v>
      </c>
      <c r="AA16" s="266">
        <f t="shared" si="3"/>
        <v>0.83786943003376646</v>
      </c>
      <c r="AB16" s="265">
        <f t="shared" si="4"/>
        <v>3</v>
      </c>
    </row>
    <row r="17" spans="17:28">
      <c r="Q17" s="243" t="s">
        <v>2540</v>
      </c>
      <c r="R17" s="245">
        <v>6.5765309438159655E-2</v>
      </c>
      <c r="S17" s="245">
        <v>0.67347984119283821</v>
      </c>
      <c r="T17" s="245">
        <v>0.33263942744134917</v>
      </c>
      <c r="U17" s="245">
        <v>0.35989444037437246</v>
      </c>
      <c r="V17" s="245">
        <v>0.40835888805198794</v>
      </c>
      <c r="W17" s="245">
        <v>0.24106609488770467</v>
      </c>
      <c r="X17" s="245">
        <v>0.17171457193795012</v>
      </c>
      <c r="Y17" s="245">
        <v>0.20812410670424997</v>
      </c>
      <c r="Z17" s="245">
        <v>6.5233803489772507E-2</v>
      </c>
      <c r="AA17" s="266">
        <f t="shared" si="3"/>
        <v>0.67347984119283821</v>
      </c>
      <c r="AB17" s="265">
        <f t="shared" si="4"/>
        <v>2</v>
      </c>
    </row>
    <row r="18" spans="17:28">
      <c r="R18" s="264">
        <f>MAX(R9:R17)</f>
        <v>0.70791062165591279</v>
      </c>
      <c r="S18" s="264">
        <f t="shared" ref="S18:Z18" si="5">MAX(S9:S17)</f>
        <v>0.67878228333176782</v>
      </c>
      <c r="T18" s="264">
        <f t="shared" si="5"/>
        <v>0.83786943003376646</v>
      </c>
      <c r="U18" s="264">
        <f t="shared" si="5"/>
        <v>0.86077461693839374</v>
      </c>
      <c r="V18" s="264">
        <f t="shared" si="5"/>
        <v>0.41247424497000712</v>
      </c>
      <c r="W18" s="264">
        <f t="shared" si="5"/>
        <v>0.54533852684549655</v>
      </c>
      <c r="X18" s="264">
        <f t="shared" si="5"/>
        <v>0.38263423864303836</v>
      </c>
      <c r="Y18" s="264">
        <f t="shared" si="5"/>
        <v>0.33398659838223171</v>
      </c>
      <c r="Z18" s="264">
        <f t="shared" si="5"/>
        <v>0.265783740008733</v>
      </c>
      <c r="AA18" s="262"/>
      <c r="AB18" s="261"/>
    </row>
    <row r="19" spans="17:28">
      <c r="R19" s="263"/>
      <c r="S19" s="262"/>
      <c r="T19" s="262"/>
      <c r="U19" s="262"/>
      <c r="V19" s="262"/>
      <c r="W19" s="262"/>
      <c r="X19" s="262"/>
      <c r="Y19" s="262"/>
      <c r="Z19" s="262"/>
      <c r="AA19" s="262"/>
      <c r="AB19" s="261"/>
    </row>
    <row r="20" spans="17:28">
      <c r="R20">
        <f>AVERAGE(R18:Z18,AA9:AA17)</f>
        <v>0.62301783946176048</v>
      </c>
      <c r="S20" s="261"/>
      <c r="T20" s="261"/>
      <c r="U20" s="261"/>
      <c r="V20" s="261"/>
      <c r="W20" s="261"/>
      <c r="X20" s="261"/>
      <c r="Y20" s="261"/>
      <c r="Z20" s="261"/>
      <c r="AA20" s="261"/>
    </row>
  </sheetData>
  <mergeCells count="1">
    <mergeCell ref="R4:U5"/>
  </mergeCells>
  <phoneticPr fontId="61" type="noConversion"/>
  <conditionalFormatting sqref="R9:Z17">
    <cfRule type="expression" dxfId="128" priority="1">
      <formula>AND(R9=$AA9,R9=R$18)</formula>
    </cfRule>
    <cfRule type="expression" dxfId="127" priority="2">
      <formula>R9=MAX(R$9:R$17)</formula>
    </cfRule>
    <cfRule type="expression" dxfId="126" priority="3">
      <formula>R9=MAX($R9:$Z9)</formula>
    </cfRule>
  </conditionalFormatting>
  <pageMargins left="0.7" right="0.7" top="0.75" bottom="0.75" header="0.3" footer="0.3"/>
  <pageSetup paperSize="9" orientation="portrait" horizontalDpi="30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9DF2-C004-4F45-B5AE-20DEED65F222}">
  <dimension ref="A1:M34"/>
  <sheetViews>
    <sheetView zoomScaleNormal="100" workbookViewId="0">
      <pane xSplit="1" topLeftCell="B1" activePane="topRight" state="frozen"/>
      <selection pane="topRight" activeCell="M2" sqref="M2"/>
    </sheetView>
  </sheetViews>
  <sheetFormatPr defaultRowHeight="13.2"/>
  <cols>
    <col min="1" max="1" width="43.77734375" bestFit="1" customWidth="1"/>
    <col min="2" max="3" width="9.109375" customWidth="1"/>
    <col min="4" max="7" width="13.109375" customWidth="1"/>
    <col min="8" max="10" width="9.109375" customWidth="1"/>
    <col min="11" max="11" width="12.109375" style="192" customWidth="1"/>
    <col min="12" max="18" width="9.109375" customWidth="1"/>
    <col min="19" max="19" width="10.77734375" customWidth="1"/>
    <col min="20" max="20" width="13.77734375" customWidth="1"/>
  </cols>
  <sheetData>
    <row r="1" spans="1:13" ht="27.6">
      <c r="A1" s="204" t="s">
        <v>239</v>
      </c>
      <c r="B1" s="316" t="s">
        <v>2532</v>
      </c>
      <c r="C1" s="317" t="s">
        <v>2533</v>
      </c>
      <c r="D1" s="317" t="s">
        <v>2534</v>
      </c>
      <c r="E1" s="317" t="s">
        <v>2535</v>
      </c>
      <c r="F1" s="317" t="s">
        <v>2536</v>
      </c>
      <c r="G1" s="317" t="s">
        <v>2537</v>
      </c>
      <c r="H1" s="317" t="s">
        <v>2538</v>
      </c>
      <c r="I1" s="317" t="s">
        <v>2539</v>
      </c>
      <c r="J1" s="318" t="s">
        <v>2540</v>
      </c>
      <c r="K1" s="204" t="s">
        <v>2578</v>
      </c>
      <c r="L1" s="333" t="s">
        <v>2738</v>
      </c>
      <c r="M1" s="333" t="s">
        <v>2739</v>
      </c>
    </row>
    <row r="2" spans="1:13" ht="13.8">
      <c r="A2" s="205" t="s">
        <v>272</v>
      </c>
      <c r="B2" s="319">
        <v>0.24638174702950655</v>
      </c>
      <c r="C2" s="178">
        <v>0.88470005363116744</v>
      </c>
      <c r="D2" s="178">
        <v>-0.98214686388562433</v>
      </c>
      <c r="E2" s="178">
        <v>-0.70754338610026268</v>
      </c>
      <c r="F2" s="178">
        <v>1.1357771578556701</v>
      </c>
      <c r="G2" s="178">
        <v>1.4412278849769034</v>
      </c>
      <c r="H2" s="178">
        <v>-0.65760601477752856</v>
      </c>
      <c r="I2" s="178">
        <v>-0.42783496376227154</v>
      </c>
      <c r="J2" s="320">
        <v>-0.62932120436653038</v>
      </c>
      <c r="K2" s="208">
        <v>4</v>
      </c>
      <c r="L2" s="335">
        <v>4</v>
      </c>
      <c r="M2" s="212">
        <f>IF(Таблица113[[#This Row],[Train]]=Таблица113[[#This Row],[Pred_train]],1,0)</f>
        <v>1</v>
      </c>
    </row>
    <row r="3" spans="1:13" ht="13.8">
      <c r="A3" s="205" t="s">
        <v>274</v>
      </c>
      <c r="B3" s="319">
        <v>-0.11610156000757796</v>
      </c>
      <c r="C3" s="178">
        <v>-3.0388271446824808E-2</v>
      </c>
      <c r="D3" s="178">
        <v>0.92212858990523339</v>
      </c>
      <c r="E3" s="178">
        <v>0.77805964730108756</v>
      </c>
      <c r="F3" s="178">
        <v>-0.53353877783248993</v>
      </c>
      <c r="G3" s="178">
        <v>-0.39049367684417485</v>
      </c>
      <c r="H3" s="178">
        <v>1.0252352593361418</v>
      </c>
      <c r="I3" s="178">
        <v>-0.16330609026888029</v>
      </c>
      <c r="J3" s="320">
        <v>-0.82754975956678767</v>
      </c>
      <c r="K3" s="208">
        <v>1</v>
      </c>
      <c r="L3" s="335">
        <v>1</v>
      </c>
      <c r="M3" s="212">
        <f>IF(Таблица113[[#This Row],[Train]]=Таблица113[[#This Row],[Pred_train]],1,0)</f>
        <v>1</v>
      </c>
    </row>
    <row r="4" spans="1:13" ht="13.8">
      <c r="A4" s="205" t="s">
        <v>280</v>
      </c>
      <c r="B4" s="319">
        <v>2.7956878664803124</v>
      </c>
      <c r="C4" s="178">
        <v>-0.89731405309965961</v>
      </c>
      <c r="D4" s="178">
        <v>2.1277130498591585</v>
      </c>
      <c r="E4" s="178">
        <v>2.358893644382011</v>
      </c>
      <c r="F4" s="178">
        <v>2.356098150479347</v>
      </c>
      <c r="G4" s="178">
        <v>-0.75896966849895553</v>
      </c>
      <c r="H4" s="178">
        <v>5.316240787346783</v>
      </c>
      <c r="I4" s="178">
        <v>-0.76794351539663175</v>
      </c>
      <c r="J4" s="320">
        <v>-1.1813114888472469</v>
      </c>
      <c r="K4" s="208">
        <v>6</v>
      </c>
      <c r="L4" s="335">
        <v>6</v>
      </c>
      <c r="M4" s="212">
        <f>IF(Таблица113[[#This Row],[Train]]=Таблица113[[#This Row],[Pred_train]],1,0)</f>
        <v>1</v>
      </c>
    </row>
    <row r="5" spans="1:13" ht="13.8">
      <c r="A5" s="205" t="s">
        <v>283</v>
      </c>
      <c r="B5" s="319">
        <v>-0.37244541911868007</v>
      </c>
      <c r="C5" s="178">
        <v>-0.27120098857261227</v>
      </c>
      <c r="D5" s="178">
        <v>-1.3383422725083747</v>
      </c>
      <c r="E5" s="178">
        <v>-0.73135112702015614</v>
      </c>
      <c r="F5" s="178">
        <v>-0.2509082768297945</v>
      </c>
      <c r="G5" s="178">
        <v>-0.32958855425660777</v>
      </c>
      <c r="H5" s="178">
        <v>8.0734601215363855E-2</v>
      </c>
      <c r="I5" s="178">
        <v>0.78143988649323137</v>
      </c>
      <c r="J5" s="320">
        <v>0.47160969451489787</v>
      </c>
      <c r="K5" s="208">
        <v>2</v>
      </c>
      <c r="L5" s="335">
        <v>2</v>
      </c>
      <c r="M5" s="212">
        <f>IF(Таблица113[[#This Row],[Train]]=Таблица113[[#This Row],[Pred_train]],1,0)</f>
        <v>1</v>
      </c>
    </row>
    <row r="6" spans="1:13" ht="13.8">
      <c r="A6" s="205" t="s">
        <v>284</v>
      </c>
      <c r="B6" s="319">
        <v>-0.31512344704553558</v>
      </c>
      <c r="C6" s="178">
        <v>1.7774271978332722E-2</v>
      </c>
      <c r="D6" s="178">
        <v>-0.24235639982298909</v>
      </c>
      <c r="E6" s="178">
        <v>-0.43137359142949905</v>
      </c>
      <c r="F6" s="178">
        <v>-8.0762824721148818E-2</v>
      </c>
      <c r="G6" s="178">
        <v>0.61900873004474877</v>
      </c>
      <c r="H6" s="178">
        <v>-0.6504143854009744</v>
      </c>
      <c r="I6" s="178">
        <v>0.40354149578838666</v>
      </c>
      <c r="J6" s="320">
        <v>-5.9032899405790804E-2</v>
      </c>
      <c r="K6" s="208">
        <v>3</v>
      </c>
      <c r="L6" s="335">
        <v>3</v>
      </c>
      <c r="M6" s="212">
        <f>IF(Таблица113[[#This Row],[Train]]=Таблица113[[#This Row],[Pred_train]],1,0)</f>
        <v>1</v>
      </c>
    </row>
    <row r="7" spans="1:13" ht="13.8">
      <c r="A7" s="205" t="s">
        <v>288</v>
      </c>
      <c r="B7" s="319">
        <v>1.5429839109705534</v>
      </c>
      <c r="C7" s="178">
        <v>-0.7528264228241871</v>
      </c>
      <c r="D7" s="178">
        <v>0.37413565356254047</v>
      </c>
      <c r="E7" s="178">
        <v>-1.7550839865755739</v>
      </c>
      <c r="F7" s="178">
        <v>1.2000543286522698</v>
      </c>
      <c r="G7" s="178">
        <v>0.1535920849380904</v>
      </c>
      <c r="H7" s="178">
        <v>-0.71897458545745729</v>
      </c>
      <c r="I7" s="178">
        <v>2.0662944148897031</v>
      </c>
      <c r="J7" s="320">
        <v>0.90466284587545942</v>
      </c>
      <c r="K7" s="208">
        <v>5</v>
      </c>
      <c r="L7" s="335">
        <v>5</v>
      </c>
      <c r="M7" s="212">
        <f>IF(Таблица113[[#This Row],[Train]]=Таблица113[[#This Row],[Pred_train]],1,0)</f>
        <v>1</v>
      </c>
    </row>
    <row r="8" spans="1:13" ht="13.8">
      <c r="A8" s="205" t="s">
        <v>290</v>
      </c>
      <c r="B8" s="319">
        <v>-0.44331622095456774</v>
      </c>
      <c r="C8" s="178">
        <v>-0.12671335829713987</v>
      </c>
      <c r="D8" s="178">
        <v>-0.31085551686582569</v>
      </c>
      <c r="E8" s="178">
        <v>-0.55041229602896624</v>
      </c>
      <c r="F8" s="178">
        <v>-0.62239251393367145</v>
      </c>
      <c r="G8" s="178">
        <v>-0.31791507242732436</v>
      </c>
      <c r="H8" s="178">
        <v>-0.29083291657326704</v>
      </c>
      <c r="I8" s="178">
        <v>-0.35225528562130259</v>
      </c>
      <c r="J8" s="320">
        <v>-8.0380589965818164E-2</v>
      </c>
      <c r="K8" s="208">
        <v>3</v>
      </c>
      <c r="L8" s="335">
        <v>3</v>
      </c>
      <c r="M8" s="212">
        <f>IF(Таблица113[[#This Row],[Train]]=Таблица113[[#This Row],[Pred_train]],1,0)</f>
        <v>1</v>
      </c>
    </row>
    <row r="9" spans="1:13" ht="13.8">
      <c r="A9" s="205" t="s">
        <v>291</v>
      </c>
      <c r="B9" s="319">
        <v>-0.49046614852891424</v>
      </c>
      <c r="C9" s="178">
        <v>-0.22303844514745472</v>
      </c>
      <c r="D9" s="178">
        <v>-0.87254827661708567</v>
      </c>
      <c r="E9" s="178">
        <v>-1.0122824698748982</v>
      </c>
      <c r="F9" s="178">
        <v>0.36917737085504809</v>
      </c>
      <c r="G9" s="178">
        <v>0.13227529203244229</v>
      </c>
      <c r="H9" s="178">
        <v>-0.45144597264964303</v>
      </c>
      <c r="I9" s="178">
        <v>-0.31446544655081815</v>
      </c>
      <c r="J9" s="320">
        <v>1.185232493235824</v>
      </c>
      <c r="K9" s="208">
        <v>2</v>
      </c>
      <c r="L9" s="335">
        <v>2</v>
      </c>
      <c r="M9" s="212">
        <f>IF(Таблица113[[#This Row],[Train]]=Таблица113[[#This Row],[Pred_train]],1,0)</f>
        <v>1</v>
      </c>
    </row>
    <row r="10" spans="1:13" ht="13.8">
      <c r="A10" s="205" t="s">
        <v>293</v>
      </c>
      <c r="B10" s="319">
        <v>0.19114421030447643</v>
      </c>
      <c r="C10" s="178">
        <v>-0.80098896624934468</v>
      </c>
      <c r="D10" s="178">
        <v>0.47003441742251212</v>
      </c>
      <c r="E10" s="178">
        <v>0.66378249088559882</v>
      </c>
      <c r="F10" s="178">
        <v>-0.44657554675473737</v>
      </c>
      <c r="G10" s="178">
        <v>-0.80921639463369821</v>
      </c>
      <c r="H10" s="178">
        <v>0.42353560149777819</v>
      </c>
      <c r="I10" s="178">
        <v>-0.20109592933936477</v>
      </c>
      <c r="J10" s="320">
        <v>0.15444400619448617</v>
      </c>
      <c r="K10" s="208">
        <v>1</v>
      </c>
      <c r="L10" s="335">
        <v>1</v>
      </c>
      <c r="M10" s="212">
        <f>IF(Таблица113[[#This Row],[Train]]=Таблица113[[#This Row],[Pred_train]],1,0)</f>
        <v>1</v>
      </c>
    </row>
    <row r="11" spans="1:13" ht="13.8">
      <c r="A11" s="205" t="s">
        <v>294</v>
      </c>
      <c r="B11" s="319">
        <v>1.4092271835644004E-2</v>
      </c>
      <c r="C11" s="178">
        <v>-0.80098896624934468</v>
      </c>
      <c r="D11" s="178">
        <v>-9.1658342328748324E-2</v>
      </c>
      <c r="E11" s="178">
        <v>0.26857399161536866</v>
      </c>
      <c r="F11" s="178">
        <v>-3.8226461693987059E-2</v>
      </c>
      <c r="G11" s="178">
        <v>4.8820772867810966E-3</v>
      </c>
      <c r="H11" s="178">
        <v>-0.70075579103685348</v>
      </c>
      <c r="I11" s="178">
        <v>2.5643105083542034E-2</v>
      </c>
      <c r="J11" s="320">
        <v>0.10564928491442305</v>
      </c>
      <c r="K11" s="208">
        <v>3</v>
      </c>
      <c r="L11" s="335">
        <v>3</v>
      </c>
      <c r="M11" s="212">
        <f>IF(Таблица113[[#This Row],[Train]]=Таблица113[[#This Row],[Pred_train]],1,0)</f>
        <v>1</v>
      </c>
    </row>
    <row r="12" spans="1:13" ht="13.8">
      <c r="A12" s="205" t="s">
        <v>298</v>
      </c>
      <c r="B12" s="319">
        <v>-0.19109954383273209</v>
      </c>
      <c r="C12" s="178">
        <v>-0.36752607542292731</v>
      </c>
      <c r="D12" s="178">
        <v>1.0180273537652051</v>
      </c>
      <c r="E12" s="178">
        <v>-6.4734381263140059E-2</v>
      </c>
      <c r="F12" s="178">
        <v>-0.95512139805724605</v>
      </c>
      <c r="G12" s="178">
        <v>-0.99700718927869658</v>
      </c>
      <c r="H12" s="178">
        <v>0.62969564362566377</v>
      </c>
      <c r="I12" s="178">
        <v>0.5547008520703246</v>
      </c>
      <c r="J12" s="320">
        <v>0.19408971723453797</v>
      </c>
      <c r="K12" s="208">
        <v>1</v>
      </c>
      <c r="L12" s="335">
        <v>1</v>
      </c>
      <c r="M12" s="212">
        <f>IF(Таблица113[[#This Row],[Train]]=Таблица113[[#This Row],[Pred_train]],1,0)</f>
        <v>1</v>
      </c>
    </row>
    <row r="13" spans="1:13" ht="13.8">
      <c r="A13" s="205" t="s">
        <v>301</v>
      </c>
      <c r="B13" s="319">
        <v>1.0732355609195048</v>
      </c>
      <c r="C13" s="178">
        <v>-0.12671335829713987</v>
      </c>
      <c r="D13" s="178">
        <v>0.5385335344653488</v>
      </c>
      <c r="E13" s="178">
        <v>-1.2551214272578117</v>
      </c>
      <c r="F13" s="178">
        <v>0.59131171110800262</v>
      </c>
      <c r="G13" s="178">
        <v>0.40381063023534536</v>
      </c>
      <c r="H13" s="178">
        <v>-0.67198927353063687</v>
      </c>
      <c r="I13" s="178">
        <v>0.78143988649323137</v>
      </c>
      <c r="J13" s="320">
        <v>-0.13832432148589352</v>
      </c>
      <c r="K13" s="208">
        <v>5</v>
      </c>
      <c r="L13" s="336">
        <v>1</v>
      </c>
      <c r="M13" s="212">
        <f>IF(Таблица113[[#This Row],[Train]]=Таблица113[[#This Row],[Pred_train]],1,0)</f>
        <v>0</v>
      </c>
    </row>
    <row r="14" spans="1:13" ht="13.8">
      <c r="A14" s="205" t="s">
        <v>305</v>
      </c>
      <c r="B14" s="319">
        <v>-0.46436901797052266</v>
      </c>
      <c r="C14" s="178">
        <v>-0.65650133597387228</v>
      </c>
      <c r="D14" s="178">
        <v>-1.3794417427340768</v>
      </c>
      <c r="E14" s="178">
        <v>-0.33138107956594626</v>
      </c>
      <c r="F14" s="178">
        <v>-0.42010847642672566</v>
      </c>
      <c r="G14" s="178">
        <v>-0.24279875456932523</v>
      </c>
      <c r="H14" s="178">
        <v>-0.24768314031394217</v>
      </c>
      <c r="I14" s="178">
        <v>-0.23888576840984924</v>
      </c>
      <c r="J14" s="320">
        <v>0.49600705515492943</v>
      </c>
      <c r="K14" s="208">
        <v>2</v>
      </c>
      <c r="L14" s="335">
        <v>2</v>
      </c>
      <c r="M14" s="212">
        <f>IF(Таблица113[[#This Row],[Train]]=Таблица113[[#This Row],[Pred_train]],1,0)</f>
        <v>1</v>
      </c>
    </row>
    <row r="15" spans="1:13" ht="13.8">
      <c r="A15" s="205" t="s">
        <v>307</v>
      </c>
      <c r="B15" s="319">
        <v>-0.38511878603521527</v>
      </c>
      <c r="C15" s="178">
        <v>-3.0388271446824808E-2</v>
      </c>
      <c r="D15" s="178">
        <v>-1.4342410363683462</v>
      </c>
      <c r="E15" s="178">
        <v>-9.8065218550990998E-2</v>
      </c>
      <c r="F15" s="178">
        <v>0.19052464614097045</v>
      </c>
      <c r="G15" s="178">
        <v>-0.20422551026386598</v>
      </c>
      <c r="H15" s="178">
        <v>-0.48980132932459847</v>
      </c>
      <c r="I15" s="178">
        <v>0.93259924277516926</v>
      </c>
      <c r="J15" s="320">
        <v>1.5328948823562751</v>
      </c>
      <c r="K15" s="208">
        <v>2</v>
      </c>
      <c r="L15" s="335">
        <v>2</v>
      </c>
      <c r="M15" s="212">
        <f>IF(Таблица113[[#This Row],[Train]]=Таблица113[[#This Row],[Pred_train]],1,0)</f>
        <v>1</v>
      </c>
    </row>
    <row r="16" spans="1:13" ht="13.8">
      <c r="A16" s="205" t="s">
        <v>310</v>
      </c>
      <c r="B16" s="319">
        <v>-0.56750687899522045</v>
      </c>
      <c r="C16" s="178">
        <v>-0.36752607542292731</v>
      </c>
      <c r="D16" s="178">
        <v>-0.26975604664012365</v>
      </c>
      <c r="E16" s="178">
        <v>-8.8542122183033492E-2</v>
      </c>
      <c r="F16" s="178">
        <v>-0.28304686222809461</v>
      </c>
      <c r="G16" s="178">
        <v>-0.40419732942637765</v>
      </c>
      <c r="H16" s="178">
        <v>-6.0700776523534367E-2</v>
      </c>
      <c r="I16" s="178">
        <v>0.59249069114080899</v>
      </c>
      <c r="J16" s="320">
        <v>0.75522901195526582</v>
      </c>
      <c r="K16" s="208">
        <v>2</v>
      </c>
      <c r="L16" s="335">
        <v>2</v>
      </c>
      <c r="M16" s="212">
        <f>IF(Таблица113[[#This Row],[Train]]=Таблица113[[#This Row],[Pred_train]],1,0)</f>
        <v>1</v>
      </c>
    </row>
    <row r="17" spans="1:13" ht="13.8">
      <c r="A17" s="205" t="s">
        <v>311</v>
      </c>
      <c r="B17" s="319">
        <v>-0.18355388787255814</v>
      </c>
      <c r="C17" s="178">
        <v>-0.41568861884808483</v>
      </c>
      <c r="D17" s="178">
        <v>-0.58485198503717195</v>
      </c>
      <c r="E17" s="178">
        <v>0.39713579258279269</v>
      </c>
      <c r="F17" s="178">
        <v>-6.4693532021998762E-2</v>
      </c>
      <c r="G17" s="178">
        <v>0.39772011797658841</v>
      </c>
      <c r="H17" s="178">
        <v>-0.37713246909191683</v>
      </c>
      <c r="I17" s="178">
        <v>-0.46562480283275604</v>
      </c>
      <c r="J17" s="320">
        <v>-0.55917879252643954</v>
      </c>
      <c r="K17" s="208">
        <v>3</v>
      </c>
      <c r="L17" s="335">
        <v>3</v>
      </c>
      <c r="M17" s="212">
        <f>IF(Таблица113[[#This Row],[Train]]=Таблица113[[#This Row],[Pred_train]],1,0)</f>
        <v>1</v>
      </c>
    </row>
    <row r="18" spans="1:13" ht="13.8">
      <c r="A18" s="205" t="s">
        <v>316</v>
      </c>
      <c r="B18" s="319">
        <v>-0.41771935487972361</v>
      </c>
      <c r="C18" s="178">
        <v>-0.65650133597387228</v>
      </c>
      <c r="D18" s="178">
        <v>-0.11905798914588288</v>
      </c>
      <c r="E18" s="178">
        <v>0.56378997902204664</v>
      </c>
      <c r="F18" s="178">
        <v>-0.56284160569564579</v>
      </c>
      <c r="G18" s="178">
        <v>0.91033823308861106</v>
      </c>
      <c r="H18" s="178">
        <v>4.9570873916962549E-2</v>
      </c>
      <c r="I18" s="178">
        <v>-1.2146733986942432E-2</v>
      </c>
      <c r="J18" s="320">
        <v>-0.35790056724617852</v>
      </c>
      <c r="K18" s="208">
        <v>3</v>
      </c>
      <c r="L18" s="335">
        <v>3</v>
      </c>
      <c r="M18" s="212">
        <f>IF(Таблица113[[#This Row],[Train]]=Таблица113[[#This Row],[Pred_train]],1,0)</f>
        <v>1</v>
      </c>
    </row>
    <row r="19" spans="1:13" ht="13.8">
      <c r="A19" s="205" t="s">
        <v>318</v>
      </c>
      <c r="B19" s="319">
        <v>-0.431726760419052</v>
      </c>
      <c r="C19" s="178">
        <v>3.9671028328412472</v>
      </c>
      <c r="D19" s="178">
        <v>-0.20125692959728703</v>
      </c>
      <c r="E19" s="178">
        <v>1.5494304531056342</v>
      </c>
      <c r="F19" s="178">
        <v>-0.96457392317439317</v>
      </c>
      <c r="G19" s="178">
        <v>-0.24635155338693296</v>
      </c>
      <c r="H19" s="178">
        <v>0.41394676232903932</v>
      </c>
      <c r="I19" s="178">
        <v>-4.9936573057426895E-2</v>
      </c>
      <c r="J19" s="320">
        <v>-1.4771294866076305</v>
      </c>
      <c r="K19" s="208">
        <v>7</v>
      </c>
      <c r="L19" s="335">
        <v>7</v>
      </c>
      <c r="M19" s="212">
        <f>IF(Таблица113[[#This Row],[Train]]=Таблица113[[#This Row],[Pred_train]],1,0)</f>
        <v>1</v>
      </c>
    </row>
    <row r="20" spans="1:13" ht="13.8">
      <c r="A20" s="205" t="s">
        <v>325</v>
      </c>
      <c r="B20" s="319">
        <v>-0.80855098265116321</v>
      </c>
      <c r="C20" s="178">
        <v>-0.56017624912355723</v>
      </c>
      <c r="D20" s="178">
        <v>1.524920819882196</v>
      </c>
      <c r="E20" s="178">
        <v>0.46855901534247296</v>
      </c>
      <c r="F20" s="178">
        <v>0.39848019871820395</v>
      </c>
      <c r="G20" s="178">
        <v>-0.92493612755007593</v>
      </c>
      <c r="H20" s="178">
        <v>1.6266780732682388E-3</v>
      </c>
      <c r="I20" s="178">
        <v>-0.46562480283275604</v>
      </c>
      <c r="J20" s="320">
        <v>-0.80010272884675226</v>
      </c>
      <c r="K20" s="208">
        <v>1</v>
      </c>
      <c r="L20" s="335">
        <v>1</v>
      </c>
      <c r="M20" s="212">
        <f>IF(Таблица113[[#This Row],[Train]]=Таблица113[[#This Row],[Pred_train]],1,0)</f>
        <v>1</v>
      </c>
    </row>
    <row r="21" spans="1:13" ht="13.8">
      <c r="A21" s="205" t="s">
        <v>326</v>
      </c>
      <c r="B21" s="319">
        <v>0.79162834538925686</v>
      </c>
      <c r="C21" s="178">
        <v>0.98102514048148248</v>
      </c>
      <c r="D21" s="178">
        <v>0.6481321217338869</v>
      </c>
      <c r="E21" s="178">
        <v>-0.36471191685379717</v>
      </c>
      <c r="F21" s="178">
        <v>0.94010988793072725</v>
      </c>
      <c r="G21" s="178">
        <v>1.3006385603372703</v>
      </c>
      <c r="H21" s="178">
        <v>-0.71969374839511269</v>
      </c>
      <c r="I21" s="178">
        <v>-0.99468254981953852</v>
      </c>
      <c r="J21" s="320">
        <v>-0.60797351380650311</v>
      </c>
      <c r="K21" s="208">
        <v>4</v>
      </c>
      <c r="L21" s="335">
        <v>4</v>
      </c>
      <c r="M21" s="212">
        <f>IF(Таблица113[[#This Row],[Train]]=Таблица113[[#This Row],[Pred_train]],1,0)</f>
        <v>1</v>
      </c>
    </row>
    <row r="22" spans="1:13" ht="13.8">
      <c r="A22" s="205" t="s">
        <v>331</v>
      </c>
      <c r="B22" s="319">
        <v>-0.13348575081085159</v>
      </c>
      <c r="C22" s="178">
        <v>-0.27120098857261227</v>
      </c>
      <c r="D22" s="178">
        <v>0.77143053241099313</v>
      </c>
      <c r="E22" s="178">
        <v>4.9542775152348686E-2</v>
      </c>
      <c r="F22" s="178">
        <v>-1.1139238200253156</v>
      </c>
      <c r="G22" s="178">
        <v>-0.47170050696093091</v>
      </c>
      <c r="H22" s="178">
        <v>-7.5084035276642661E-2</v>
      </c>
      <c r="I22" s="178">
        <v>-0.31446544655081815</v>
      </c>
      <c r="J22" s="320">
        <v>-0.99833128404700944</v>
      </c>
      <c r="K22" s="208">
        <v>1</v>
      </c>
      <c r="L22" s="335">
        <v>1</v>
      </c>
      <c r="M22" s="212">
        <f>IF(Таблица113[[#This Row],[Train]]=Таблица113[[#This Row],[Pred_train]],1,0)</f>
        <v>1</v>
      </c>
    </row>
    <row r="23" spans="1:13" ht="13.8">
      <c r="A23" s="205" t="s">
        <v>333</v>
      </c>
      <c r="B23" s="319">
        <v>-0.30603530892775704</v>
      </c>
      <c r="C23" s="178">
        <v>-0.80098896624934468</v>
      </c>
      <c r="D23" s="178">
        <v>3.1640068348357392E-2</v>
      </c>
      <c r="E23" s="178">
        <v>0.78282119548506601</v>
      </c>
      <c r="F23" s="178">
        <v>3.4557981708044444E-2</v>
      </c>
      <c r="G23" s="178">
        <v>0.46826855164052011</v>
      </c>
      <c r="H23" s="178">
        <v>0.11429553830594988</v>
      </c>
      <c r="I23" s="178">
        <v>-0.65457399818517836</v>
      </c>
      <c r="J23" s="320">
        <v>-0.11697663092586573</v>
      </c>
      <c r="K23" s="208">
        <v>3</v>
      </c>
      <c r="L23" s="335">
        <v>3</v>
      </c>
      <c r="M23" s="212">
        <f>IF(Таблица113[[#This Row],[Train]]=Таблица113[[#This Row],[Pred_train]],1,0)</f>
        <v>1</v>
      </c>
    </row>
    <row r="24" spans="1:13" ht="13.8">
      <c r="A24" s="205" t="s">
        <v>334</v>
      </c>
      <c r="B24" s="319">
        <v>0.91694459851789123</v>
      </c>
      <c r="C24" s="178">
        <v>-0.99363913994997455</v>
      </c>
      <c r="D24" s="178">
        <v>0.29193671311113684</v>
      </c>
      <c r="E24" s="178">
        <v>-0.24091166407035158</v>
      </c>
      <c r="F24" s="178">
        <v>3.8826809568985876</v>
      </c>
      <c r="G24" s="178">
        <v>1.4254940616417822</v>
      </c>
      <c r="H24" s="178">
        <v>5.3641849831904773</v>
      </c>
      <c r="I24" s="178">
        <v>-4.9936573057426895E-2</v>
      </c>
      <c r="J24" s="320">
        <v>-0.87329481076684701</v>
      </c>
      <c r="K24" s="208">
        <v>6</v>
      </c>
      <c r="L24" s="335">
        <v>6</v>
      </c>
      <c r="M24" s="212">
        <f>IF(Таблица113[[#This Row],[Train]]=Таблица113[[#This Row],[Pred_train]],1,0)</f>
        <v>1</v>
      </c>
    </row>
    <row r="25" spans="1:13" ht="13.8">
      <c r="A25" s="205" t="s">
        <v>337</v>
      </c>
      <c r="B25" s="319">
        <v>0.14053412005226015</v>
      </c>
      <c r="C25" s="178">
        <v>-0.60833879254871481</v>
      </c>
      <c r="D25" s="178">
        <v>-0.61225163185430675</v>
      </c>
      <c r="E25" s="178">
        <v>-0.38851965777369063</v>
      </c>
      <c r="F25" s="178">
        <v>-0.46831635452417586</v>
      </c>
      <c r="G25" s="178">
        <v>0.39924274604127735</v>
      </c>
      <c r="H25" s="178">
        <v>-0.41788503555905698</v>
      </c>
      <c r="I25" s="178">
        <v>-0.73015367632614725</v>
      </c>
      <c r="J25" s="320">
        <v>-1.0410266651670645</v>
      </c>
      <c r="K25" s="208">
        <v>3</v>
      </c>
      <c r="L25" s="335">
        <v>3</v>
      </c>
      <c r="M25" s="212">
        <f>IF(Таблица113[[#This Row],[Train]]=Таблица113[[#This Row],[Pred_train]],1,0)</f>
        <v>1</v>
      </c>
    </row>
    <row r="26" spans="1:13" ht="13.8">
      <c r="A26" s="205" t="s">
        <v>339</v>
      </c>
      <c r="B26" s="319">
        <v>-0.30465958159800155</v>
      </c>
      <c r="C26" s="178">
        <v>-0.31936353199776979</v>
      </c>
      <c r="D26" s="178">
        <v>-0.58485198503717195</v>
      </c>
      <c r="E26" s="178">
        <v>-0.80753589796381486</v>
      </c>
      <c r="F26" s="178">
        <v>0.35405333066761319</v>
      </c>
      <c r="G26" s="178">
        <v>-0.89093076743868416</v>
      </c>
      <c r="H26" s="178">
        <v>7.8337391423179137E-2</v>
      </c>
      <c r="I26" s="178">
        <v>0.32796181764741777</v>
      </c>
      <c r="J26" s="320">
        <v>0.23068575819458512</v>
      </c>
      <c r="K26" s="208">
        <v>2</v>
      </c>
      <c r="L26" s="335">
        <v>2</v>
      </c>
      <c r="M26" s="212">
        <f>IF(Таблица113[[#This Row],[Train]]=Таблица113[[#This Row],[Pred_train]],1,0)</f>
        <v>1</v>
      </c>
    </row>
    <row r="27" spans="1:13" ht="13.8">
      <c r="A27" s="205" t="s">
        <v>340</v>
      </c>
      <c r="B27" s="319">
        <v>-0.71337566465626223</v>
      </c>
      <c r="C27" s="178">
        <v>6.5936815403490043E-2</v>
      </c>
      <c r="D27" s="178">
        <v>0.19603794925116566</v>
      </c>
      <c r="E27" s="178">
        <v>-2.8342548714172704E-3</v>
      </c>
      <c r="F27" s="178">
        <v>-0.52219574769191379</v>
      </c>
      <c r="G27" s="178">
        <v>1.6048016427834707E-2</v>
      </c>
      <c r="H27" s="178">
        <v>-5.5906356939164938E-2</v>
      </c>
      <c r="I27" s="178">
        <v>-1.0702622279605074</v>
      </c>
      <c r="J27" s="320">
        <v>-0.42499330900626564</v>
      </c>
      <c r="K27" s="208">
        <v>3</v>
      </c>
      <c r="L27" s="335">
        <v>3</v>
      </c>
      <c r="M27" s="212">
        <f>IF(Таблица113[[#This Row],[Train]]=Таблица113[[#This Row],[Pred_train]],1,0)</f>
        <v>1</v>
      </c>
    </row>
    <row r="28" spans="1:13" ht="13.8">
      <c r="A28" s="205" t="s">
        <v>341</v>
      </c>
      <c r="B28" s="319">
        <v>-0.45077849950081711</v>
      </c>
      <c r="C28" s="178">
        <v>-0.27120098857261227</v>
      </c>
      <c r="D28" s="178">
        <v>1.1002262942166088</v>
      </c>
      <c r="E28" s="178">
        <v>0.24000470251149547</v>
      </c>
      <c r="F28" s="178">
        <v>-0.40025817368071687</v>
      </c>
      <c r="G28" s="178">
        <v>-0.89346848087983277</v>
      </c>
      <c r="H28" s="178">
        <v>-1.2756580679840056E-2</v>
      </c>
      <c r="I28" s="178">
        <v>-0.50341464190324048</v>
      </c>
      <c r="J28" s="320">
        <v>0.40146728267480697</v>
      </c>
      <c r="K28" s="208">
        <v>1</v>
      </c>
      <c r="L28" s="335">
        <v>1</v>
      </c>
      <c r="M28" s="212">
        <f>IF(Таблица113[[#This Row],[Train]]=Таблица113[[#This Row],[Pred_train]],1,0)</f>
        <v>1</v>
      </c>
    </row>
    <row r="29" spans="1:13" ht="13.8">
      <c r="A29" s="205" t="s">
        <v>342</v>
      </c>
      <c r="B29" s="319">
        <v>-0.36552509376294046</v>
      </c>
      <c r="C29" s="178">
        <v>-0.22303844514745472</v>
      </c>
      <c r="D29" s="178">
        <v>-0.35195498709152728</v>
      </c>
      <c r="E29" s="178">
        <v>-0.74563577157209204</v>
      </c>
      <c r="F29" s="178">
        <v>-0.10722989504916051</v>
      </c>
      <c r="G29" s="178">
        <v>5.5636346109753633E-2</v>
      </c>
      <c r="H29" s="178">
        <v>-0.1110421821594134</v>
      </c>
      <c r="I29" s="178">
        <v>-0.42783496376227154</v>
      </c>
      <c r="J29" s="320">
        <v>0.5996958378750642</v>
      </c>
      <c r="K29" s="208">
        <v>2</v>
      </c>
      <c r="L29" s="335">
        <v>2</v>
      </c>
      <c r="M29" s="212">
        <f>IF(Таблица113[[#This Row],[Train]]=Таблица113[[#This Row],[Pred_train]],1,0)</f>
        <v>1</v>
      </c>
    </row>
    <row r="30" spans="1:13" ht="13.8">
      <c r="A30" s="205" t="s">
        <v>346</v>
      </c>
      <c r="B30" s="319">
        <v>-0.4628682245198803</v>
      </c>
      <c r="C30" s="178">
        <v>-0.56017624912355723</v>
      </c>
      <c r="D30" s="178">
        <v>-0.10535816573731585</v>
      </c>
      <c r="E30" s="178">
        <v>2.5735034232455253E-2</v>
      </c>
      <c r="F30" s="178">
        <v>0.34460080555046607</v>
      </c>
      <c r="G30" s="178">
        <v>0.2789551289308328</v>
      </c>
      <c r="H30" s="178">
        <v>-8.2275664653196814E-2</v>
      </c>
      <c r="I30" s="178">
        <v>-1.4481606186653522</v>
      </c>
      <c r="J30" s="320">
        <v>-0.30605617588611117</v>
      </c>
      <c r="K30" s="208">
        <v>3</v>
      </c>
      <c r="L30" s="335">
        <v>3</v>
      </c>
      <c r="M30" s="212">
        <f>IF(Таблица113[[#This Row],[Train]]=Таблица113[[#This Row],[Pred_train]],1,0)</f>
        <v>1</v>
      </c>
    </row>
    <row r="31" spans="1:13" ht="13.8">
      <c r="A31" s="205" t="s">
        <v>350</v>
      </c>
      <c r="B31" s="319">
        <v>-0.43101805240069313</v>
      </c>
      <c r="C31" s="178">
        <v>-0.60833879254871481</v>
      </c>
      <c r="D31" s="178">
        <v>0.16863830243403063</v>
      </c>
      <c r="E31" s="178">
        <v>0.597120816309897</v>
      </c>
      <c r="F31" s="178">
        <v>-0.67816241212483908</v>
      </c>
      <c r="G31" s="178">
        <v>0.48806271648147931</v>
      </c>
      <c r="H31" s="178">
        <v>-0.13261707028907585</v>
      </c>
      <c r="I31" s="178">
        <v>-0.35225528562130259</v>
      </c>
      <c r="J31" s="320">
        <v>0.24288443851460109</v>
      </c>
      <c r="K31" s="208">
        <v>3</v>
      </c>
      <c r="L31" s="335">
        <v>3</v>
      </c>
      <c r="M31" s="212">
        <f>IF(Таблица113[[#This Row],[Train]]=Таблица113[[#This Row],[Pred_train]],1,0)</f>
        <v>1</v>
      </c>
    </row>
    <row r="32" spans="1:13" ht="13.8">
      <c r="A32" s="205" t="s">
        <v>351</v>
      </c>
      <c r="B32" s="319">
        <v>-0.58872643083902443</v>
      </c>
      <c r="C32" s="178">
        <v>3.3891523117393567</v>
      </c>
      <c r="D32" s="178">
        <v>0.12753883220832904</v>
      </c>
      <c r="E32" s="178">
        <v>2.6350634390527752</v>
      </c>
      <c r="F32" s="178">
        <v>-1.6073456311403886</v>
      </c>
      <c r="G32" s="178">
        <v>-2.1054804203724169</v>
      </c>
      <c r="H32" s="178">
        <v>0.83345847596136458</v>
      </c>
      <c r="I32" s="178">
        <v>-0.65457399818517836</v>
      </c>
      <c r="J32" s="320">
        <v>-2.7335935595692606</v>
      </c>
      <c r="K32" s="208">
        <v>7</v>
      </c>
      <c r="L32" s="335">
        <v>7</v>
      </c>
      <c r="M32" s="212">
        <f>IF(Таблица113[[#This Row],[Train]]=Таблица113[[#This Row],[Pred_train]],1,0)</f>
        <v>1</v>
      </c>
    </row>
    <row r="33" spans="1:13" ht="13.8">
      <c r="A33" s="205" t="s">
        <v>355</v>
      </c>
      <c r="B33" s="319">
        <v>-0.13998918909696834</v>
      </c>
      <c r="C33" s="178">
        <v>6.5936815403490043E-2</v>
      </c>
      <c r="D33" s="178">
        <v>-0.76294968934854723</v>
      </c>
      <c r="E33" s="178">
        <v>-0.66945100062843343</v>
      </c>
      <c r="F33" s="178">
        <v>0.48638868230767102</v>
      </c>
      <c r="G33" s="178">
        <v>0.4022880021706558</v>
      </c>
      <c r="H33" s="178">
        <v>-4.1523098186056644E-2</v>
      </c>
      <c r="I33" s="178">
        <v>0.36575165671790222</v>
      </c>
      <c r="J33" s="320">
        <v>0.5905468276350524</v>
      </c>
      <c r="K33" s="208">
        <v>2</v>
      </c>
      <c r="L33" s="335">
        <v>2</v>
      </c>
      <c r="M33" s="212">
        <f>IF(Таблица113[[#This Row],[Train]]=Таблица113[[#This Row],[Pred_train]],1,0)</f>
        <v>1</v>
      </c>
    </row>
    <row r="34" spans="1:13" ht="13.8">
      <c r="A34" s="337"/>
      <c r="B34" s="338"/>
      <c r="C34" s="339"/>
      <c r="D34" s="339"/>
      <c r="E34" s="339"/>
      <c r="F34" s="339"/>
      <c r="G34" s="339"/>
      <c r="H34" s="339"/>
      <c r="I34" s="339"/>
      <c r="J34" s="340"/>
      <c r="K34" s="341"/>
      <c r="L34" s="342"/>
      <c r="M34" s="212">
        <f>AVERAGE(Таблица113[Точность])</f>
        <v>0.96875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FFBE-2A2F-4DBD-8EBD-7963B314B365}">
  <dimension ref="A1:K54"/>
  <sheetViews>
    <sheetView zoomScaleNormal="100" workbookViewId="0">
      <pane xSplit="1" topLeftCell="B1" activePane="topRight" state="frozen"/>
      <selection pane="topRight" activeCell="L19" sqref="L19"/>
    </sheetView>
  </sheetViews>
  <sheetFormatPr defaultRowHeight="13.2"/>
  <cols>
    <col min="1" max="1" width="43.77734375" bestFit="1" customWidth="1"/>
    <col min="2" max="3" width="9.109375" customWidth="1"/>
    <col min="4" max="7" width="13.109375" customWidth="1"/>
    <col min="8" max="17" width="9.109375" customWidth="1"/>
    <col min="18" max="18" width="10.77734375" customWidth="1"/>
    <col min="19" max="19" width="13.77734375" customWidth="1"/>
  </cols>
  <sheetData>
    <row r="1" spans="1:11" ht="27.6">
      <c r="A1" s="204" t="s">
        <v>239</v>
      </c>
      <c r="B1" s="316" t="s">
        <v>2532</v>
      </c>
      <c r="C1" s="317" t="s">
        <v>2533</v>
      </c>
      <c r="D1" s="317" t="s">
        <v>2534</v>
      </c>
      <c r="E1" s="317" t="s">
        <v>2535</v>
      </c>
      <c r="F1" s="317" t="s">
        <v>2536</v>
      </c>
      <c r="G1" s="317" t="s">
        <v>2537</v>
      </c>
      <c r="H1" s="317" t="s">
        <v>2538</v>
      </c>
      <c r="I1" s="317" t="s">
        <v>2539</v>
      </c>
      <c r="J1" s="318" t="s">
        <v>2540</v>
      </c>
      <c r="K1" s="333" t="s">
        <v>2732</v>
      </c>
    </row>
    <row r="2" spans="1:11" ht="13.8">
      <c r="A2" s="205" t="s">
        <v>270</v>
      </c>
      <c r="B2" s="319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320">
        <v>0.16359301643449839</v>
      </c>
      <c r="K2" s="334" t="s">
        <v>2733</v>
      </c>
    </row>
    <row r="3" spans="1:11" ht="13.8">
      <c r="A3" s="205" t="s">
        <v>271</v>
      </c>
      <c r="B3" s="319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320">
        <v>1.5938882839563544</v>
      </c>
      <c r="K3" s="334" t="s">
        <v>2733</v>
      </c>
    </row>
    <row r="4" spans="1:11" ht="13.8">
      <c r="A4" s="205" t="s">
        <v>273</v>
      </c>
      <c r="B4" s="319">
        <v>-0.56066993105340535</v>
      </c>
      <c r="C4" s="178">
        <v>0.35491207595443525</v>
      </c>
      <c r="D4" s="178">
        <v>-0.10535816573731585</v>
      </c>
      <c r="E4" s="178">
        <v>-0.22186547133443657</v>
      </c>
      <c r="F4" s="178">
        <v>1.0412519066842001</v>
      </c>
      <c r="G4" s="178">
        <v>-0.71582853999942886</v>
      </c>
      <c r="H4" s="178">
        <v>-0.52575947620736918</v>
      </c>
      <c r="I4" s="178">
        <v>0.89480940370468476</v>
      </c>
      <c r="J4" s="320">
        <v>-0.16272168212592508</v>
      </c>
      <c r="K4" s="334" t="s">
        <v>2734</v>
      </c>
    </row>
    <row r="5" spans="1:11" ht="13.8">
      <c r="A5" s="205" t="s">
        <v>275</v>
      </c>
      <c r="B5" s="319">
        <v>-0.37999107507885399</v>
      </c>
      <c r="C5" s="178">
        <v>-0.51201370569839966</v>
      </c>
      <c r="D5" s="178">
        <v>0.71663123877672352</v>
      </c>
      <c r="E5" s="178">
        <v>0.45903591897451612</v>
      </c>
      <c r="F5" s="178">
        <v>-0.93810685284638151</v>
      </c>
      <c r="G5" s="178">
        <v>-1.9479971748246068E-2</v>
      </c>
      <c r="H5" s="178">
        <v>6.3954132670070843E-2</v>
      </c>
      <c r="I5" s="178">
        <v>0.78143988649323137</v>
      </c>
      <c r="J5" s="320">
        <v>-1.3978380645275277</v>
      </c>
      <c r="K5" s="334" t="s">
        <v>2735</v>
      </c>
    </row>
    <row r="6" spans="1:11" ht="13.8">
      <c r="A6" s="205" t="s">
        <v>276</v>
      </c>
      <c r="B6" s="319">
        <v>-0.47495794953894349</v>
      </c>
      <c r="C6" s="178">
        <v>-0.80098896624934468</v>
      </c>
      <c r="D6" s="178">
        <v>0.15493847902546359</v>
      </c>
      <c r="E6" s="178">
        <v>-0.19329618223056472</v>
      </c>
      <c r="F6" s="178">
        <v>-1.1659127081696239</v>
      </c>
      <c r="G6" s="178">
        <v>0.87379515953607056</v>
      </c>
      <c r="H6" s="178">
        <v>0.21497834957770792</v>
      </c>
      <c r="I6" s="178">
        <v>-0.69236383725566286</v>
      </c>
      <c r="J6" s="320">
        <v>1.1791331530758156</v>
      </c>
      <c r="K6" s="334" t="s">
        <v>2734</v>
      </c>
    </row>
    <row r="7" spans="1:11" ht="13.8">
      <c r="A7" s="205" t="s">
        <v>277</v>
      </c>
      <c r="B7" s="319">
        <v>-0.60310903474101341</v>
      </c>
      <c r="C7" s="178">
        <v>-0.36752607542292731</v>
      </c>
      <c r="D7" s="178">
        <v>-9.459401877344193E-3</v>
      </c>
      <c r="E7" s="178">
        <v>-0.38375810958971218</v>
      </c>
      <c r="F7" s="178">
        <v>-0.42388948647358438</v>
      </c>
      <c r="G7" s="178">
        <v>-0.97772056712596733</v>
      </c>
      <c r="H7" s="178">
        <v>-0.36274921033880853</v>
      </c>
      <c r="I7" s="178">
        <v>-0.46562480283275604</v>
      </c>
      <c r="J7" s="320">
        <v>-4.3784549005771022E-2</v>
      </c>
      <c r="K7" s="334" t="s">
        <v>2734</v>
      </c>
    </row>
    <row r="8" spans="1:11" ht="13.8">
      <c r="A8" s="205" t="s">
        <v>278</v>
      </c>
      <c r="B8" s="319">
        <v>-0.30574348797902101</v>
      </c>
      <c r="C8" s="178">
        <v>-0.27120098857261227</v>
      </c>
      <c r="D8" s="178">
        <v>-0.9684470404770571</v>
      </c>
      <c r="E8" s="178">
        <v>0.39237424439881424</v>
      </c>
      <c r="F8" s="178">
        <v>-1.3133720999971172</v>
      </c>
      <c r="G8" s="178">
        <v>1.1336570159096901</v>
      </c>
      <c r="H8" s="178">
        <v>-0.46343202161056657</v>
      </c>
      <c r="I8" s="178">
        <v>-0.99468254981953852</v>
      </c>
      <c r="J8" s="320">
        <v>0.43196398347484655</v>
      </c>
      <c r="K8" s="334" t="s">
        <v>2734</v>
      </c>
    </row>
    <row r="9" spans="1:11" ht="13.8">
      <c r="A9" s="205" t="s">
        <v>279</v>
      </c>
      <c r="B9" s="319">
        <v>-0.2065660541157405</v>
      </c>
      <c r="C9" s="178">
        <v>-0.22303844514745472</v>
      </c>
      <c r="D9" s="178">
        <v>0.37413565356254047</v>
      </c>
      <c r="E9" s="178">
        <v>0.24952779887945364</v>
      </c>
      <c r="F9" s="178">
        <v>0.5459395905456973</v>
      </c>
      <c r="G9" s="178">
        <v>-1.2817386373755726</v>
      </c>
      <c r="H9" s="178">
        <v>0.29888069230417297</v>
      </c>
      <c r="I9" s="178">
        <v>0.21459230043596436</v>
      </c>
      <c r="J9" s="320">
        <v>0.35572223147474757</v>
      </c>
      <c r="K9" s="334" t="s">
        <v>2735</v>
      </c>
    </row>
    <row r="10" spans="1:11" ht="13.8">
      <c r="A10" s="205" t="s">
        <v>281</v>
      </c>
      <c r="B10" s="319">
        <v>-0.27360149491109781</v>
      </c>
      <c r="C10" s="178">
        <v>1.7774271978332722E-2</v>
      </c>
      <c r="D10" s="178">
        <v>-1.6671380343139905</v>
      </c>
      <c r="E10" s="178">
        <v>-1.8026994684153606</v>
      </c>
      <c r="F10" s="178">
        <v>-1.443816946613746</v>
      </c>
      <c r="G10" s="178">
        <v>-0.68436089332918626</v>
      </c>
      <c r="H10" s="178">
        <v>-0.55932041329795523</v>
      </c>
      <c r="I10" s="178">
        <v>-0.46562480283275604</v>
      </c>
      <c r="J10" s="320">
        <v>1.4688518106761914</v>
      </c>
      <c r="K10" s="334" t="s">
        <v>2733</v>
      </c>
    </row>
    <row r="11" spans="1:11" ht="13.8">
      <c r="A11" s="205" t="s">
        <v>282</v>
      </c>
      <c r="B11" s="319">
        <v>-0.3036590526309067</v>
      </c>
      <c r="C11" s="178">
        <v>1.5589756615833725</v>
      </c>
      <c r="D11" s="178">
        <v>-1.8452357386253659</v>
      </c>
      <c r="E11" s="178">
        <v>-0.9027668616433886</v>
      </c>
      <c r="F11" s="178">
        <v>0.17918161600039362</v>
      </c>
      <c r="G11" s="178">
        <v>-0.17580311972300125</v>
      </c>
      <c r="H11" s="178">
        <v>-0.64561996581660497</v>
      </c>
      <c r="I11" s="178">
        <v>-0.65457399818517836</v>
      </c>
      <c r="J11" s="320">
        <v>-6.8181909645802591E-2</v>
      </c>
      <c r="K11" s="334" t="s">
        <v>2733</v>
      </c>
    </row>
    <row r="12" spans="1:11" ht="13.8">
      <c r="A12" s="205" t="s">
        <v>285</v>
      </c>
      <c r="B12" s="319">
        <v>-0.46249302615721971</v>
      </c>
      <c r="C12" s="178">
        <v>2.6185516169368372</v>
      </c>
      <c r="D12" s="178">
        <v>1.5660202901078981</v>
      </c>
      <c r="E12" s="178">
        <v>0.73044416546130075</v>
      </c>
      <c r="F12" s="178">
        <v>-0.42767049652044375</v>
      </c>
      <c r="G12" s="178">
        <v>-1.9983889131559451</v>
      </c>
      <c r="H12" s="178">
        <v>0.86701941305195063</v>
      </c>
      <c r="I12" s="178">
        <v>2.0662944148897031</v>
      </c>
      <c r="J12" s="320">
        <v>-0.90989085172689455</v>
      </c>
      <c r="K12" s="334" t="s">
        <v>2735</v>
      </c>
    </row>
    <row r="13" spans="1:11" ht="13.8">
      <c r="A13" s="205" t="s">
        <v>286</v>
      </c>
      <c r="B13" s="319">
        <v>-0.27093341766551149</v>
      </c>
      <c r="C13" s="178">
        <v>-0.31936353199776979</v>
      </c>
      <c r="D13" s="178">
        <v>0.18233812584259815</v>
      </c>
      <c r="E13" s="178">
        <v>9.2396708808156466E-2</v>
      </c>
      <c r="F13" s="178">
        <v>-1.6485653924549259E-2</v>
      </c>
      <c r="G13" s="178">
        <v>-0.31486981629794586</v>
      </c>
      <c r="H13" s="178">
        <v>0.51462957360079742</v>
      </c>
      <c r="I13" s="178">
        <v>0.29017197857693328</v>
      </c>
      <c r="J13" s="320">
        <v>-0.11087729076585773</v>
      </c>
      <c r="K13" s="334" t="s">
        <v>2735</v>
      </c>
    </row>
    <row r="14" spans="1:11" ht="13.8">
      <c r="A14" s="205" t="s">
        <v>287</v>
      </c>
      <c r="B14" s="319">
        <v>0.73810004564968046</v>
      </c>
      <c r="C14" s="178">
        <v>-0.60833879254871481</v>
      </c>
      <c r="D14" s="178">
        <v>-1.3246424490998074</v>
      </c>
      <c r="E14" s="178">
        <v>1.3446838811945516</v>
      </c>
      <c r="F14" s="178">
        <v>-0.9286543277292344</v>
      </c>
      <c r="G14" s="178">
        <v>1.0128618561110159</v>
      </c>
      <c r="H14" s="178">
        <v>0.14545926560435118</v>
      </c>
      <c r="I14" s="178">
        <v>0.59249069114080899</v>
      </c>
      <c r="J14" s="320">
        <v>0.23373542827458932</v>
      </c>
      <c r="K14" s="334" t="s">
        <v>2734</v>
      </c>
    </row>
    <row r="15" spans="1:11" ht="13.8">
      <c r="A15" s="205" t="s">
        <v>289</v>
      </c>
      <c r="B15" s="319">
        <v>-1.0181618012575417</v>
      </c>
      <c r="C15" s="178">
        <v>1.79978837870916</v>
      </c>
      <c r="D15" s="178">
        <v>2.3332104009876682</v>
      </c>
      <c r="E15" s="178">
        <v>1.5922843867614427</v>
      </c>
      <c r="F15" s="178">
        <v>-0.54299130294963704</v>
      </c>
      <c r="G15" s="178">
        <v>0.29671912301887315</v>
      </c>
      <c r="H15" s="178">
        <v>0.14545926560435118</v>
      </c>
      <c r="I15" s="178">
        <v>-1.5993199749472899</v>
      </c>
      <c r="J15" s="320">
        <v>-0.37619858772620207</v>
      </c>
      <c r="K15" s="334" t="s">
        <v>2734</v>
      </c>
    </row>
    <row r="16" spans="1:11" ht="13.8">
      <c r="A16" s="205" t="s">
        <v>292</v>
      </c>
      <c r="B16" s="319">
        <v>-0.2657223292952256</v>
      </c>
      <c r="C16" s="178">
        <v>-0.27120098857261227</v>
      </c>
      <c r="D16" s="178">
        <v>-0.11905798914588288</v>
      </c>
      <c r="E16" s="178">
        <v>-1.1360827226583445</v>
      </c>
      <c r="F16" s="178">
        <v>-0.9759169533149693</v>
      </c>
      <c r="G16" s="178">
        <v>-0.11236028369428558</v>
      </c>
      <c r="H16" s="178">
        <v>-0.39631014742939458</v>
      </c>
      <c r="I16" s="178">
        <v>1.9529248976782498</v>
      </c>
      <c r="J16" s="320">
        <v>1.2157291940358637</v>
      </c>
      <c r="K16" s="334" t="s">
        <v>2733</v>
      </c>
    </row>
    <row r="17" spans="1:11" ht="13.8">
      <c r="A17" s="205" t="s">
        <v>295</v>
      </c>
      <c r="B17" s="319">
        <v>-0.63491751815323827</v>
      </c>
      <c r="C17" s="178">
        <v>0.49939970622990759</v>
      </c>
      <c r="D17" s="178">
        <v>-1.1328449213798648</v>
      </c>
      <c r="E17" s="178">
        <v>-0.53612765147702957</v>
      </c>
      <c r="F17" s="178">
        <v>-1.763312295573314</v>
      </c>
      <c r="G17" s="178">
        <v>1.5315704834817954</v>
      </c>
      <c r="H17" s="178">
        <v>-0.40110456701376401</v>
      </c>
      <c r="I17" s="178">
        <v>-0.65457399818517836</v>
      </c>
      <c r="J17" s="320">
        <v>0.21543740779456533</v>
      </c>
      <c r="K17" s="334" t="s">
        <v>2733</v>
      </c>
    </row>
    <row r="18" spans="1:11" ht="13.8">
      <c r="A18" s="205" t="s">
        <v>296</v>
      </c>
      <c r="B18" s="319">
        <v>-0.26359620524014898</v>
      </c>
      <c r="C18" s="178">
        <v>-0.60833879254871481</v>
      </c>
      <c r="D18" s="178">
        <v>2.3195105775791007</v>
      </c>
      <c r="E18" s="178">
        <v>6.3827419704284613E-2</v>
      </c>
      <c r="F18" s="178">
        <v>0.302064442523305</v>
      </c>
      <c r="G18" s="178">
        <v>-1.2568690456523162</v>
      </c>
      <c r="H18" s="178">
        <v>0.19100625165586077</v>
      </c>
      <c r="I18" s="178">
        <v>0.59249069114080899</v>
      </c>
      <c r="J18" s="320">
        <v>-9.5628940365837939E-2</v>
      </c>
      <c r="K18" s="334" t="s">
        <v>2735</v>
      </c>
    </row>
    <row r="19" spans="1:11" ht="13.8">
      <c r="A19" s="205" t="s">
        <v>297</v>
      </c>
      <c r="B19" s="319">
        <v>-0.16896284043575774</v>
      </c>
      <c r="C19" s="178">
        <v>-0.41568861884808483</v>
      </c>
      <c r="D19" s="178">
        <v>0.33303618333683888</v>
      </c>
      <c r="E19" s="178">
        <v>2.7636252400201995</v>
      </c>
      <c r="F19" s="178">
        <v>-1.3180983625556904</v>
      </c>
      <c r="G19" s="178">
        <v>-0.7599847538754152</v>
      </c>
      <c r="H19" s="178">
        <v>-0.19734173467806315</v>
      </c>
      <c r="I19" s="178">
        <v>-0.80573335446711625</v>
      </c>
      <c r="J19" s="320">
        <v>-0.29690716564609937</v>
      </c>
      <c r="K19" s="334" t="s">
        <v>2734</v>
      </c>
    </row>
    <row r="20" spans="1:11" ht="13.8">
      <c r="A20" s="205" t="s">
        <v>299</v>
      </c>
      <c r="B20" s="319">
        <v>2.5478068148825543</v>
      </c>
      <c r="C20" s="178">
        <v>-0.12671335829713987</v>
      </c>
      <c r="D20" s="178">
        <v>1.3057236453451186</v>
      </c>
      <c r="E20" s="178">
        <v>-0.99323627713898388</v>
      </c>
      <c r="F20" s="178">
        <v>1.1745325108359725</v>
      </c>
      <c r="G20" s="178">
        <v>-0.64121976482965959</v>
      </c>
      <c r="H20" s="178">
        <v>-0.71609793370683561</v>
      </c>
      <c r="I20" s="178">
        <v>0.4791211739293556</v>
      </c>
      <c r="J20" s="320">
        <v>0.96565624747553858</v>
      </c>
      <c r="K20" s="334" t="s">
        <v>2735</v>
      </c>
    </row>
    <row r="21" spans="1:11" ht="13.8">
      <c r="A21" s="205" t="s">
        <v>300</v>
      </c>
      <c r="B21" s="319">
        <v>0.61816163571918104</v>
      </c>
      <c r="C21" s="178">
        <v>-0.51201370569839966</v>
      </c>
      <c r="D21" s="178">
        <v>1.6893187007850037</v>
      </c>
      <c r="E21" s="178">
        <v>1.5446689049216558</v>
      </c>
      <c r="F21" s="178">
        <v>-0.53164827280906024</v>
      </c>
      <c r="G21" s="178">
        <v>-0.72141150956995603</v>
      </c>
      <c r="H21" s="178">
        <v>1.3057088050217536</v>
      </c>
      <c r="I21" s="178">
        <v>0.25238213950644883</v>
      </c>
      <c r="J21" s="320">
        <v>-1.6662090315678759</v>
      </c>
      <c r="K21" s="334" t="s">
        <v>2735</v>
      </c>
    </row>
    <row r="22" spans="1:11" ht="13.8">
      <c r="A22" s="205" t="s">
        <v>302</v>
      </c>
      <c r="B22" s="319">
        <v>3.2584742024686593</v>
      </c>
      <c r="C22" s="178">
        <v>1.2700004010324273</v>
      </c>
      <c r="D22" s="178">
        <v>-1.3109426256912402</v>
      </c>
      <c r="E22" s="178">
        <v>1.3970609112183168</v>
      </c>
      <c r="F22" s="178">
        <v>0.23495151419156121</v>
      </c>
      <c r="G22" s="178">
        <v>2.3070957110968155</v>
      </c>
      <c r="H22" s="178">
        <v>-0.72496760993791909</v>
      </c>
      <c r="I22" s="178">
        <v>-0.12551625119839582</v>
      </c>
      <c r="J22" s="320">
        <v>-2.0443681214883664</v>
      </c>
      <c r="K22" s="334" t="s">
        <v>2736</v>
      </c>
    </row>
    <row r="23" spans="1:11" ht="13.8">
      <c r="A23" s="205" t="s">
        <v>304</v>
      </c>
      <c r="B23" s="319">
        <v>2.3305476074309404E-2</v>
      </c>
      <c r="C23" s="178">
        <v>-0.84915150967450226</v>
      </c>
      <c r="D23" s="178">
        <v>3.1640068348357392E-2</v>
      </c>
      <c r="E23" s="178">
        <v>-0.69325874154832678</v>
      </c>
      <c r="F23" s="178">
        <v>2.4193963097450047E-3</v>
      </c>
      <c r="G23" s="178">
        <v>0.86009150695386827</v>
      </c>
      <c r="H23" s="178">
        <v>2.5598775995115394E-2</v>
      </c>
      <c r="I23" s="178">
        <v>0.17680246136547989</v>
      </c>
      <c r="J23" s="320">
        <v>1.5694909233163223</v>
      </c>
      <c r="K23" s="334" t="s">
        <v>2733</v>
      </c>
    </row>
    <row r="24" spans="1:11" ht="13.8">
      <c r="A24" s="205" t="s">
        <v>306</v>
      </c>
      <c r="B24" s="319">
        <v>-4.4175140556113766E-3</v>
      </c>
      <c r="C24" s="178">
        <v>-0.12671335829713987</v>
      </c>
      <c r="D24" s="178">
        <v>0.18233812584259815</v>
      </c>
      <c r="E24" s="178">
        <v>-0.57898158513283804</v>
      </c>
      <c r="F24" s="178">
        <v>0.80966504131409844</v>
      </c>
      <c r="G24" s="178">
        <v>-0.16615980864663657</v>
      </c>
      <c r="H24" s="178">
        <v>-0.45863760202619719</v>
      </c>
      <c r="I24" s="178">
        <v>-0.46562480283275604</v>
      </c>
      <c r="J24" s="320">
        <v>-0.1596720120459213</v>
      </c>
      <c r="K24" s="334" t="s">
        <v>2735</v>
      </c>
    </row>
    <row r="25" spans="1:11" ht="13.8">
      <c r="A25" s="205" t="s">
        <v>308</v>
      </c>
      <c r="B25" s="319">
        <v>-0.55387467181855266</v>
      </c>
      <c r="C25" s="178">
        <v>-0.51201370569839966</v>
      </c>
      <c r="D25" s="178">
        <v>0.71663123877672352</v>
      </c>
      <c r="E25" s="178">
        <v>0.35904340711096261</v>
      </c>
      <c r="F25" s="178">
        <v>-0.27359433711094749</v>
      </c>
      <c r="G25" s="178">
        <v>0.46420821013468255</v>
      </c>
      <c r="H25" s="178">
        <v>-0.33398269283259197</v>
      </c>
      <c r="I25" s="178">
        <v>0.29017197857693328</v>
      </c>
      <c r="J25" s="320">
        <v>-0.83059942964679179</v>
      </c>
      <c r="K25" s="334" t="s">
        <v>2734</v>
      </c>
    </row>
    <row r="26" spans="1:11" ht="13.8">
      <c r="A26" s="205" t="s">
        <v>309</v>
      </c>
      <c r="B26" s="319">
        <v>-0.26313762946356384</v>
      </c>
      <c r="C26" s="178">
        <v>-0.17487590172229742</v>
      </c>
      <c r="D26" s="178">
        <v>8.6439361982626972E-2</v>
      </c>
      <c r="E26" s="178">
        <v>-0.35042727230186127</v>
      </c>
      <c r="F26" s="178">
        <v>-0.37946261842299361</v>
      </c>
      <c r="G26" s="178">
        <v>1.5381685384287815</v>
      </c>
      <c r="H26" s="178">
        <v>0.25093649646047866</v>
      </c>
      <c r="I26" s="178">
        <v>-4.9936573057426895E-2</v>
      </c>
      <c r="J26" s="320">
        <v>-0.17187069236593686</v>
      </c>
      <c r="K26" s="334" t="s">
        <v>2734</v>
      </c>
    </row>
    <row r="27" spans="1:11" ht="13.8">
      <c r="A27" s="210" t="s">
        <v>312</v>
      </c>
      <c r="B27" s="319">
        <v>0.18559961227849228</v>
      </c>
      <c r="C27" s="178">
        <v>-0.51201370569839966</v>
      </c>
      <c r="D27" s="178">
        <v>-1.7219373279482599</v>
      </c>
      <c r="E27" s="178">
        <v>-0.70754338610026268</v>
      </c>
      <c r="F27" s="178">
        <v>0.30395494754673402</v>
      </c>
      <c r="G27" s="178">
        <v>0.22820086010786025</v>
      </c>
      <c r="H27" s="178">
        <v>-0.50418458807770672</v>
      </c>
      <c r="I27" s="178">
        <v>-0.50341464190324048</v>
      </c>
      <c r="J27" s="320">
        <v>0.81012307339533696</v>
      </c>
      <c r="K27" s="334" t="s">
        <v>2733</v>
      </c>
    </row>
    <row r="28" spans="1:11" ht="13.8">
      <c r="A28" s="205" t="s">
        <v>313</v>
      </c>
      <c r="B28" s="319">
        <v>-0.4228887545430472</v>
      </c>
      <c r="C28" s="178">
        <v>-0.36752607542292731</v>
      </c>
      <c r="D28" s="178">
        <v>0.18233812584259815</v>
      </c>
      <c r="E28" s="178">
        <v>-0.77896660885994307</v>
      </c>
      <c r="F28" s="178">
        <v>-1.4958058347580543</v>
      </c>
      <c r="G28" s="178">
        <v>-0.44683091523767449</v>
      </c>
      <c r="H28" s="178">
        <v>2.0804356410745965E-2</v>
      </c>
      <c r="I28" s="178">
        <v>1.7261858632553431</v>
      </c>
      <c r="J28" s="320">
        <v>0.51735474571495721</v>
      </c>
      <c r="K28" s="334" t="s">
        <v>2734</v>
      </c>
    </row>
    <row r="29" spans="1:11" ht="13.8">
      <c r="A29" s="205" t="s">
        <v>314</v>
      </c>
      <c r="B29" s="319">
        <v>-0.30674401694611592</v>
      </c>
      <c r="C29" s="178">
        <v>0.1622619022538051</v>
      </c>
      <c r="D29" s="178">
        <v>1.908515875322081</v>
      </c>
      <c r="E29" s="178">
        <v>1.5922843867614427</v>
      </c>
      <c r="F29" s="178">
        <v>-1.2746167470168142</v>
      </c>
      <c r="G29" s="178">
        <v>-1.128460745530196</v>
      </c>
      <c r="H29" s="178">
        <v>0.65846216113188027</v>
      </c>
      <c r="I29" s="178">
        <v>-0.73015367632614725</v>
      </c>
      <c r="J29" s="320">
        <v>-0.38534759796621387</v>
      </c>
      <c r="K29" s="334" t="s">
        <v>2735</v>
      </c>
    </row>
    <row r="30" spans="1:11" ht="13.8">
      <c r="A30" s="205" t="s">
        <v>315</v>
      </c>
      <c r="B30" s="319">
        <v>-0.63470907461842685</v>
      </c>
      <c r="C30" s="178">
        <v>2.5222265300865225</v>
      </c>
      <c r="D30" s="178">
        <v>-0.83144880639138385</v>
      </c>
      <c r="E30" s="178">
        <v>0.4780821117104298</v>
      </c>
      <c r="F30" s="178">
        <v>-0.43334201159073149</v>
      </c>
      <c r="G30" s="178">
        <v>0.39568994722366962</v>
      </c>
      <c r="H30" s="178">
        <v>-0.6096618189338342</v>
      </c>
      <c r="I30" s="178">
        <v>-0.91910287167856963</v>
      </c>
      <c r="J30" s="320">
        <v>1.7951665092366154</v>
      </c>
      <c r="K30" s="334" t="s">
        <v>2733</v>
      </c>
    </row>
    <row r="31" spans="1:11" ht="13.8">
      <c r="A31" s="205" t="s">
        <v>317</v>
      </c>
      <c r="B31" s="319">
        <v>-0.48483817308900551</v>
      </c>
      <c r="C31" s="178">
        <v>0.98102514048148248</v>
      </c>
      <c r="D31" s="178">
        <v>-0.95474721706848986</v>
      </c>
      <c r="E31" s="178">
        <v>-7.5958030553956862E-3</v>
      </c>
      <c r="F31" s="178">
        <v>-0.61483049383995403</v>
      </c>
      <c r="G31" s="178">
        <v>-0.61228983160056505</v>
      </c>
      <c r="H31" s="178">
        <v>-0.66479764415408271</v>
      </c>
      <c r="I31" s="178">
        <v>1.083758599057107</v>
      </c>
      <c r="J31" s="320">
        <v>0.29472882987466847</v>
      </c>
      <c r="K31" s="334" t="s">
        <v>2733</v>
      </c>
    </row>
    <row r="32" spans="1:11" ht="13.8">
      <c r="A32" s="205" t="s">
        <v>320</v>
      </c>
      <c r="B32" s="319">
        <v>-0.89242866105928442</v>
      </c>
      <c r="C32" s="178">
        <v>1.3663254878827424</v>
      </c>
      <c r="D32" s="178">
        <v>1.908515875322081</v>
      </c>
      <c r="E32" s="178">
        <v>0.4780821117104298</v>
      </c>
      <c r="F32" s="178">
        <v>-0.17528807589261877</v>
      </c>
      <c r="G32" s="178">
        <v>-0.88788551130930571</v>
      </c>
      <c r="H32" s="178">
        <v>-0.60726460914164948</v>
      </c>
      <c r="I32" s="178">
        <v>-0.27667560748033371</v>
      </c>
      <c r="J32" s="320">
        <v>3.0546802522782492</v>
      </c>
      <c r="K32" s="334" t="s">
        <v>2735</v>
      </c>
    </row>
    <row r="33" spans="1:11" ht="13.8">
      <c r="A33" s="205" t="s">
        <v>321</v>
      </c>
      <c r="B33" s="319">
        <v>0.12615151615027118</v>
      </c>
      <c r="C33" s="178">
        <v>0.78837496678085239</v>
      </c>
      <c r="D33" s="178">
        <v>-1.3657419193255096</v>
      </c>
      <c r="E33" s="178">
        <v>-0.24567321225433</v>
      </c>
      <c r="F33" s="178">
        <v>0.90513554499728299</v>
      </c>
      <c r="G33" s="178">
        <v>3.363799587991104</v>
      </c>
      <c r="H33" s="178">
        <v>-0.61445623851820363</v>
      </c>
      <c r="I33" s="178">
        <v>-0.27667560748033371</v>
      </c>
      <c r="J33" s="320">
        <v>0.2733811393146407</v>
      </c>
      <c r="K33" s="334" t="s">
        <v>2734</v>
      </c>
    </row>
    <row r="34" spans="1:11" ht="13.8">
      <c r="A34" s="205" t="s">
        <v>322</v>
      </c>
      <c r="B34" s="319">
        <v>0.25471948842196396</v>
      </c>
      <c r="C34" s="178">
        <v>0.49939970622990759</v>
      </c>
      <c r="D34" s="178">
        <v>-0.32455534027439276</v>
      </c>
      <c r="E34" s="178">
        <v>-1.2503598790738326</v>
      </c>
      <c r="F34" s="178">
        <v>0.32191474526931307</v>
      </c>
      <c r="G34" s="178">
        <v>1.5539023617639025</v>
      </c>
      <c r="H34" s="178">
        <v>-0.68876974207592989</v>
      </c>
      <c r="I34" s="178">
        <v>-8.7726412127911366E-2</v>
      </c>
      <c r="J34" s="320">
        <v>0.56005012683501276</v>
      </c>
      <c r="K34" s="334" t="s">
        <v>2736</v>
      </c>
    </row>
    <row r="35" spans="1:11" ht="13.8">
      <c r="A35" s="205" t="s">
        <v>323</v>
      </c>
      <c r="B35" s="319">
        <v>-0.71566854353918807</v>
      </c>
      <c r="C35" s="178">
        <v>-3.0388271446824808E-2</v>
      </c>
      <c r="D35" s="178">
        <v>0.82622982604526229</v>
      </c>
      <c r="E35" s="178">
        <v>-0.3075733386460528</v>
      </c>
      <c r="F35" s="178">
        <v>-0.33503575037240285</v>
      </c>
      <c r="G35" s="178">
        <v>-1.3126987413575861</v>
      </c>
      <c r="H35" s="178">
        <v>0.49784910505550439</v>
      </c>
      <c r="I35" s="178">
        <v>0.74365004742274687</v>
      </c>
      <c r="J35" s="320">
        <v>-0.77265569812671653</v>
      </c>
      <c r="K35" s="334" t="s">
        <v>2735</v>
      </c>
    </row>
    <row r="36" spans="1:11" ht="13.8">
      <c r="A36" s="205" t="s">
        <v>324</v>
      </c>
      <c r="B36" s="319">
        <v>-0.79329291590296624</v>
      </c>
      <c r="C36" s="178">
        <v>-0.12671335829713987</v>
      </c>
      <c r="D36" s="178">
        <v>0.82622982604526229</v>
      </c>
      <c r="E36" s="178">
        <v>5.9065871520306193E-2</v>
      </c>
      <c r="F36" s="178">
        <v>-1.2642189693879524</v>
      </c>
      <c r="G36" s="178">
        <v>0.65250654746791081</v>
      </c>
      <c r="H36" s="178">
        <v>-0.18775289550932431</v>
      </c>
      <c r="I36" s="178">
        <v>-0.61678415911469386</v>
      </c>
      <c r="J36" s="320">
        <v>-5.2933559245782809E-2</v>
      </c>
      <c r="K36" s="334" t="s">
        <v>2734</v>
      </c>
    </row>
    <row r="37" spans="1:11" ht="13.8">
      <c r="A37" s="205" t="s">
        <v>327</v>
      </c>
      <c r="B37" s="319">
        <v>-0.61557395812273719</v>
      </c>
      <c r="C37" s="178">
        <v>3.1001770511884121</v>
      </c>
      <c r="D37" s="178">
        <v>1.4427218794307919</v>
      </c>
      <c r="E37" s="178">
        <v>-0.85038983161962334</v>
      </c>
      <c r="F37" s="178">
        <v>1.9959569435160465</v>
      </c>
      <c r="G37" s="178">
        <v>-1.0406558604664531</v>
      </c>
      <c r="H37" s="178">
        <v>0.98927711245337113</v>
      </c>
      <c r="I37" s="178">
        <v>4.7115831498236158</v>
      </c>
      <c r="J37" s="320">
        <v>0.8894144954754396</v>
      </c>
      <c r="K37" s="334" t="s">
        <v>2735</v>
      </c>
    </row>
    <row r="38" spans="1:11" ht="13.8">
      <c r="A38" s="205" t="s">
        <v>328</v>
      </c>
      <c r="B38" s="319">
        <v>0.1034728595627871</v>
      </c>
      <c r="C38" s="178">
        <v>-0.7528264228241871</v>
      </c>
      <c r="D38" s="178">
        <v>0.37413565356254047</v>
      </c>
      <c r="E38" s="178">
        <v>1.8398848923283353</v>
      </c>
      <c r="F38" s="178">
        <v>-0.47871413215303749</v>
      </c>
      <c r="G38" s="178">
        <v>-7.3787039388826331E-2</v>
      </c>
      <c r="H38" s="178">
        <v>0.4115495525368546</v>
      </c>
      <c r="I38" s="178">
        <v>-1.7504793312292279</v>
      </c>
      <c r="J38" s="320">
        <v>-0.5195330814863881</v>
      </c>
      <c r="K38" s="334" t="s">
        <v>2734</v>
      </c>
    </row>
    <row r="39" spans="1:11" ht="13.8">
      <c r="A39" s="205" t="s">
        <v>329</v>
      </c>
      <c r="B39" s="319">
        <v>-0.87996373767756064</v>
      </c>
      <c r="C39" s="178">
        <v>1.4626505747330574</v>
      </c>
      <c r="D39" s="178">
        <v>-0.44785375095149893</v>
      </c>
      <c r="E39" s="178">
        <v>-1.2979753609136195</v>
      </c>
      <c r="F39" s="178">
        <v>8.7492122364067851E-2</v>
      </c>
      <c r="G39" s="178">
        <v>-0.93762469475581911</v>
      </c>
      <c r="H39" s="178">
        <v>-0.6767836931150063</v>
      </c>
      <c r="I39" s="178">
        <v>-1.0324723888900229</v>
      </c>
      <c r="J39" s="320">
        <v>1.5084975217162433</v>
      </c>
      <c r="K39" s="334" t="s">
        <v>2733</v>
      </c>
    </row>
    <row r="40" spans="1:11" ht="13.8">
      <c r="A40" s="205" t="s">
        <v>330</v>
      </c>
      <c r="B40" s="319">
        <v>-0.62712172995129067</v>
      </c>
      <c r="C40" s="178">
        <v>-0.7528264228241871</v>
      </c>
      <c r="D40" s="178">
        <v>-0.68075074889714338</v>
      </c>
      <c r="E40" s="178">
        <v>1.5494304531056342</v>
      </c>
      <c r="F40" s="178">
        <v>-0.9702454382446809</v>
      </c>
      <c r="G40" s="178">
        <v>0.20942178064336017</v>
      </c>
      <c r="H40" s="178">
        <v>-0.501787378285522</v>
      </c>
      <c r="I40" s="178">
        <v>-1.2970012623834142</v>
      </c>
      <c r="J40" s="320">
        <v>-5.2933559245782809E-2</v>
      </c>
      <c r="K40" s="334" t="s">
        <v>2734</v>
      </c>
    </row>
    <row r="41" spans="1:11" ht="13.8">
      <c r="A41" s="205" t="s">
        <v>332</v>
      </c>
      <c r="B41" s="319">
        <v>-0.42259693359431116</v>
      </c>
      <c r="C41" s="178">
        <v>-0.36752607542292731</v>
      </c>
      <c r="D41" s="178">
        <v>-0.98214686388562433</v>
      </c>
      <c r="E41" s="178">
        <v>0.40189734076677108</v>
      </c>
      <c r="F41" s="178">
        <v>0.64708160929917025</v>
      </c>
      <c r="G41" s="178">
        <v>-0.26919097435727057</v>
      </c>
      <c r="H41" s="178">
        <v>-4.6317517770426073E-2</v>
      </c>
      <c r="I41" s="178">
        <v>2.5643105083542034E-2</v>
      </c>
      <c r="J41" s="320">
        <v>1.1394874420357646</v>
      </c>
      <c r="K41" s="334" t="s">
        <v>2733</v>
      </c>
    </row>
    <row r="42" spans="1:11" ht="13.8">
      <c r="A42" s="205" t="s">
        <v>335</v>
      </c>
      <c r="B42" s="319">
        <v>-0.69594978514602635</v>
      </c>
      <c r="C42" s="178">
        <v>-0.46385116227324219</v>
      </c>
      <c r="D42" s="178">
        <v>1.1687254112594454</v>
      </c>
      <c r="E42" s="178">
        <v>-0.76468196430800706</v>
      </c>
      <c r="F42" s="178">
        <v>3.9284244266618348E-2</v>
      </c>
      <c r="G42" s="178">
        <v>-0.54986208094830902</v>
      </c>
      <c r="H42" s="178">
        <v>-0.29323012636545176</v>
      </c>
      <c r="I42" s="178">
        <v>-0.69236383725566286</v>
      </c>
      <c r="J42" s="320">
        <v>0.31607652043469625</v>
      </c>
      <c r="K42" s="334" t="s">
        <v>2734</v>
      </c>
    </row>
    <row r="43" spans="1:11" ht="13.8">
      <c r="A43" s="205" t="s">
        <v>336</v>
      </c>
      <c r="B43" s="319">
        <v>1.5783359344745727</v>
      </c>
      <c r="C43" s="178">
        <v>-0.41568861884808483</v>
      </c>
      <c r="D43" s="178">
        <v>-0.55745233822003737</v>
      </c>
      <c r="E43" s="178">
        <v>-1.8550764984391259</v>
      </c>
      <c r="F43" s="178">
        <v>2.1367995677615377</v>
      </c>
      <c r="G43" s="178">
        <v>-0.76506018075771254</v>
      </c>
      <c r="H43" s="178">
        <v>-0.6504143854009744</v>
      </c>
      <c r="I43" s="178">
        <v>2.2552436102421254</v>
      </c>
      <c r="J43" s="320">
        <v>-0.22371508372600421</v>
      </c>
      <c r="K43" s="334" t="s">
        <v>2737</v>
      </c>
    </row>
    <row r="44" spans="1:11" ht="13.8">
      <c r="A44" s="205" t="s">
        <v>338</v>
      </c>
      <c r="B44" s="319">
        <v>-0.41997054505568709</v>
      </c>
      <c r="C44" s="178">
        <v>-0.17487590172229742</v>
      </c>
      <c r="D44" s="178">
        <v>0.44263477060537709</v>
      </c>
      <c r="E44" s="178">
        <v>1.5637150976575709</v>
      </c>
      <c r="F44" s="178">
        <v>-0.30195191246238817</v>
      </c>
      <c r="G44" s="178">
        <v>-1.5187610727788545</v>
      </c>
      <c r="H44" s="178">
        <v>2.1782931693769902</v>
      </c>
      <c r="I44" s="178">
        <v>0.66807036928177799</v>
      </c>
      <c r="J44" s="320">
        <v>-0.2481124443660358</v>
      </c>
      <c r="K44" s="334" t="s">
        <v>2735</v>
      </c>
    </row>
    <row r="45" spans="1:11" ht="13.8">
      <c r="A45" s="205" t="s">
        <v>343</v>
      </c>
      <c r="B45" s="319">
        <v>-0.35193457529323491</v>
      </c>
      <c r="C45" s="178">
        <v>0.1622619022538051</v>
      </c>
      <c r="D45" s="178">
        <v>-0.3656548105000948</v>
      </c>
      <c r="E45" s="178">
        <v>-1.3884447764092147</v>
      </c>
      <c r="F45" s="178">
        <v>1.2841818021948774</v>
      </c>
      <c r="G45" s="178">
        <v>-0.34735254834464818</v>
      </c>
      <c r="H45" s="178">
        <v>-0.66719485394626743</v>
      </c>
      <c r="I45" s="178">
        <v>-0.27667560748033371</v>
      </c>
      <c r="J45" s="320">
        <v>-1.8735865970081449</v>
      </c>
      <c r="K45" s="334" t="s">
        <v>2736</v>
      </c>
    </row>
    <row r="46" spans="1:11" ht="13.8">
      <c r="A46" s="205" t="s">
        <v>344</v>
      </c>
      <c r="B46" s="319">
        <v>-0.31962582739746254</v>
      </c>
      <c r="C46" s="178">
        <v>-0.46385116227324219</v>
      </c>
      <c r="D46" s="178">
        <v>-0.31085551686582569</v>
      </c>
      <c r="E46" s="178">
        <v>0.12572754609600739</v>
      </c>
      <c r="F46" s="178">
        <v>-0.79442847106574688</v>
      </c>
      <c r="G46" s="178">
        <v>-0.38643333533833729</v>
      </c>
      <c r="H46" s="178">
        <v>0.29408627271980353</v>
      </c>
      <c r="I46" s="178">
        <v>0.74365004742274687</v>
      </c>
      <c r="J46" s="320">
        <v>0.52345408587496522</v>
      </c>
      <c r="K46" s="334" t="s">
        <v>2734</v>
      </c>
    </row>
    <row r="47" spans="1:11" ht="13.8">
      <c r="A47" s="205" t="s">
        <v>345</v>
      </c>
      <c r="B47" s="319">
        <v>-0.27897933810923287</v>
      </c>
      <c r="C47" s="178">
        <v>-0.27120098857261227</v>
      </c>
      <c r="D47" s="178">
        <v>0.27823688970256932</v>
      </c>
      <c r="E47" s="178">
        <v>0.61616700904581201</v>
      </c>
      <c r="F47" s="178">
        <v>0.89284726234499234</v>
      </c>
      <c r="G47" s="178">
        <v>-0.60822949009472749</v>
      </c>
      <c r="H47" s="178">
        <v>-0.50658179786989144</v>
      </c>
      <c r="I47" s="178">
        <v>2.1040842539601878</v>
      </c>
      <c r="J47" s="320">
        <v>2.3380077834773192</v>
      </c>
      <c r="K47" s="334" t="s">
        <v>2734</v>
      </c>
    </row>
    <row r="48" spans="1:11" ht="13.8">
      <c r="A48" s="205" t="s">
        <v>347</v>
      </c>
      <c r="B48" s="319">
        <v>-0.59443778369285771</v>
      </c>
      <c r="C48" s="178">
        <v>-0.41568861884808483</v>
      </c>
      <c r="D48" s="178">
        <v>-0.99584668729419168</v>
      </c>
      <c r="E48" s="178">
        <v>-0.12187295947088443</v>
      </c>
      <c r="F48" s="178">
        <v>-0.58363716095336915</v>
      </c>
      <c r="G48" s="178">
        <v>-0.61127474622410538</v>
      </c>
      <c r="H48" s="178">
        <v>-9.9056133198489812E-2</v>
      </c>
      <c r="I48" s="178">
        <v>0.4791211739293556</v>
      </c>
      <c r="J48" s="320">
        <v>-0.38839726804621805</v>
      </c>
      <c r="K48" s="334" t="s">
        <v>2734</v>
      </c>
    </row>
    <row r="49" spans="1:11" ht="13.8">
      <c r="A49" s="205" t="s">
        <v>348</v>
      </c>
      <c r="B49" s="319">
        <v>0.33559557992880051</v>
      </c>
      <c r="C49" s="178">
        <v>-0.7528264228241871</v>
      </c>
      <c r="D49" s="178">
        <v>-0.25605622323155613</v>
      </c>
      <c r="E49" s="178">
        <v>-0.3028117904620744</v>
      </c>
      <c r="F49" s="178">
        <v>0.44101656174536574</v>
      </c>
      <c r="G49" s="178">
        <v>-0.59300320944783569</v>
      </c>
      <c r="H49" s="178">
        <v>-0.69835858124466876</v>
      </c>
      <c r="I49" s="178">
        <v>-0.91910287167856963</v>
      </c>
      <c r="J49" s="320">
        <v>8.7351264434399473E-2</v>
      </c>
      <c r="K49" s="334" t="s">
        <v>2737</v>
      </c>
    </row>
    <row r="50" spans="1:11" ht="13.8">
      <c r="A50" s="205" t="s">
        <v>349</v>
      </c>
      <c r="B50" s="319">
        <v>0.94183275657437648</v>
      </c>
      <c r="C50" s="178">
        <v>-0.89731405309965961</v>
      </c>
      <c r="D50" s="178">
        <v>-0.61225163185430675</v>
      </c>
      <c r="E50" s="178">
        <v>0.79234429185302424</v>
      </c>
      <c r="F50" s="178">
        <v>0.7463331230292134</v>
      </c>
      <c r="G50" s="178">
        <v>0.1815069327907253</v>
      </c>
      <c r="H50" s="178">
        <v>-0.70075579103685348</v>
      </c>
      <c r="I50" s="178">
        <v>-1.5237402968063209</v>
      </c>
      <c r="J50" s="320">
        <v>-0.81230140916676785</v>
      </c>
      <c r="K50" s="334" t="s">
        <v>2734</v>
      </c>
    </row>
    <row r="51" spans="1:11" ht="13.8">
      <c r="A51" s="205" t="s">
        <v>352</v>
      </c>
      <c r="B51" s="319">
        <v>-0.6633909050084803</v>
      </c>
      <c r="C51" s="178">
        <v>-0.60833879254871481</v>
      </c>
      <c r="D51" s="178">
        <v>0.27823688970256932</v>
      </c>
      <c r="E51" s="178">
        <v>2.5735034232455253E-2</v>
      </c>
      <c r="F51" s="178">
        <v>0.40793272383535112</v>
      </c>
      <c r="G51" s="178">
        <v>9.4717133103442139E-2</v>
      </c>
      <c r="H51" s="178">
        <v>0.40196071336811573</v>
      </c>
      <c r="I51" s="178">
        <v>0.40354149578838666</v>
      </c>
      <c r="J51" s="320">
        <v>-0.76655635796670851</v>
      </c>
      <c r="K51" s="334" t="s">
        <v>2734</v>
      </c>
    </row>
    <row r="52" spans="1:11" ht="13.8">
      <c r="A52" s="205" t="s">
        <v>353</v>
      </c>
      <c r="B52" s="319">
        <v>4.4584419436711249</v>
      </c>
      <c r="C52" s="178">
        <v>-0.94547659652481719</v>
      </c>
      <c r="D52" s="178">
        <v>-2.2425306174738182</v>
      </c>
      <c r="E52" s="178">
        <v>-2.3550390577568878</v>
      </c>
      <c r="F52" s="178">
        <v>2.4657474418382521</v>
      </c>
      <c r="G52" s="178">
        <v>2.1111842334401407</v>
      </c>
      <c r="H52" s="178">
        <v>-0.72640593581322987</v>
      </c>
      <c r="I52" s="178">
        <v>-0.16330609026888029</v>
      </c>
      <c r="J52" s="320">
        <v>-2.2395470066086198</v>
      </c>
      <c r="K52" s="334" t="s">
        <v>2736</v>
      </c>
    </row>
    <row r="53" spans="1:11" ht="13.8">
      <c r="A53" s="205" t="s">
        <v>354</v>
      </c>
      <c r="B53" s="319">
        <v>3.7356848310659574</v>
      </c>
      <c r="C53" s="178">
        <v>-1.0418016833751322</v>
      </c>
      <c r="D53" s="178">
        <v>1.1276259410337433</v>
      </c>
      <c r="E53" s="178">
        <v>6.8588967888263033E-2</v>
      </c>
      <c r="F53" s="178">
        <v>1.8456617941534088</v>
      </c>
      <c r="G53" s="178">
        <v>2.9729917180542151</v>
      </c>
      <c r="H53" s="178">
        <v>-0.72065263231198662</v>
      </c>
      <c r="I53" s="178">
        <v>-0.84352319353760064</v>
      </c>
      <c r="J53" s="320">
        <v>-1.4832288267676386</v>
      </c>
      <c r="K53" s="334" t="s">
        <v>2736</v>
      </c>
    </row>
    <row r="54" spans="1:11" ht="13.8">
      <c r="A54" s="197"/>
      <c r="B54" s="198"/>
      <c r="C54" s="198"/>
      <c r="D54" s="198"/>
      <c r="E54" s="198"/>
      <c r="F54" s="198"/>
      <c r="G54" s="198"/>
      <c r="H54" s="198"/>
      <c r="I54" s="198"/>
      <c r="J54" s="19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473E-9228-4076-940F-66F6F4B1B75B}">
  <dimension ref="A1:B85"/>
  <sheetViews>
    <sheetView zoomScaleNormal="100" workbookViewId="0">
      <pane xSplit="1" topLeftCell="B1" activePane="topRight" state="frozen"/>
      <selection pane="topRight" activeCell="I12" sqref="I12"/>
    </sheetView>
  </sheetViews>
  <sheetFormatPr defaultRowHeight="13.2"/>
  <cols>
    <col min="1" max="1" width="43.77734375" bestFit="1" customWidth="1"/>
    <col min="2" max="8" width="9.109375" customWidth="1"/>
    <col min="9" max="9" width="10.77734375" customWidth="1"/>
    <col min="10" max="10" width="13.77734375" customWidth="1"/>
  </cols>
  <sheetData>
    <row r="1" spans="1:2" ht="27.6">
      <c r="A1" s="204" t="s">
        <v>239</v>
      </c>
      <c r="B1" s="333" t="s">
        <v>2732</v>
      </c>
    </row>
    <row r="2" spans="1:2" ht="13.8">
      <c r="A2" s="205" t="s">
        <v>270</v>
      </c>
      <c r="B2" s="334" t="s">
        <v>2733</v>
      </c>
    </row>
    <row r="3" spans="1:2" ht="13.8">
      <c r="A3" s="205" t="s">
        <v>271</v>
      </c>
      <c r="B3" s="334" t="s">
        <v>2733</v>
      </c>
    </row>
    <row r="4" spans="1:2" ht="13.8">
      <c r="A4" s="205" t="s">
        <v>272</v>
      </c>
      <c r="B4" s="335">
        <v>4</v>
      </c>
    </row>
    <row r="5" spans="1:2" ht="13.8">
      <c r="A5" s="205" t="s">
        <v>273</v>
      </c>
      <c r="B5" s="334" t="s">
        <v>2734</v>
      </c>
    </row>
    <row r="6" spans="1:2" ht="13.8">
      <c r="A6" s="205" t="s">
        <v>274</v>
      </c>
      <c r="B6" s="335">
        <v>1</v>
      </c>
    </row>
    <row r="7" spans="1:2" ht="13.8">
      <c r="A7" s="205" t="s">
        <v>275</v>
      </c>
      <c r="B7" s="334" t="s">
        <v>2735</v>
      </c>
    </row>
    <row r="8" spans="1:2" ht="13.8">
      <c r="A8" s="205" t="s">
        <v>276</v>
      </c>
      <c r="B8" s="334" t="s">
        <v>2734</v>
      </c>
    </row>
    <row r="9" spans="1:2" ht="13.8">
      <c r="A9" s="205" t="s">
        <v>277</v>
      </c>
      <c r="B9" s="334" t="s">
        <v>2734</v>
      </c>
    </row>
    <row r="10" spans="1:2" ht="13.8">
      <c r="A10" s="205" t="s">
        <v>278</v>
      </c>
      <c r="B10" s="334" t="s">
        <v>2734</v>
      </c>
    </row>
    <row r="11" spans="1:2" ht="13.8">
      <c r="A11" s="205" t="s">
        <v>279</v>
      </c>
      <c r="B11" s="334" t="s">
        <v>2735</v>
      </c>
    </row>
    <row r="12" spans="1:2" ht="13.8">
      <c r="A12" s="205" t="s">
        <v>280</v>
      </c>
      <c r="B12" s="335">
        <v>6</v>
      </c>
    </row>
    <row r="13" spans="1:2" ht="13.8">
      <c r="A13" s="205" t="s">
        <v>281</v>
      </c>
      <c r="B13" s="334" t="s">
        <v>2733</v>
      </c>
    </row>
    <row r="14" spans="1:2" ht="13.8">
      <c r="A14" s="205" t="s">
        <v>282</v>
      </c>
      <c r="B14" s="334" t="s">
        <v>2733</v>
      </c>
    </row>
    <row r="15" spans="1:2" ht="13.8">
      <c r="A15" s="205" t="s">
        <v>283</v>
      </c>
      <c r="B15" s="335">
        <v>2</v>
      </c>
    </row>
    <row r="16" spans="1:2" ht="13.8">
      <c r="A16" s="205" t="s">
        <v>284</v>
      </c>
      <c r="B16" s="335">
        <v>3</v>
      </c>
    </row>
    <row r="17" spans="1:2" ht="13.8">
      <c r="A17" s="205" t="s">
        <v>285</v>
      </c>
      <c r="B17" s="334" t="s">
        <v>2735</v>
      </c>
    </row>
    <row r="18" spans="1:2" ht="13.8">
      <c r="A18" s="205" t="s">
        <v>286</v>
      </c>
      <c r="B18" s="334" t="s">
        <v>2735</v>
      </c>
    </row>
    <row r="19" spans="1:2" ht="13.8">
      <c r="A19" s="205" t="s">
        <v>287</v>
      </c>
      <c r="B19" s="334" t="s">
        <v>2734</v>
      </c>
    </row>
    <row r="20" spans="1:2" ht="13.8">
      <c r="A20" s="205" t="s">
        <v>288</v>
      </c>
      <c r="B20" s="335">
        <v>5</v>
      </c>
    </row>
    <row r="21" spans="1:2" ht="13.8">
      <c r="A21" s="205" t="s">
        <v>289</v>
      </c>
      <c r="B21" s="334" t="s">
        <v>2734</v>
      </c>
    </row>
    <row r="22" spans="1:2" ht="13.8">
      <c r="A22" s="205" t="s">
        <v>290</v>
      </c>
      <c r="B22" s="335">
        <v>3</v>
      </c>
    </row>
    <row r="23" spans="1:2" ht="13.8">
      <c r="A23" s="205" t="s">
        <v>291</v>
      </c>
      <c r="B23" s="335">
        <v>2</v>
      </c>
    </row>
    <row r="24" spans="1:2" ht="13.8">
      <c r="A24" s="205" t="s">
        <v>292</v>
      </c>
      <c r="B24" s="334" t="s">
        <v>2733</v>
      </c>
    </row>
    <row r="25" spans="1:2" ht="13.8">
      <c r="A25" s="205" t="s">
        <v>293</v>
      </c>
      <c r="B25" s="335">
        <v>1</v>
      </c>
    </row>
    <row r="26" spans="1:2" ht="13.8">
      <c r="A26" s="205" t="s">
        <v>294</v>
      </c>
      <c r="B26" s="335">
        <v>3</v>
      </c>
    </row>
    <row r="27" spans="1:2" ht="13.8">
      <c r="A27" s="205" t="s">
        <v>295</v>
      </c>
      <c r="B27" s="334" t="s">
        <v>2733</v>
      </c>
    </row>
    <row r="28" spans="1:2" ht="13.8">
      <c r="A28" s="205" t="s">
        <v>296</v>
      </c>
      <c r="B28" s="334" t="s">
        <v>2735</v>
      </c>
    </row>
    <row r="29" spans="1:2" ht="13.8">
      <c r="A29" s="205" t="s">
        <v>297</v>
      </c>
      <c r="B29" s="334" t="s">
        <v>2734</v>
      </c>
    </row>
    <row r="30" spans="1:2" ht="13.8">
      <c r="A30" s="205" t="s">
        <v>298</v>
      </c>
      <c r="B30" s="335">
        <v>1</v>
      </c>
    </row>
    <row r="31" spans="1:2" ht="13.8">
      <c r="A31" s="205" t="s">
        <v>299</v>
      </c>
      <c r="B31" s="334" t="s">
        <v>2735</v>
      </c>
    </row>
    <row r="32" spans="1:2" ht="13.8">
      <c r="A32" s="205" t="s">
        <v>300</v>
      </c>
      <c r="B32" s="334" t="s">
        <v>2735</v>
      </c>
    </row>
    <row r="33" spans="1:2" ht="13.8">
      <c r="A33" s="205" t="s">
        <v>301</v>
      </c>
      <c r="B33" s="336">
        <v>1</v>
      </c>
    </row>
    <row r="34" spans="1:2" ht="13.8">
      <c r="A34" s="205" t="s">
        <v>302</v>
      </c>
      <c r="B34" s="334" t="s">
        <v>2736</v>
      </c>
    </row>
    <row r="35" spans="1:2" ht="13.8">
      <c r="A35" s="205" t="s">
        <v>304</v>
      </c>
      <c r="B35" s="334" t="s">
        <v>2733</v>
      </c>
    </row>
    <row r="36" spans="1:2" ht="13.8">
      <c r="A36" s="205" t="s">
        <v>305</v>
      </c>
      <c r="B36" s="335">
        <v>2</v>
      </c>
    </row>
    <row r="37" spans="1:2" ht="13.8">
      <c r="A37" s="205" t="s">
        <v>306</v>
      </c>
      <c r="B37" s="334" t="s">
        <v>2735</v>
      </c>
    </row>
    <row r="38" spans="1:2" ht="13.8">
      <c r="A38" s="205" t="s">
        <v>307</v>
      </c>
      <c r="B38" s="335">
        <v>2</v>
      </c>
    </row>
    <row r="39" spans="1:2" ht="13.8">
      <c r="A39" s="205" t="s">
        <v>308</v>
      </c>
      <c r="B39" s="334" t="s">
        <v>2734</v>
      </c>
    </row>
    <row r="40" spans="1:2" ht="13.8">
      <c r="A40" s="205" t="s">
        <v>309</v>
      </c>
      <c r="B40" s="334" t="s">
        <v>2734</v>
      </c>
    </row>
    <row r="41" spans="1:2" ht="13.8">
      <c r="A41" s="205" t="s">
        <v>310</v>
      </c>
      <c r="B41" s="335">
        <v>2</v>
      </c>
    </row>
    <row r="42" spans="1:2" ht="13.8">
      <c r="A42" s="205" t="s">
        <v>311</v>
      </c>
      <c r="B42" s="335">
        <v>3</v>
      </c>
    </row>
    <row r="43" spans="1:2" ht="13.8">
      <c r="A43" s="210" t="s">
        <v>312</v>
      </c>
      <c r="B43" s="334" t="s">
        <v>2733</v>
      </c>
    </row>
    <row r="44" spans="1:2" ht="13.8">
      <c r="A44" s="205" t="s">
        <v>313</v>
      </c>
      <c r="B44" s="334" t="s">
        <v>2734</v>
      </c>
    </row>
    <row r="45" spans="1:2" ht="13.8">
      <c r="A45" s="205" t="s">
        <v>314</v>
      </c>
      <c r="B45" s="334" t="s">
        <v>2735</v>
      </c>
    </row>
    <row r="46" spans="1:2" ht="13.8">
      <c r="A46" s="205" t="s">
        <v>315</v>
      </c>
      <c r="B46" s="334" t="s">
        <v>2733</v>
      </c>
    </row>
    <row r="47" spans="1:2" ht="13.8">
      <c r="A47" s="205" t="s">
        <v>316</v>
      </c>
      <c r="B47" s="335">
        <v>3</v>
      </c>
    </row>
    <row r="48" spans="1:2" ht="13.8">
      <c r="A48" s="205" t="s">
        <v>317</v>
      </c>
      <c r="B48" s="334" t="s">
        <v>2733</v>
      </c>
    </row>
    <row r="49" spans="1:2" ht="13.8">
      <c r="A49" s="205" t="s">
        <v>318</v>
      </c>
      <c r="B49" s="335">
        <v>7</v>
      </c>
    </row>
    <row r="50" spans="1:2" ht="13.8">
      <c r="A50" s="205" t="s">
        <v>320</v>
      </c>
      <c r="B50" s="334" t="s">
        <v>2735</v>
      </c>
    </row>
    <row r="51" spans="1:2" ht="13.8">
      <c r="A51" s="205" t="s">
        <v>321</v>
      </c>
      <c r="B51" s="334" t="s">
        <v>2734</v>
      </c>
    </row>
    <row r="52" spans="1:2" ht="13.8">
      <c r="A52" s="205" t="s">
        <v>322</v>
      </c>
      <c r="B52" s="334" t="s">
        <v>2736</v>
      </c>
    </row>
    <row r="53" spans="1:2" ht="13.8">
      <c r="A53" s="205" t="s">
        <v>323</v>
      </c>
      <c r="B53" s="334" t="s">
        <v>2735</v>
      </c>
    </row>
    <row r="54" spans="1:2" ht="13.8">
      <c r="A54" s="205" t="s">
        <v>324</v>
      </c>
      <c r="B54" s="334" t="s">
        <v>2734</v>
      </c>
    </row>
    <row r="55" spans="1:2" ht="13.8">
      <c r="A55" s="205" t="s">
        <v>325</v>
      </c>
      <c r="B55" s="335">
        <v>1</v>
      </c>
    </row>
    <row r="56" spans="1:2" ht="13.8">
      <c r="A56" s="205" t="s">
        <v>326</v>
      </c>
      <c r="B56" s="335">
        <v>4</v>
      </c>
    </row>
    <row r="57" spans="1:2" ht="13.8">
      <c r="A57" s="205" t="s">
        <v>327</v>
      </c>
      <c r="B57" s="334" t="s">
        <v>2735</v>
      </c>
    </row>
    <row r="58" spans="1:2" ht="13.8">
      <c r="A58" s="205" t="s">
        <v>328</v>
      </c>
      <c r="B58" s="334" t="s">
        <v>2734</v>
      </c>
    </row>
    <row r="59" spans="1:2" ht="13.8">
      <c r="A59" s="205" t="s">
        <v>329</v>
      </c>
      <c r="B59" s="334" t="s">
        <v>2733</v>
      </c>
    </row>
    <row r="60" spans="1:2" ht="13.8">
      <c r="A60" s="205" t="s">
        <v>330</v>
      </c>
      <c r="B60" s="334" t="s">
        <v>2734</v>
      </c>
    </row>
    <row r="61" spans="1:2" ht="13.8">
      <c r="A61" s="205" t="s">
        <v>331</v>
      </c>
      <c r="B61" s="335">
        <v>1</v>
      </c>
    </row>
    <row r="62" spans="1:2" ht="13.8">
      <c r="A62" s="205" t="s">
        <v>332</v>
      </c>
      <c r="B62" s="334" t="s">
        <v>2733</v>
      </c>
    </row>
    <row r="63" spans="1:2" ht="13.8">
      <c r="A63" s="205" t="s">
        <v>333</v>
      </c>
      <c r="B63" s="335">
        <v>3</v>
      </c>
    </row>
    <row r="64" spans="1:2" ht="13.8">
      <c r="A64" s="205" t="s">
        <v>334</v>
      </c>
      <c r="B64" s="335">
        <v>6</v>
      </c>
    </row>
    <row r="65" spans="1:2" ht="13.8">
      <c r="A65" s="205" t="s">
        <v>335</v>
      </c>
      <c r="B65" s="334" t="s">
        <v>2734</v>
      </c>
    </row>
    <row r="66" spans="1:2" ht="13.8">
      <c r="A66" s="205" t="s">
        <v>336</v>
      </c>
      <c r="B66" s="334" t="s">
        <v>2737</v>
      </c>
    </row>
    <row r="67" spans="1:2" ht="13.8">
      <c r="A67" s="205" t="s">
        <v>337</v>
      </c>
      <c r="B67" s="335">
        <v>3</v>
      </c>
    </row>
    <row r="68" spans="1:2" ht="13.8">
      <c r="A68" s="205" t="s">
        <v>338</v>
      </c>
      <c r="B68" s="334" t="s">
        <v>2735</v>
      </c>
    </row>
    <row r="69" spans="1:2" ht="13.8">
      <c r="A69" s="205" t="s">
        <v>339</v>
      </c>
      <c r="B69" s="335">
        <v>2</v>
      </c>
    </row>
    <row r="70" spans="1:2" ht="13.8">
      <c r="A70" s="205" t="s">
        <v>340</v>
      </c>
      <c r="B70" s="335">
        <v>3</v>
      </c>
    </row>
    <row r="71" spans="1:2" ht="13.8">
      <c r="A71" s="205" t="s">
        <v>341</v>
      </c>
      <c r="B71" s="335">
        <v>1</v>
      </c>
    </row>
    <row r="72" spans="1:2" ht="13.8">
      <c r="A72" s="205" t="s">
        <v>342</v>
      </c>
      <c r="B72" s="335">
        <v>2</v>
      </c>
    </row>
    <row r="73" spans="1:2" ht="13.8">
      <c r="A73" s="205" t="s">
        <v>343</v>
      </c>
      <c r="B73" s="334" t="s">
        <v>2736</v>
      </c>
    </row>
    <row r="74" spans="1:2" ht="13.8">
      <c r="A74" s="205" t="s">
        <v>344</v>
      </c>
      <c r="B74" s="334" t="s">
        <v>2734</v>
      </c>
    </row>
    <row r="75" spans="1:2" ht="13.8">
      <c r="A75" s="205" t="s">
        <v>345</v>
      </c>
      <c r="B75" s="334" t="s">
        <v>2734</v>
      </c>
    </row>
    <row r="76" spans="1:2" ht="13.8">
      <c r="A76" s="205" t="s">
        <v>346</v>
      </c>
      <c r="B76" s="335">
        <v>3</v>
      </c>
    </row>
    <row r="77" spans="1:2" ht="13.8">
      <c r="A77" s="205" t="s">
        <v>347</v>
      </c>
      <c r="B77" s="334" t="s">
        <v>2734</v>
      </c>
    </row>
    <row r="78" spans="1:2" ht="13.8">
      <c r="A78" s="205" t="s">
        <v>348</v>
      </c>
      <c r="B78" s="334" t="s">
        <v>2737</v>
      </c>
    </row>
    <row r="79" spans="1:2" ht="13.8">
      <c r="A79" s="205" t="s">
        <v>349</v>
      </c>
      <c r="B79" s="334" t="s">
        <v>2734</v>
      </c>
    </row>
    <row r="80" spans="1:2" ht="13.8">
      <c r="A80" s="205" t="s">
        <v>350</v>
      </c>
      <c r="B80" s="335">
        <v>3</v>
      </c>
    </row>
    <row r="81" spans="1:2" ht="13.8">
      <c r="A81" s="205" t="s">
        <v>351</v>
      </c>
      <c r="B81" s="335">
        <v>7</v>
      </c>
    </row>
    <row r="82" spans="1:2" ht="13.8">
      <c r="A82" s="205" t="s">
        <v>352</v>
      </c>
      <c r="B82" s="334" t="s">
        <v>2734</v>
      </c>
    </row>
    <row r="83" spans="1:2" ht="13.8">
      <c r="A83" s="205" t="s">
        <v>353</v>
      </c>
      <c r="B83" s="334" t="s">
        <v>2736</v>
      </c>
    </row>
    <row r="84" spans="1:2" ht="13.8">
      <c r="A84" s="205" t="s">
        <v>354</v>
      </c>
      <c r="B84" s="334" t="s">
        <v>2736</v>
      </c>
    </row>
    <row r="85" spans="1:2" ht="13.8">
      <c r="A85" s="205" t="s">
        <v>355</v>
      </c>
      <c r="B85" s="335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278F-9864-40FF-B240-C27370C2D97B}">
  <dimension ref="A1:M85"/>
  <sheetViews>
    <sheetView topLeftCell="C74" workbookViewId="0">
      <selection activeCell="K2" sqref="K2:L85"/>
    </sheetView>
  </sheetViews>
  <sheetFormatPr defaultRowHeight="13.2"/>
  <cols>
    <col min="1" max="1" width="41.44140625" bestFit="1" customWidth="1"/>
    <col min="2" max="3" width="14.21875" customWidth="1"/>
    <col min="10" max="10" width="41.44140625" bestFit="1" customWidth="1"/>
    <col min="11" max="12" width="14.21875" customWidth="1"/>
    <col min="13" max="13" width="9.21875" bestFit="1" customWidth="1"/>
  </cols>
  <sheetData>
    <row r="1" spans="1:13">
      <c r="A1" s="305" t="s">
        <v>2708</v>
      </c>
      <c r="B1" s="303" t="s">
        <v>2709</v>
      </c>
      <c r="C1" s="303" t="s">
        <v>2710</v>
      </c>
      <c r="D1" t="s">
        <v>2576</v>
      </c>
      <c r="J1" s="305" t="s">
        <v>2708</v>
      </c>
      <c r="K1" s="303" t="s">
        <v>2709</v>
      </c>
      <c r="L1" s="303" t="s">
        <v>2710</v>
      </c>
      <c r="M1" t="s">
        <v>2563</v>
      </c>
    </row>
    <row r="2" spans="1:13">
      <c r="A2" s="304" t="s">
        <v>270</v>
      </c>
      <c r="B2" s="302">
        <v>-0.13451451232488276</v>
      </c>
      <c r="C2" s="302">
        <v>0.89377730053213045</v>
      </c>
      <c r="D2" s="306">
        <v>6</v>
      </c>
      <c r="J2" s="304" t="s">
        <v>270</v>
      </c>
      <c r="K2" s="302">
        <v>-0.13451451232488276</v>
      </c>
      <c r="L2" s="302">
        <v>0.89377730053213045</v>
      </c>
      <c r="M2" s="307">
        <v>3</v>
      </c>
    </row>
    <row r="3" spans="1:13">
      <c r="A3" s="304" t="s">
        <v>271</v>
      </c>
      <c r="B3" s="302">
        <v>0.19932708745991812</v>
      </c>
      <c r="C3" s="302">
        <v>0.93265110532370332</v>
      </c>
      <c r="D3" s="306">
        <v>6</v>
      </c>
      <c r="J3" s="304" t="s">
        <v>271</v>
      </c>
      <c r="K3" s="302">
        <v>0.19932708745991812</v>
      </c>
      <c r="L3" s="302">
        <v>0.93265110532370332</v>
      </c>
      <c r="M3" s="307">
        <v>6</v>
      </c>
    </row>
    <row r="4" spans="1:13">
      <c r="A4" s="304" t="s">
        <v>272</v>
      </c>
      <c r="B4" s="302">
        <v>0.79058352877034876</v>
      </c>
      <c r="C4" s="302">
        <v>0.74798878588910789</v>
      </c>
      <c r="D4" s="306">
        <v>3</v>
      </c>
      <c r="J4" s="304" t="s">
        <v>272</v>
      </c>
      <c r="K4" s="302">
        <v>0.79058352877034876</v>
      </c>
      <c r="L4" s="302">
        <v>0.74798878588910789</v>
      </c>
      <c r="M4" s="307">
        <v>6</v>
      </c>
    </row>
    <row r="5" spans="1:13">
      <c r="A5" s="304" t="s">
        <v>273</v>
      </c>
      <c r="B5" s="302">
        <v>-8.9119810673757766E-2</v>
      </c>
      <c r="C5" s="302">
        <v>0.11179639989172215</v>
      </c>
      <c r="D5" s="306">
        <v>1</v>
      </c>
      <c r="J5" s="304" t="s">
        <v>273</v>
      </c>
      <c r="K5" s="302">
        <v>-8.9119810673757766E-2</v>
      </c>
      <c r="L5" s="302">
        <v>0.11179639989172215</v>
      </c>
      <c r="M5" s="307">
        <v>2</v>
      </c>
    </row>
    <row r="6" spans="1:13">
      <c r="A6" s="304" t="s">
        <v>274</v>
      </c>
      <c r="B6" s="302">
        <v>-0.17194133930383831</v>
      </c>
      <c r="C6" s="302">
        <v>-1.0012087352330716</v>
      </c>
      <c r="D6" s="306">
        <v>5</v>
      </c>
      <c r="J6" s="304" t="s">
        <v>274</v>
      </c>
      <c r="K6" s="302">
        <v>-0.17194133930383831</v>
      </c>
      <c r="L6" s="302">
        <v>-1.0012087352330716</v>
      </c>
      <c r="M6" s="307">
        <v>5</v>
      </c>
    </row>
    <row r="7" spans="1:13">
      <c r="A7" s="304" t="s">
        <v>275</v>
      </c>
      <c r="B7" s="302">
        <v>-0.38849176077921294</v>
      </c>
      <c r="C7" s="302">
        <v>-0.53253982233248742</v>
      </c>
      <c r="D7" s="306">
        <v>5</v>
      </c>
      <c r="J7" s="304" t="s">
        <v>275</v>
      </c>
      <c r="K7" s="302">
        <v>-0.38849176077921294</v>
      </c>
      <c r="L7" s="302">
        <v>-0.53253982233248742</v>
      </c>
      <c r="M7" s="307">
        <v>1</v>
      </c>
    </row>
    <row r="8" spans="1:13">
      <c r="A8" s="304" t="s">
        <v>276</v>
      </c>
      <c r="B8" s="302">
        <v>-0.4724740896956573</v>
      </c>
      <c r="C8" s="302">
        <v>0.38255119173808305</v>
      </c>
      <c r="D8" s="306">
        <v>6</v>
      </c>
      <c r="J8" s="304" t="s">
        <v>276</v>
      </c>
      <c r="K8" s="302">
        <v>-0.4724740896956573</v>
      </c>
      <c r="L8" s="302">
        <v>0.38255119173808305</v>
      </c>
      <c r="M8" s="307">
        <v>3</v>
      </c>
    </row>
    <row r="9" spans="1:13">
      <c r="A9" s="304" t="s">
        <v>277</v>
      </c>
      <c r="B9" s="302">
        <v>-0.54185207836917237</v>
      </c>
      <c r="C9" s="302">
        <v>0.15189894281162353</v>
      </c>
      <c r="D9" s="306">
        <v>4</v>
      </c>
      <c r="J9" s="304" t="s">
        <v>277</v>
      </c>
      <c r="K9" s="302">
        <v>-0.54185207836917237</v>
      </c>
      <c r="L9" s="302">
        <v>0.15189894281162353</v>
      </c>
      <c r="M9" s="307">
        <v>1</v>
      </c>
    </row>
    <row r="10" spans="1:13">
      <c r="A10" s="304" t="s">
        <v>278</v>
      </c>
      <c r="B10" s="302">
        <v>-0.42827118311882084</v>
      </c>
      <c r="C10" s="302">
        <v>0.48425112828308814</v>
      </c>
      <c r="D10" s="306">
        <v>6</v>
      </c>
      <c r="J10" s="304" t="s">
        <v>278</v>
      </c>
      <c r="K10" s="302">
        <v>-0.42827118311882084</v>
      </c>
      <c r="L10" s="302">
        <v>0.48425112828308814</v>
      </c>
      <c r="M10" s="307">
        <v>3</v>
      </c>
    </row>
    <row r="11" spans="1:13">
      <c r="A11" s="304" t="s">
        <v>279</v>
      </c>
      <c r="B11" s="302">
        <v>-0.15111573761358915</v>
      </c>
      <c r="C11" s="302">
        <v>-0.42197622310556893</v>
      </c>
      <c r="D11" s="306">
        <v>5</v>
      </c>
      <c r="J11" s="304" t="s">
        <v>279</v>
      </c>
      <c r="K11" s="302">
        <v>-0.15111573761358915</v>
      </c>
      <c r="L11" s="302">
        <v>-0.42197622310556893</v>
      </c>
      <c r="M11" s="307">
        <v>1</v>
      </c>
    </row>
    <row r="12" spans="1:13">
      <c r="A12" s="304" t="s">
        <v>280</v>
      </c>
      <c r="B12" s="302">
        <v>2.4824375559147982</v>
      </c>
      <c r="C12" s="302">
        <v>-3.5038434894163402</v>
      </c>
      <c r="D12" s="306">
        <v>7</v>
      </c>
      <c r="J12" s="304" t="s">
        <v>280</v>
      </c>
      <c r="K12" s="302">
        <v>2.4824375559147982</v>
      </c>
      <c r="L12" s="302">
        <v>-3.5038434894163402</v>
      </c>
      <c r="M12" s="307">
        <v>7</v>
      </c>
    </row>
    <row r="13" spans="1:13">
      <c r="A13" s="304" t="s">
        <v>281</v>
      </c>
      <c r="B13" s="302">
        <v>-0.78152501018729892</v>
      </c>
      <c r="C13" s="302">
        <v>1.4836983388613088</v>
      </c>
      <c r="D13" s="306">
        <v>6</v>
      </c>
      <c r="J13" s="304" t="s">
        <v>281</v>
      </c>
      <c r="K13" s="302">
        <v>-0.78152501018729892</v>
      </c>
      <c r="L13" s="302">
        <v>1.4836983388613088</v>
      </c>
      <c r="M13" s="307">
        <v>3</v>
      </c>
    </row>
    <row r="14" spans="1:13">
      <c r="A14" s="304" t="s">
        <v>282</v>
      </c>
      <c r="B14" s="302">
        <v>-0.12671423524950598</v>
      </c>
      <c r="C14" s="302">
        <v>0.89831443314952231</v>
      </c>
      <c r="D14" s="306">
        <v>6</v>
      </c>
      <c r="J14" s="304" t="s">
        <v>282</v>
      </c>
      <c r="K14" s="302">
        <v>-0.12671423524950598</v>
      </c>
      <c r="L14" s="302">
        <v>0.89831443314952231</v>
      </c>
      <c r="M14" s="307">
        <v>3</v>
      </c>
    </row>
    <row r="15" spans="1:13">
      <c r="A15" s="304" t="s">
        <v>283</v>
      </c>
      <c r="B15" s="302">
        <v>-0.28619267566762907</v>
      </c>
      <c r="C15" s="302">
        <v>0.6358856912681573</v>
      </c>
      <c r="D15" s="306">
        <v>6</v>
      </c>
      <c r="J15" s="304" t="s">
        <v>283</v>
      </c>
      <c r="K15" s="302">
        <v>-0.28619267566762907</v>
      </c>
      <c r="L15" s="302">
        <v>0.6358856912681573</v>
      </c>
      <c r="M15" s="307">
        <v>3</v>
      </c>
    </row>
    <row r="16" spans="1:13">
      <c r="A16" s="304" t="s">
        <v>284</v>
      </c>
      <c r="B16" s="302">
        <v>-0.10394890266884078</v>
      </c>
      <c r="C16" s="302">
        <v>0.52785114680889056</v>
      </c>
      <c r="D16" s="306">
        <v>6</v>
      </c>
      <c r="J16" s="304" t="s">
        <v>284</v>
      </c>
      <c r="K16" s="302">
        <v>-0.10394890266884078</v>
      </c>
      <c r="L16" s="302">
        <v>0.52785114680889056</v>
      </c>
      <c r="M16" s="307">
        <v>2</v>
      </c>
    </row>
    <row r="17" spans="1:13">
      <c r="A17" s="304" t="s">
        <v>285</v>
      </c>
      <c r="B17" s="302">
        <v>-0.87079771322023269</v>
      </c>
      <c r="C17" s="302">
        <v>-1.3575790268402448</v>
      </c>
      <c r="D17" s="306">
        <v>2</v>
      </c>
      <c r="J17" s="304" t="s">
        <v>285</v>
      </c>
      <c r="K17" s="302">
        <v>-0.87079771322023269</v>
      </c>
      <c r="L17" s="302">
        <v>-1.3575790268402448</v>
      </c>
      <c r="M17" s="307">
        <v>5</v>
      </c>
    </row>
    <row r="18" spans="1:13">
      <c r="A18" s="304" t="s">
        <v>286</v>
      </c>
      <c r="B18" s="302">
        <v>-0.11443173247445947</v>
      </c>
      <c r="C18" s="302">
        <v>-0.27850479167278203</v>
      </c>
      <c r="D18" s="306">
        <v>5</v>
      </c>
      <c r="J18" s="304" t="s">
        <v>286</v>
      </c>
      <c r="K18" s="302">
        <v>-0.11443173247445947</v>
      </c>
      <c r="L18" s="302">
        <v>-0.27850479167278203</v>
      </c>
      <c r="M18" s="307">
        <v>1</v>
      </c>
    </row>
    <row r="19" spans="1:13">
      <c r="A19" s="304" t="s">
        <v>287</v>
      </c>
      <c r="B19" s="302">
        <v>0.11533952265455763</v>
      </c>
      <c r="C19" s="302">
        <v>-9.6234457451758598E-2</v>
      </c>
      <c r="D19" s="306">
        <v>1</v>
      </c>
      <c r="J19" s="304" t="s">
        <v>287</v>
      </c>
      <c r="K19" s="302">
        <v>0.11533952265455763</v>
      </c>
      <c r="L19" s="302">
        <v>-9.6234457451758598E-2</v>
      </c>
      <c r="M19" s="307">
        <v>2</v>
      </c>
    </row>
    <row r="20" spans="1:13">
      <c r="A20" s="304" t="s">
        <v>288</v>
      </c>
      <c r="B20" s="302">
        <v>1.0015406709965224</v>
      </c>
      <c r="C20" s="302">
        <v>0.98006832302496982</v>
      </c>
      <c r="D20" s="306">
        <v>3</v>
      </c>
      <c r="J20" s="304" t="s">
        <v>288</v>
      </c>
      <c r="K20" s="302">
        <v>1.0015406709965224</v>
      </c>
      <c r="L20" s="302">
        <v>0.98006832302496982</v>
      </c>
      <c r="M20" s="307">
        <v>6</v>
      </c>
    </row>
    <row r="21" spans="1:13">
      <c r="A21" s="304" t="s">
        <v>289</v>
      </c>
      <c r="B21" s="302">
        <v>-0.73306807779064387</v>
      </c>
      <c r="C21" s="302">
        <v>-1.2326220708139033</v>
      </c>
      <c r="D21" s="306">
        <v>2</v>
      </c>
      <c r="J21" s="304" t="s">
        <v>289</v>
      </c>
      <c r="K21" s="302">
        <v>-0.73306807779064387</v>
      </c>
      <c r="L21" s="302">
        <v>-1.2326220708139033</v>
      </c>
      <c r="M21" s="307">
        <v>5</v>
      </c>
    </row>
    <row r="22" spans="1:13">
      <c r="A22" s="304" t="s">
        <v>290</v>
      </c>
      <c r="B22" s="302">
        <v>-0.41784106204887256</v>
      </c>
      <c r="C22" s="302">
        <v>0.36104639685150308</v>
      </c>
      <c r="D22" s="306">
        <v>6</v>
      </c>
      <c r="J22" s="304" t="s">
        <v>290</v>
      </c>
      <c r="K22" s="302">
        <v>-0.41784106204887256</v>
      </c>
      <c r="L22" s="302">
        <v>0.36104639685150308</v>
      </c>
      <c r="M22" s="307">
        <v>3</v>
      </c>
    </row>
    <row r="23" spans="1:13">
      <c r="A23" s="304" t="s">
        <v>291</v>
      </c>
      <c r="B23" s="302">
        <v>-0.11736768132177426</v>
      </c>
      <c r="C23" s="302">
        <v>0.96486952516322799</v>
      </c>
      <c r="D23" s="306">
        <v>6</v>
      </c>
      <c r="J23" s="304" t="s">
        <v>291</v>
      </c>
      <c r="K23" s="302">
        <v>-0.11736768132177426</v>
      </c>
      <c r="L23" s="302">
        <v>0.96486952516322799</v>
      </c>
      <c r="M23" s="307">
        <v>3</v>
      </c>
    </row>
    <row r="24" spans="1:13">
      <c r="A24" s="304" t="s">
        <v>292</v>
      </c>
      <c r="B24" s="302">
        <v>-0.64775395089259924</v>
      </c>
      <c r="C24" s="302">
        <v>0.87515307946599441</v>
      </c>
      <c r="D24" s="306">
        <v>6</v>
      </c>
      <c r="J24" s="304" t="s">
        <v>292</v>
      </c>
      <c r="K24" s="302">
        <v>-0.64775395089259924</v>
      </c>
      <c r="L24" s="302">
        <v>0.87515307946599441</v>
      </c>
      <c r="M24" s="307">
        <v>3</v>
      </c>
    </row>
    <row r="25" spans="1:13">
      <c r="A25" s="304" t="s">
        <v>293</v>
      </c>
      <c r="B25" s="302">
        <v>-0.18125232865637222</v>
      </c>
      <c r="C25" s="302">
        <v>-0.57956194601559274</v>
      </c>
      <c r="D25" s="306">
        <v>5</v>
      </c>
      <c r="J25" s="304" t="s">
        <v>293</v>
      </c>
      <c r="K25" s="302">
        <v>-0.18125232865637222</v>
      </c>
      <c r="L25" s="302">
        <v>-0.57956194601559274</v>
      </c>
      <c r="M25" s="307">
        <v>1</v>
      </c>
    </row>
    <row r="26" spans="1:13">
      <c r="A26" s="304" t="s">
        <v>294</v>
      </c>
      <c r="B26" s="302">
        <v>-5.5939346466515515E-2</v>
      </c>
      <c r="C26" s="302">
        <v>0.14808415904548797</v>
      </c>
      <c r="D26" s="306">
        <v>1</v>
      </c>
      <c r="J26" s="304" t="s">
        <v>294</v>
      </c>
      <c r="K26" s="302">
        <v>-5.5939346466515515E-2</v>
      </c>
      <c r="L26" s="302">
        <v>0.14808415904548797</v>
      </c>
      <c r="M26" s="307">
        <v>2</v>
      </c>
    </row>
    <row r="27" spans="1:13">
      <c r="A27" s="304" t="s">
        <v>295</v>
      </c>
      <c r="B27" s="302">
        <v>-0.6293968689451459</v>
      </c>
      <c r="C27" s="302">
        <v>0.93513214266637501</v>
      </c>
      <c r="D27" s="306">
        <v>6</v>
      </c>
      <c r="J27" s="304" t="s">
        <v>295</v>
      </c>
      <c r="K27" s="302">
        <v>-0.6293968689451459</v>
      </c>
      <c r="L27" s="302">
        <v>0.93513214266637501</v>
      </c>
      <c r="M27" s="307">
        <v>3</v>
      </c>
    </row>
    <row r="28" spans="1:13">
      <c r="A28" s="304" t="s">
        <v>296</v>
      </c>
      <c r="B28" s="302">
        <v>-0.24709135883320335</v>
      </c>
      <c r="C28" s="302">
        <v>-0.78129522214936309</v>
      </c>
      <c r="D28" s="306">
        <v>5</v>
      </c>
      <c r="J28" s="304" t="s">
        <v>296</v>
      </c>
      <c r="K28" s="302">
        <v>-0.24709135883320335</v>
      </c>
      <c r="L28" s="302">
        <v>-0.78129522214936309</v>
      </c>
      <c r="M28" s="307">
        <v>1</v>
      </c>
    </row>
    <row r="29" spans="1:13">
      <c r="A29" s="304" t="s">
        <v>297</v>
      </c>
      <c r="B29" s="302">
        <v>-0.78657463201853839</v>
      </c>
      <c r="C29" s="302">
        <v>-1.284946910306225</v>
      </c>
      <c r="D29" s="306">
        <v>2</v>
      </c>
      <c r="J29" s="304" t="s">
        <v>297</v>
      </c>
      <c r="K29" s="302">
        <v>-0.78657463201853839</v>
      </c>
      <c r="L29" s="302">
        <v>-1.284946910306225</v>
      </c>
      <c r="M29" s="307">
        <v>5</v>
      </c>
    </row>
    <row r="30" spans="1:13">
      <c r="A30" s="304" t="s">
        <v>298</v>
      </c>
      <c r="B30" s="302">
        <v>-0.56989889793253101</v>
      </c>
      <c r="C30" s="302">
        <v>-0.44314094694650352</v>
      </c>
      <c r="D30" s="306">
        <v>5</v>
      </c>
      <c r="J30" s="304" t="s">
        <v>298</v>
      </c>
      <c r="K30" s="302">
        <v>-0.56989889793253101</v>
      </c>
      <c r="L30" s="302">
        <v>-0.44314094694650352</v>
      </c>
      <c r="M30" s="307">
        <v>1</v>
      </c>
    </row>
    <row r="31" spans="1:13">
      <c r="A31" s="304" t="s">
        <v>299</v>
      </c>
      <c r="B31" s="302">
        <v>1.2400512669958057</v>
      </c>
      <c r="C31" s="302">
        <v>0.28656942891912751</v>
      </c>
      <c r="D31" s="306">
        <v>3</v>
      </c>
      <c r="J31" s="304" t="s">
        <v>299</v>
      </c>
      <c r="K31" s="302">
        <v>1.2400512669958057</v>
      </c>
      <c r="L31" s="302">
        <v>0.28656942891912751</v>
      </c>
      <c r="M31" s="307">
        <v>6</v>
      </c>
    </row>
    <row r="32" spans="1:13">
      <c r="A32" s="304" t="s">
        <v>300</v>
      </c>
      <c r="B32" s="302">
        <v>0.15181174882733139</v>
      </c>
      <c r="C32" s="302">
        <v>-1.7709981633448415</v>
      </c>
      <c r="D32" s="306">
        <v>2</v>
      </c>
      <c r="J32" s="304" t="s">
        <v>300</v>
      </c>
      <c r="K32" s="302">
        <v>0.15181174882733139</v>
      </c>
      <c r="L32" s="302">
        <v>-1.7709981633448415</v>
      </c>
      <c r="M32" s="307">
        <v>5</v>
      </c>
    </row>
    <row r="33" spans="1:13">
      <c r="A33" s="304" t="s">
        <v>301</v>
      </c>
      <c r="B33" s="302">
        <v>0.72918590139698258</v>
      </c>
      <c r="C33" s="302">
        <v>0.60203755166720763</v>
      </c>
      <c r="D33" s="306">
        <v>3</v>
      </c>
      <c r="J33" s="304" t="s">
        <v>301</v>
      </c>
      <c r="K33" s="302">
        <v>0.72918590139698258</v>
      </c>
      <c r="L33" s="302">
        <v>0.60203755166720763</v>
      </c>
      <c r="M33" s="307">
        <v>6</v>
      </c>
    </row>
    <row r="34" spans="1:13">
      <c r="A34" s="304" t="s">
        <v>302</v>
      </c>
      <c r="B34" s="302">
        <v>1.902856985383709</v>
      </c>
      <c r="C34" s="302">
        <v>-0.2082836011668015</v>
      </c>
      <c r="D34" s="306">
        <v>7</v>
      </c>
      <c r="J34" s="304" t="s">
        <v>302</v>
      </c>
      <c r="K34" s="302">
        <v>1.902856985383709</v>
      </c>
      <c r="L34" s="302">
        <v>-0.2082836011668015</v>
      </c>
      <c r="M34" s="307">
        <v>4</v>
      </c>
    </row>
    <row r="35" spans="1:13">
      <c r="A35" s="304" t="s">
        <v>304</v>
      </c>
      <c r="B35" s="302">
        <v>8.6655908263776643E-2</v>
      </c>
      <c r="C35" s="302">
        <v>0.68421042878290372</v>
      </c>
      <c r="D35" s="306">
        <v>6</v>
      </c>
      <c r="J35" s="304" t="s">
        <v>304</v>
      </c>
      <c r="K35" s="302">
        <v>8.6655908263776643E-2</v>
      </c>
      <c r="L35" s="302">
        <v>0.68421042878290372</v>
      </c>
      <c r="M35" s="307">
        <v>2</v>
      </c>
    </row>
    <row r="36" spans="1:13">
      <c r="A36" s="304" t="s">
        <v>305</v>
      </c>
      <c r="B36" s="302">
        <v>-0.35944540310941886</v>
      </c>
      <c r="C36" s="302">
        <v>0.59762510918128431</v>
      </c>
      <c r="D36" s="306">
        <v>6</v>
      </c>
      <c r="J36" s="304" t="s">
        <v>305</v>
      </c>
      <c r="K36" s="302">
        <v>-0.35944540310941886</v>
      </c>
      <c r="L36" s="302">
        <v>0.59762510918128431</v>
      </c>
      <c r="M36" s="307">
        <v>3</v>
      </c>
    </row>
    <row r="37" spans="1:13">
      <c r="A37" s="304" t="s">
        <v>306</v>
      </c>
      <c r="B37" s="302">
        <v>0.2872563941386353</v>
      </c>
      <c r="C37" s="302">
        <v>0.25316770172592307</v>
      </c>
      <c r="D37" s="306">
        <v>1</v>
      </c>
      <c r="J37" s="304" t="s">
        <v>306</v>
      </c>
      <c r="K37" s="302">
        <v>0.2872563941386353</v>
      </c>
      <c r="L37" s="302">
        <v>0.25316770172592307</v>
      </c>
      <c r="M37" s="307">
        <v>2</v>
      </c>
    </row>
    <row r="38" spans="1:13">
      <c r="A38" s="304" t="s">
        <v>307</v>
      </c>
      <c r="B38" s="302">
        <v>-0.3557876883273583</v>
      </c>
      <c r="C38" s="302">
        <v>0.73045917804048932</v>
      </c>
      <c r="D38" s="306">
        <v>6</v>
      </c>
      <c r="J38" s="304" t="s">
        <v>307</v>
      </c>
      <c r="K38" s="302">
        <v>-0.3557876883273583</v>
      </c>
      <c r="L38" s="302">
        <v>0.73045917804048932</v>
      </c>
      <c r="M38" s="307">
        <v>3</v>
      </c>
    </row>
    <row r="39" spans="1:13">
      <c r="A39" s="304" t="s">
        <v>308</v>
      </c>
      <c r="B39" s="302">
        <v>-0.22014196453994933</v>
      </c>
      <c r="C39" s="302">
        <v>-0.23223457413964091</v>
      </c>
      <c r="D39" s="306">
        <v>5</v>
      </c>
      <c r="J39" s="304" t="s">
        <v>308</v>
      </c>
      <c r="K39" s="302">
        <v>-0.22014196453994933</v>
      </c>
      <c r="L39" s="302">
        <v>-0.23223457413964091</v>
      </c>
      <c r="M39" s="307">
        <v>1</v>
      </c>
    </row>
    <row r="40" spans="1:13">
      <c r="A40" s="304" t="s">
        <v>309</v>
      </c>
      <c r="B40" s="302">
        <v>0.10380338291087092</v>
      </c>
      <c r="C40" s="302">
        <v>0.28923821759140128</v>
      </c>
      <c r="D40" s="306">
        <v>1</v>
      </c>
      <c r="J40" s="304" t="s">
        <v>309</v>
      </c>
      <c r="K40" s="302">
        <v>0.10380338291087092</v>
      </c>
      <c r="L40" s="302">
        <v>0.28923821759140128</v>
      </c>
      <c r="M40" s="307">
        <v>2</v>
      </c>
    </row>
    <row r="41" spans="1:13">
      <c r="A41" s="304" t="s">
        <v>310</v>
      </c>
      <c r="B41" s="302">
        <v>-0.49589350567880308</v>
      </c>
      <c r="C41" s="302">
        <v>0.21738163977052516</v>
      </c>
      <c r="D41" s="306">
        <v>4</v>
      </c>
      <c r="J41" s="304" t="s">
        <v>310</v>
      </c>
      <c r="K41" s="302">
        <v>-0.49589350567880308</v>
      </c>
      <c r="L41" s="302">
        <v>0.21738163977052516</v>
      </c>
      <c r="M41" s="307">
        <v>1</v>
      </c>
    </row>
    <row r="42" spans="1:13">
      <c r="A42" s="304" t="s">
        <v>311</v>
      </c>
      <c r="B42" s="302">
        <v>2.6720359327504967E-2</v>
      </c>
      <c r="C42" s="302">
        <v>5.1855904965029009E-2</v>
      </c>
      <c r="D42" s="306">
        <v>1</v>
      </c>
      <c r="J42" s="304" t="s">
        <v>311</v>
      </c>
      <c r="K42" s="302">
        <v>2.6720359327504967E-2</v>
      </c>
      <c r="L42" s="302">
        <v>5.1855904965029009E-2</v>
      </c>
      <c r="M42" s="307">
        <v>2</v>
      </c>
    </row>
    <row r="43" spans="1:13">
      <c r="A43" s="304" t="s">
        <v>312</v>
      </c>
      <c r="B43" s="302">
        <v>0.23356751601829567</v>
      </c>
      <c r="C43" s="302">
        <v>0.97487622103112614</v>
      </c>
      <c r="D43" s="306">
        <v>6</v>
      </c>
      <c r="J43" s="304" t="s">
        <v>312</v>
      </c>
      <c r="K43" s="302">
        <v>0.23356751601829567</v>
      </c>
      <c r="L43" s="302">
        <v>0.97487622103112614</v>
      </c>
      <c r="M43" s="307">
        <v>6</v>
      </c>
    </row>
    <row r="44" spans="1:13">
      <c r="A44" s="304" t="s">
        <v>313</v>
      </c>
      <c r="B44" s="302">
        <v>-0.85026456640818671</v>
      </c>
      <c r="C44" s="302">
        <v>0.39623852075782362</v>
      </c>
      <c r="D44" s="306">
        <v>4</v>
      </c>
      <c r="J44" s="304" t="s">
        <v>313</v>
      </c>
      <c r="K44" s="302">
        <v>-0.85026456640818671</v>
      </c>
      <c r="L44" s="302">
        <v>0.39623852075782362</v>
      </c>
      <c r="M44" s="307">
        <v>3</v>
      </c>
    </row>
    <row r="45" spans="1:13">
      <c r="A45" s="304" t="s">
        <v>314</v>
      </c>
      <c r="B45" s="302">
        <v>-0.79728429106607812</v>
      </c>
      <c r="C45" s="302">
        <v>-1.464215058777294</v>
      </c>
      <c r="D45" s="306">
        <v>2</v>
      </c>
      <c r="J45" s="304" t="s">
        <v>314</v>
      </c>
      <c r="K45" s="302">
        <v>-0.79728429106607812</v>
      </c>
      <c r="L45" s="302">
        <v>-1.464215058777294</v>
      </c>
      <c r="M45" s="307">
        <v>5</v>
      </c>
    </row>
    <row r="46" spans="1:13">
      <c r="A46" s="304" t="s">
        <v>315</v>
      </c>
      <c r="B46" s="302">
        <v>-0.75655269664103209</v>
      </c>
      <c r="C46" s="302">
        <v>0.49300251609350881</v>
      </c>
      <c r="D46" s="306">
        <v>4</v>
      </c>
      <c r="J46" s="304" t="s">
        <v>315</v>
      </c>
      <c r="K46" s="302">
        <v>-0.75655269664103209</v>
      </c>
      <c r="L46" s="302">
        <v>0.49300251609350881</v>
      </c>
      <c r="M46" s="307">
        <v>3</v>
      </c>
    </row>
    <row r="47" spans="1:13">
      <c r="A47" s="304" t="s">
        <v>316</v>
      </c>
      <c r="B47" s="302">
        <v>-0.16465997908068913</v>
      </c>
      <c r="C47" s="302">
        <v>-9.6974650045999103E-2</v>
      </c>
      <c r="D47" s="306">
        <v>5</v>
      </c>
      <c r="J47" s="304" t="s">
        <v>316</v>
      </c>
      <c r="K47" s="302">
        <v>-0.16465997908068913</v>
      </c>
      <c r="L47" s="302">
        <v>-9.6974650045999103E-2</v>
      </c>
      <c r="M47" s="307">
        <v>1</v>
      </c>
    </row>
    <row r="48" spans="1:13">
      <c r="A48" s="304" t="s">
        <v>317</v>
      </c>
      <c r="B48" s="302">
        <v>-0.72892822121547196</v>
      </c>
      <c r="C48" s="302">
        <v>0.39193431682269342</v>
      </c>
      <c r="D48" s="306">
        <v>4</v>
      </c>
      <c r="J48" s="304" t="s">
        <v>317</v>
      </c>
      <c r="K48" s="302">
        <v>-0.72892822121547196</v>
      </c>
      <c r="L48" s="302">
        <v>0.39193431682269342</v>
      </c>
      <c r="M48" s="307">
        <v>3</v>
      </c>
    </row>
    <row r="49" spans="1:13">
      <c r="A49" s="304" t="s">
        <v>318</v>
      </c>
      <c r="B49" s="302">
        <v>-0.7259052450957203</v>
      </c>
      <c r="C49" s="302">
        <v>-1.0358133860264127</v>
      </c>
      <c r="D49" s="306">
        <v>2</v>
      </c>
      <c r="J49" s="304" t="s">
        <v>318</v>
      </c>
      <c r="K49" s="302">
        <v>-0.7259052450957203</v>
      </c>
      <c r="L49" s="302">
        <v>-1.0358133860264127</v>
      </c>
      <c r="M49" s="307">
        <v>5</v>
      </c>
    </row>
    <row r="50" spans="1:13">
      <c r="A50" s="304" t="s">
        <v>320</v>
      </c>
      <c r="B50" s="302">
        <v>-1.1620164067016108</v>
      </c>
      <c r="C50" s="302">
        <v>-6.6345486943133136E-2</v>
      </c>
      <c r="D50" s="306">
        <v>4</v>
      </c>
      <c r="J50" s="304" t="s">
        <v>320</v>
      </c>
      <c r="K50" s="302">
        <v>-1.1620164067016108</v>
      </c>
      <c r="L50" s="302">
        <v>-6.6345486943133136E-2</v>
      </c>
      <c r="M50" s="307">
        <v>1</v>
      </c>
    </row>
    <row r="51" spans="1:13">
      <c r="A51" s="304" t="s">
        <v>321</v>
      </c>
      <c r="B51" s="302">
        <v>0.87762677608307582</v>
      </c>
      <c r="C51" s="302">
        <v>1.0832102283588858</v>
      </c>
      <c r="D51" s="306">
        <v>3</v>
      </c>
      <c r="J51" s="304" t="s">
        <v>321</v>
      </c>
      <c r="K51" s="302">
        <v>0.87762677608307582</v>
      </c>
      <c r="L51" s="302">
        <v>1.0832102283588858</v>
      </c>
      <c r="M51" s="307">
        <v>6</v>
      </c>
    </row>
    <row r="52" spans="1:13">
      <c r="A52" s="304" t="s">
        <v>322</v>
      </c>
      <c r="B52" s="302">
        <v>0.42417319543497206</v>
      </c>
      <c r="C52" s="302">
        <v>1.0988921216954144</v>
      </c>
      <c r="D52" s="306">
        <v>6</v>
      </c>
      <c r="J52" s="304" t="s">
        <v>322</v>
      </c>
      <c r="K52" s="302">
        <v>0.42417319543497206</v>
      </c>
      <c r="L52" s="302">
        <v>1.0988921216954144</v>
      </c>
      <c r="M52" s="307">
        <v>6</v>
      </c>
    </row>
    <row r="53" spans="1:13">
      <c r="A53" s="304" t="s">
        <v>323</v>
      </c>
      <c r="B53" s="302">
        <v>-0.55259005149687179</v>
      </c>
      <c r="C53" s="302">
        <v>-0.48076065394553058</v>
      </c>
      <c r="D53" s="306">
        <v>5</v>
      </c>
      <c r="J53" s="304" t="s">
        <v>323</v>
      </c>
      <c r="K53" s="302">
        <v>-0.55259005149687179</v>
      </c>
      <c r="L53" s="302">
        <v>-0.48076065394553058</v>
      </c>
      <c r="M53" s="307">
        <v>1</v>
      </c>
    </row>
    <row r="54" spans="1:13">
      <c r="A54" s="304" t="s">
        <v>324</v>
      </c>
      <c r="B54" s="302">
        <v>-0.67360864374600249</v>
      </c>
      <c r="C54" s="302">
        <v>1.493801203940251E-2</v>
      </c>
      <c r="D54" s="306">
        <v>4</v>
      </c>
      <c r="J54" s="304" t="s">
        <v>324</v>
      </c>
      <c r="K54" s="302">
        <v>-0.67360864374600249</v>
      </c>
      <c r="L54" s="302">
        <v>1.493801203940251E-2</v>
      </c>
      <c r="M54" s="307">
        <v>1</v>
      </c>
    </row>
    <row r="55" spans="1:13">
      <c r="A55" s="304" t="s">
        <v>325</v>
      </c>
      <c r="B55" s="302">
        <v>-0.29397361667948574</v>
      </c>
      <c r="C55" s="302">
        <v>-0.78637416212332634</v>
      </c>
      <c r="D55" s="306">
        <v>5</v>
      </c>
      <c r="J55" s="304" t="s">
        <v>325</v>
      </c>
      <c r="K55" s="302">
        <v>-0.29397361667948574</v>
      </c>
      <c r="L55" s="302">
        <v>-0.78637416212332634</v>
      </c>
      <c r="M55" s="307">
        <v>1</v>
      </c>
    </row>
    <row r="56" spans="1:13">
      <c r="A56" s="304" t="s">
        <v>326</v>
      </c>
      <c r="B56" s="302">
        <v>0.88065318213145261</v>
      </c>
      <c r="C56" s="302">
        <v>0.2338025479337949</v>
      </c>
      <c r="D56" s="306">
        <v>3</v>
      </c>
      <c r="J56" s="304" t="s">
        <v>326</v>
      </c>
      <c r="K56" s="302">
        <v>0.88065318213145261</v>
      </c>
      <c r="L56" s="302">
        <v>0.2338025479337949</v>
      </c>
      <c r="M56" s="307">
        <v>6</v>
      </c>
    </row>
    <row r="57" spans="1:13">
      <c r="A57" s="304" t="s">
        <v>327</v>
      </c>
      <c r="B57" s="302">
        <v>-0.15087741072062189</v>
      </c>
      <c r="C57" s="302">
        <v>-0.33596317991568669</v>
      </c>
      <c r="D57" s="306">
        <v>5</v>
      </c>
      <c r="J57" s="304" t="s">
        <v>327</v>
      </c>
      <c r="K57" s="302">
        <v>-0.15087741072062189</v>
      </c>
      <c r="L57" s="302">
        <v>-0.33596317991568669</v>
      </c>
      <c r="M57" s="307">
        <v>1</v>
      </c>
    </row>
    <row r="58" spans="1:13">
      <c r="A58" s="304" t="s">
        <v>328</v>
      </c>
      <c r="B58" s="302">
        <v>-3.5550638338124878E-2</v>
      </c>
      <c r="C58" s="302">
        <v>-1.0602908524109591</v>
      </c>
      <c r="D58" s="306">
        <v>5</v>
      </c>
      <c r="J58" s="304" t="s">
        <v>328</v>
      </c>
      <c r="K58" s="302">
        <v>-3.5550638338124878E-2</v>
      </c>
      <c r="L58" s="302">
        <v>-1.0602908524109591</v>
      </c>
      <c r="M58" s="307">
        <v>5</v>
      </c>
    </row>
    <row r="59" spans="1:13">
      <c r="A59" s="304" t="s">
        <v>329</v>
      </c>
      <c r="B59" s="302">
        <v>-0.70205527369496579</v>
      </c>
      <c r="C59" s="302">
        <v>0.93226822013875532</v>
      </c>
      <c r="D59" s="306">
        <v>6</v>
      </c>
      <c r="J59" s="304" t="s">
        <v>329</v>
      </c>
      <c r="K59" s="302">
        <v>-0.70205527369496579</v>
      </c>
      <c r="L59" s="302">
        <v>0.93226822013875532</v>
      </c>
      <c r="M59" s="307">
        <v>3</v>
      </c>
    </row>
    <row r="60" spans="1:13">
      <c r="A60" s="304" t="s">
        <v>330</v>
      </c>
      <c r="B60" s="302">
        <v>-0.59840703031219089</v>
      </c>
      <c r="C60" s="302">
        <v>-0.27314833281500489</v>
      </c>
      <c r="D60" s="306">
        <v>5</v>
      </c>
      <c r="J60" s="304" t="s">
        <v>330</v>
      </c>
      <c r="K60" s="302">
        <v>-0.59840703031219089</v>
      </c>
      <c r="L60" s="302">
        <v>-0.27314833281500489</v>
      </c>
      <c r="M60" s="307">
        <v>1</v>
      </c>
    </row>
    <row r="61" spans="1:13">
      <c r="A61" s="304" t="s">
        <v>331</v>
      </c>
      <c r="B61" s="302">
        <v>-0.41930164612182774</v>
      </c>
      <c r="C61" s="302">
        <v>-0.35065073975896993</v>
      </c>
      <c r="D61" s="306">
        <v>5</v>
      </c>
      <c r="J61" s="304" t="s">
        <v>331</v>
      </c>
      <c r="K61" s="302">
        <v>-0.41930164612182774</v>
      </c>
      <c r="L61" s="302">
        <v>-0.35065073975896993</v>
      </c>
      <c r="M61" s="307">
        <v>1</v>
      </c>
    </row>
    <row r="62" spans="1:13">
      <c r="A62" s="304" t="s">
        <v>332</v>
      </c>
      <c r="B62" s="302">
        <v>-0.11211465116360947</v>
      </c>
      <c r="C62" s="302">
        <v>0.19708823508447099</v>
      </c>
      <c r="D62" s="306">
        <v>1</v>
      </c>
      <c r="J62" s="304" t="s">
        <v>332</v>
      </c>
      <c r="K62" s="302">
        <v>-0.11211465116360947</v>
      </c>
      <c r="L62" s="302">
        <v>0.19708823508447099</v>
      </c>
      <c r="M62" s="307">
        <v>2</v>
      </c>
    </row>
    <row r="63" spans="1:13">
      <c r="A63" s="304" t="s">
        <v>333</v>
      </c>
      <c r="B63" s="302">
        <v>1.7948078753961819E-2</v>
      </c>
      <c r="C63" s="302">
        <v>-0.30041965122295811</v>
      </c>
      <c r="D63" s="306">
        <v>5</v>
      </c>
      <c r="J63" s="304" t="s">
        <v>333</v>
      </c>
      <c r="K63" s="302">
        <v>1.7948078753961819E-2</v>
      </c>
      <c r="L63" s="302">
        <v>-0.30041965122295811</v>
      </c>
      <c r="M63" s="307">
        <v>1</v>
      </c>
    </row>
    <row r="64" spans="1:13">
      <c r="A64" s="304" t="s">
        <v>334</v>
      </c>
      <c r="B64" s="302">
        <v>2.7540978363047044</v>
      </c>
      <c r="C64" s="302">
        <v>-1.6333727458119061</v>
      </c>
      <c r="D64" s="306">
        <v>7</v>
      </c>
      <c r="J64" s="304" t="s">
        <v>334</v>
      </c>
      <c r="K64" s="302">
        <v>2.7540978363047044</v>
      </c>
      <c r="L64" s="302">
        <v>-1.6333727458119061</v>
      </c>
      <c r="M64" s="307">
        <v>7</v>
      </c>
    </row>
    <row r="65" spans="1:13">
      <c r="A65" s="304" t="s">
        <v>335</v>
      </c>
      <c r="B65" s="302">
        <v>-0.36298232173799749</v>
      </c>
      <c r="C65" s="302">
        <v>0.14481752289660785</v>
      </c>
      <c r="D65" s="306">
        <v>4</v>
      </c>
      <c r="J65" s="304" t="s">
        <v>335</v>
      </c>
      <c r="K65" s="302">
        <v>-0.36298232173799749</v>
      </c>
      <c r="L65" s="302">
        <v>0.14481752289660785</v>
      </c>
      <c r="M65" s="307">
        <v>1</v>
      </c>
    </row>
    <row r="66" spans="1:13">
      <c r="A66" s="304" t="s">
        <v>336</v>
      </c>
      <c r="B66" s="302">
        <v>1.3144228074563784</v>
      </c>
      <c r="C66" s="302">
        <v>0.83446588494493323</v>
      </c>
      <c r="D66" s="306">
        <v>3</v>
      </c>
      <c r="J66" s="304" t="s">
        <v>336</v>
      </c>
      <c r="K66" s="302">
        <v>1.3144228074563784</v>
      </c>
      <c r="L66" s="302">
        <v>0.83446588494493323</v>
      </c>
      <c r="M66" s="307">
        <v>6</v>
      </c>
    </row>
    <row r="67" spans="1:13">
      <c r="A67" s="304" t="s">
        <v>337</v>
      </c>
      <c r="B67" s="302">
        <v>0.15340828202585571</v>
      </c>
      <c r="C67" s="302">
        <v>0.32951726359117373</v>
      </c>
      <c r="D67" s="306">
        <v>1</v>
      </c>
      <c r="J67" s="304" t="s">
        <v>337</v>
      </c>
      <c r="K67" s="302">
        <v>0.15340828202585571</v>
      </c>
      <c r="L67" s="302">
        <v>0.32951726359117373</v>
      </c>
      <c r="M67" s="307">
        <v>2</v>
      </c>
    </row>
    <row r="68" spans="1:13">
      <c r="A68" s="304" t="s">
        <v>338</v>
      </c>
      <c r="B68" s="302">
        <v>-0.43187961823046961</v>
      </c>
      <c r="C68" s="302">
        <v>-1.6351653933383339</v>
      </c>
      <c r="D68" s="306">
        <v>2</v>
      </c>
      <c r="J68" s="304" t="s">
        <v>338</v>
      </c>
      <c r="K68" s="302">
        <v>-0.43187961823046961</v>
      </c>
      <c r="L68" s="302">
        <v>-1.6351653933383339</v>
      </c>
      <c r="M68" s="307">
        <v>5</v>
      </c>
    </row>
    <row r="69" spans="1:13">
      <c r="A69" s="304" t="s">
        <v>339</v>
      </c>
      <c r="B69" s="302">
        <v>-0.10555239348844631</v>
      </c>
      <c r="C69" s="302">
        <v>0.34960788327969616</v>
      </c>
      <c r="D69" s="306">
        <v>6</v>
      </c>
      <c r="J69" s="304" t="s">
        <v>339</v>
      </c>
      <c r="K69" s="302">
        <v>-0.10555239348844631</v>
      </c>
      <c r="L69" s="302">
        <v>0.34960788327969616</v>
      </c>
      <c r="M69" s="307">
        <v>2</v>
      </c>
    </row>
    <row r="70" spans="1:13">
      <c r="A70" s="304" t="s">
        <v>340</v>
      </c>
      <c r="B70" s="302">
        <v>-0.4066182503095459</v>
      </c>
      <c r="C70" s="302">
        <v>-6.0400047882279789E-2</v>
      </c>
      <c r="D70" s="306">
        <v>4</v>
      </c>
      <c r="J70" s="304" t="s">
        <v>340</v>
      </c>
      <c r="K70" s="302">
        <v>-0.4066182503095459</v>
      </c>
      <c r="L70" s="302">
        <v>-6.0400047882279789E-2</v>
      </c>
      <c r="M70" s="307">
        <v>1</v>
      </c>
    </row>
    <row r="71" spans="1:13">
      <c r="A71" s="304" t="s">
        <v>341</v>
      </c>
      <c r="B71" s="302">
        <v>-0.53921967522483771</v>
      </c>
      <c r="C71" s="302">
        <v>-0.3767139753160289</v>
      </c>
      <c r="D71" s="306">
        <v>5</v>
      </c>
      <c r="J71" s="304" t="s">
        <v>341</v>
      </c>
      <c r="K71" s="302">
        <v>-0.53921967522483771</v>
      </c>
      <c r="L71" s="302">
        <v>-0.3767139753160289</v>
      </c>
      <c r="M71" s="307">
        <v>1</v>
      </c>
    </row>
    <row r="72" spans="1:13">
      <c r="A72" s="304" t="s">
        <v>342</v>
      </c>
      <c r="B72" s="302">
        <v>-0.16915910797623473</v>
      </c>
      <c r="C72" s="302">
        <v>0.54589800527810195</v>
      </c>
      <c r="D72" s="306">
        <v>6</v>
      </c>
      <c r="J72" s="304" t="s">
        <v>342</v>
      </c>
      <c r="K72" s="302">
        <v>-0.16915910797623473</v>
      </c>
      <c r="L72" s="302">
        <v>0.54589800527810195</v>
      </c>
      <c r="M72" s="307">
        <v>3</v>
      </c>
    </row>
    <row r="73" spans="1:13">
      <c r="A73" s="304" t="s">
        <v>343</v>
      </c>
      <c r="B73" s="302">
        <v>0.47803147429678572</v>
      </c>
      <c r="C73" s="302">
        <v>0.45363932430539305</v>
      </c>
      <c r="D73" s="306">
        <v>3</v>
      </c>
      <c r="J73" s="304" t="s">
        <v>343</v>
      </c>
      <c r="K73" s="302">
        <v>0.47803147429678572</v>
      </c>
      <c r="L73" s="302">
        <v>0.45363932430539305</v>
      </c>
      <c r="M73" s="307">
        <v>2</v>
      </c>
    </row>
    <row r="74" spans="1:13">
      <c r="A74" s="304" t="s">
        <v>344</v>
      </c>
      <c r="B74" s="302">
        <v>-0.51610250166578775</v>
      </c>
      <c r="C74" s="302">
        <v>1.2553331004984375E-2</v>
      </c>
      <c r="D74" s="306">
        <v>4</v>
      </c>
      <c r="J74" s="304" t="s">
        <v>344</v>
      </c>
      <c r="K74" s="302">
        <v>-0.51610250166578775</v>
      </c>
      <c r="L74" s="302">
        <v>1.2553331004984375E-2</v>
      </c>
      <c r="M74" s="307">
        <v>1</v>
      </c>
    </row>
    <row r="75" spans="1:13">
      <c r="A75" s="304" t="s">
        <v>345</v>
      </c>
      <c r="B75" s="302">
        <v>-0.35499981984382156</v>
      </c>
      <c r="C75" s="302">
        <v>0.11730944566896107</v>
      </c>
      <c r="D75" s="306">
        <v>4</v>
      </c>
      <c r="J75" s="304" t="s">
        <v>345</v>
      </c>
      <c r="K75" s="302">
        <v>-0.35499981984382156</v>
      </c>
      <c r="L75" s="302">
        <v>0.11730944566896107</v>
      </c>
      <c r="M75" s="307">
        <v>1</v>
      </c>
    </row>
    <row r="76" spans="1:13">
      <c r="A76" s="304" t="s">
        <v>346</v>
      </c>
      <c r="B76" s="302">
        <v>0.1018538299199819</v>
      </c>
      <c r="C76" s="302">
        <v>2.6135792256813027E-2</v>
      </c>
      <c r="D76" s="306">
        <v>1</v>
      </c>
      <c r="J76" s="304" t="s">
        <v>346</v>
      </c>
      <c r="K76" s="302">
        <v>0.1018538299199819</v>
      </c>
      <c r="L76" s="302">
        <v>2.6135792256813027E-2</v>
      </c>
      <c r="M76" s="307">
        <v>2</v>
      </c>
    </row>
    <row r="77" spans="1:13">
      <c r="A77" s="304" t="s">
        <v>347</v>
      </c>
      <c r="B77" s="302">
        <v>-0.49876748996794334</v>
      </c>
      <c r="C77" s="302">
        <v>0.19382803288830666</v>
      </c>
      <c r="D77" s="306">
        <v>4</v>
      </c>
      <c r="J77" s="304" t="s">
        <v>347</v>
      </c>
      <c r="K77" s="302">
        <v>-0.49876748996794334</v>
      </c>
      <c r="L77" s="302">
        <v>0.19382803288830666</v>
      </c>
      <c r="M77" s="307">
        <v>1</v>
      </c>
    </row>
    <row r="78" spans="1:13">
      <c r="A78" s="304" t="s">
        <v>348</v>
      </c>
      <c r="B78" s="302">
        <v>0.23327541193028459</v>
      </c>
      <c r="C78" s="302">
        <v>0.28958655804007843</v>
      </c>
      <c r="D78" s="306">
        <v>1</v>
      </c>
      <c r="J78" s="304" t="s">
        <v>348</v>
      </c>
      <c r="K78" s="302">
        <v>0.23327541193028459</v>
      </c>
      <c r="L78" s="302">
        <v>0.28958655804007843</v>
      </c>
      <c r="M78" s="307">
        <v>2</v>
      </c>
    </row>
    <row r="79" spans="1:13">
      <c r="A79" s="304" t="s">
        <v>349</v>
      </c>
      <c r="B79" s="302">
        <v>0.81028984568778351</v>
      </c>
      <c r="C79" s="302">
        <v>-0.15672945775482311</v>
      </c>
      <c r="D79" s="306">
        <v>3</v>
      </c>
      <c r="J79" s="304" t="s">
        <v>349</v>
      </c>
      <c r="K79" s="302">
        <v>0.81028984568778351</v>
      </c>
      <c r="L79" s="302">
        <v>-0.15672945775482311</v>
      </c>
      <c r="M79" s="307">
        <v>2</v>
      </c>
    </row>
    <row r="80" spans="1:13">
      <c r="A80" s="304" t="s">
        <v>350</v>
      </c>
      <c r="B80" s="302">
        <v>-0.36682838037648707</v>
      </c>
      <c r="C80" s="302">
        <v>-8.5213244737700547E-2</v>
      </c>
      <c r="D80" s="306">
        <v>4</v>
      </c>
      <c r="J80" s="304" t="s">
        <v>350</v>
      </c>
      <c r="K80" s="302">
        <v>-0.36682838037648707</v>
      </c>
      <c r="L80" s="302">
        <v>-8.5213244737700547E-2</v>
      </c>
      <c r="M80" s="307">
        <v>1</v>
      </c>
    </row>
    <row r="81" spans="1:13">
      <c r="A81" s="304" t="s">
        <v>351</v>
      </c>
      <c r="B81" s="302">
        <v>-1.17686586283827</v>
      </c>
      <c r="C81" s="302">
        <v>-2.1431056667695443</v>
      </c>
      <c r="D81" s="306">
        <v>2</v>
      </c>
      <c r="J81" s="304" t="s">
        <v>351</v>
      </c>
      <c r="K81" s="302">
        <v>-1.17686586283827</v>
      </c>
      <c r="L81" s="302">
        <v>-2.1431056667695443</v>
      </c>
      <c r="M81" s="307">
        <v>5</v>
      </c>
    </row>
    <row r="82" spans="1:13">
      <c r="A82" s="304" t="s">
        <v>352</v>
      </c>
      <c r="B82" s="302">
        <v>1.2809539512048759E-2</v>
      </c>
      <c r="C82" s="302">
        <v>-0.28094001498696397</v>
      </c>
      <c r="D82" s="306">
        <v>5</v>
      </c>
      <c r="J82" s="304" t="s">
        <v>352</v>
      </c>
      <c r="K82" s="302">
        <v>1.2809539512048759E-2</v>
      </c>
      <c r="L82" s="302">
        <v>-0.28094001498696397</v>
      </c>
      <c r="M82" s="307">
        <v>1</v>
      </c>
    </row>
    <row r="83" spans="1:13">
      <c r="A83" s="304" t="s">
        <v>353</v>
      </c>
      <c r="B83" s="302">
        <v>3.619696286195575</v>
      </c>
      <c r="C83" s="302">
        <v>1.4279839764762299</v>
      </c>
      <c r="D83" s="306">
        <v>7</v>
      </c>
      <c r="J83" s="304" t="s">
        <v>353</v>
      </c>
      <c r="K83" s="302">
        <v>3.619696286195575</v>
      </c>
      <c r="L83" s="302">
        <v>1.4279839764762299</v>
      </c>
      <c r="M83" s="307">
        <v>4</v>
      </c>
    </row>
    <row r="84" spans="1:13">
      <c r="A84" s="304" t="s">
        <v>354</v>
      </c>
      <c r="B84" s="302">
        <v>2.9484895773711197</v>
      </c>
      <c r="C84" s="302">
        <v>-2.6808108057498919E-2</v>
      </c>
      <c r="D84" s="306">
        <v>7</v>
      </c>
      <c r="J84" s="304" t="s">
        <v>354</v>
      </c>
      <c r="K84" s="302">
        <v>2.9484895773711197</v>
      </c>
      <c r="L84" s="302">
        <v>-2.6808108057498919E-2</v>
      </c>
      <c r="M84" s="307">
        <v>4</v>
      </c>
    </row>
    <row r="85" spans="1:13">
      <c r="A85" s="304" t="s">
        <v>355</v>
      </c>
      <c r="B85" s="302">
        <v>0.15399538588792039</v>
      </c>
      <c r="C85" s="302">
        <v>0.60521757756953565</v>
      </c>
      <c r="D85" s="306">
        <v>6</v>
      </c>
      <c r="J85" s="304" t="s">
        <v>355</v>
      </c>
      <c r="K85" s="302">
        <v>0.15399538588792039</v>
      </c>
      <c r="L85" s="302">
        <v>0.60521757756953565</v>
      </c>
      <c r="M85" s="307">
        <v>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09E6-CC37-4FAF-B5FE-55873DBD6A3F}">
  <dimension ref="A1:F85"/>
  <sheetViews>
    <sheetView topLeftCell="A56" workbookViewId="0">
      <selection activeCell="D92" sqref="D92"/>
    </sheetView>
  </sheetViews>
  <sheetFormatPr defaultRowHeight="13.2"/>
  <cols>
    <col min="1" max="1" width="41.44140625" bestFit="1" customWidth="1"/>
    <col min="5" max="5" width="8.44140625" customWidth="1"/>
    <col min="6" max="6" width="10.44140625" customWidth="1"/>
  </cols>
  <sheetData>
    <row r="1" spans="1:6">
      <c r="A1" s="311" t="s">
        <v>2708</v>
      </c>
      <c r="B1" s="308" t="s">
        <v>2709</v>
      </c>
      <c r="C1" s="308" t="s">
        <v>2710</v>
      </c>
      <c r="D1" s="308" t="s">
        <v>2720</v>
      </c>
      <c r="E1" s="308" t="s">
        <v>2576</v>
      </c>
      <c r="F1" s="308" t="s">
        <v>2563</v>
      </c>
    </row>
    <row r="2" spans="1:6">
      <c r="A2" s="309" t="s">
        <v>270</v>
      </c>
      <c r="B2" s="310">
        <v>-0.45841381421479382</v>
      </c>
      <c r="C2" s="310">
        <v>-0.77896648959345327</v>
      </c>
      <c r="D2" s="310">
        <v>0.5354658979451109</v>
      </c>
      <c r="E2" s="312">
        <v>6</v>
      </c>
      <c r="F2" s="313">
        <v>2</v>
      </c>
    </row>
    <row r="3" spans="1:6">
      <c r="A3" s="309" t="s">
        <v>271</v>
      </c>
      <c r="B3" s="310">
        <v>-0.74221090959521419</v>
      </c>
      <c r="C3" s="310">
        <v>-0.59890929007206406</v>
      </c>
      <c r="D3" s="310">
        <v>-0.31814645711589806</v>
      </c>
      <c r="E3" s="312">
        <v>6</v>
      </c>
      <c r="F3" s="313">
        <v>2</v>
      </c>
    </row>
    <row r="4" spans="1:6">
      <c r="A4" s="309" t="s">
        <v>272</v>
      </c>
      <c r="B4" s="310">
        <v>-1.0851746806842724</v>
      </c>
      <c r="C4" s="310">
        <v>-8.3099050419523549E-2</v>
      </c>
      <c r="D4" s="310">
        <v>0.3142925642566306</v>
      </c>
      <c r="E4" s="312">
        <v>6</v>
      </c>
      <c r="F4" s="313">
        <v>1</v>
      </c>
    </row>
    <row r="5" spans="1:6">
      <c r="A5" s="309" t="s">
        <v>273</v>
      </c>
      <c r="B5" s="310">
        <v>-1.1845396625836959E-3</v>
      </c>
      <c r="C5" s="310">
        <v>-0.14296633362111505</v>
      </c>
      <c r="D5" s="310">
        <v>-0.814781249372723</v>
      </c>
      <c r="E5" s="312">
        <v>2</v>
      </c>
      <c r="F5" s="313">
        <v>4</v>
      </c>
    </row>
    <row r="6" spans="1:6">
      <c r="A6" s="309" t="s">
        <v>274</v>
      </c>
      <c r="B6" s="310">
        <v>0.76411624352589247</v>
      </c>
      <c r="C6" s="310">
        <v>0.66940953238543222</v>
      </c>
      <c r="D6" s="310">
        <v>0.16134021253827724</v>
      </c>
      <c r="E6" s="312">
        <v>4</v>
      </c>
      <c r="F6" s="313">
        <v>3</v>
      </c>
    </row>
    <row r="7" spans="1:6">
      <c r="A7" s="309" t="s">
        <v>275</v>
      </c>
      <c r="B7" s="310">
        <v>0.63715697265686655</v>
      </c>
      <c r="C7" s="310">
        <v>0.16898373518770254</v>
      </c>
      <c r="D7" s="310">
        <v>0.22695044863964844</v>
      </c>
      <c r="E7" s="312">
        <v>4</v>
      </c>
      <c r="F7" s="313">
        <v>3</v>
      </c>
    </row>
    <row r="8" spans="1:6">
      <c r="A8" s="309" t="s">
        <v>276</v>
      </c>
      <c r="B8" s="310">
        <v>0.12606849834436812</v>
      </c>
      <c r="C8" s="310">
        <v>-0.5947133035834693</v>
      </c>
      <c r="D8" s="310">
        <v>0.55230607030805468</v>
      </c>
      <c r="E8" s="312">
        <v>3</v>
      </c>
      <c r="F8" s="313">
        <v>2</v>
      </c>
    </row>
    <row r="9" spans="1:6">
      <c r="A9" s="309" t="s">
        <v>277</v>
      </c>
      <c r="B9" s="310">
        <v>0.32522279942093224</v>
      </c>
      <c r="C9" s="310">
        <v>-0.45924622415115463</v>
      </c>
      <c r="D9" s="310">
        <v>-6.1992737610169976E-2</v>
      </c>
      <c r="E9" s="312">
        <v>2</v>
      </c>
      <c r="F9" s="313">
        <v>2</v>
      </c>
    </row>
    <row r="10" spans="1:6">
      <c r="A10" s="309" t="s">
        <v>278</v>
      </c>
      <c r="B10" s="310">
        <v>2.7683077364630247E-2</v>
      </c>
      <c r="C10" s="310">
        <v>-0.64587073688243735</v>
      </c>
      <c r="D10" s="310">
        <v>1.2626314709536584</v>
      </c>
      <c r="E10" s="312">
        <v>3</v>
      </c>
      <c r="F10" s="313">
        <v>1</v>
      </c>
    </row>
    <row r="11" spans="1:6">
      <c r="A11" s="309" t="s">
        <v>279</v>
      </c>
      <c r="B11" s="310">
        <v>0.38314028737289707</v>
      </c>
      <c r="C11" s="310">
        <v>0.23260141704803497</v>
      </c>
      <c r="D11" s="310">
        <v>-0.67623738603342676</v>
      </c>
      <c r="E11" s="312">
        <v>4</v>
      </c>
      <c r="F11" s="313">
        <v>4</v>
      </c>
    </row>
    <row r="12" spans="1:6">
      <c r="A12" s="309" t="s">
        <v>280</v>
      </c>
      <c r="B12" s="310">
        <v>0.2784580690980597</v>
      </c>
      <c r="C12" s="310">
        <v>4.2850760227906912</v>
      </c>
      <c r="D12" s="310">
        <v>-0.6250610991241129</v>
      </c>
      <c r="E12" s="312">
        <v>7</v>
      </c>
      <c r="F12" s="313">
        <v>7</v>
      </c>
    </row>
    <row r="13" spans="1:6">
      <c r="A13" s="309" t="s">
        <v>281</v>
      </c>
      <c r="B13" s="310">
        <v>-0.32737371553484274</v>
      </c>
      <c r="C13" s="310">
        <v>-1.6446788600407602</v>
      </c>
      <c r="D13" s="310">
        <v>6.2490273620539882E-3</v>
      </c>
      <c r="E13" s="312">
        <v>2</v>
      </c>
      <c r="F13" s="313">
        <v>2</v>
      </c>
    </row>
    <row r="14" spans="1:6">
      <c r="A14" s="309" t="s">
        <v>282</v>
      </c>
      <c r="B14" s="310">
        <v>-0.46733022633950905</v>
      </c>
      <c r="C14" s="310">
        <v>-0.77757814897865885</v>
      </c>
      <c r="D14" s="310">
        <v>0.14868897209249016</v>
      </c>
      <c r="E14" s="312">
        <v>6</v>
      </c>
      <c r="F14" s="313">
        <v>2</v>
      </c>
    </row>
    <row r="15" spans="1:6">
      <c r="A15" s="309" t="s">
        <v>283</v>
      </c>
      <c r="B15" s="310">
        <v>-0.17817682094563583</v>
      </c>
      <c r="C15" s="310">
        <v>-0.67417347948661188</v>
      </c>
      <c r="D15" s="310">
        <v>-0.36755338791353337</v>
      </c>
      <c r="E15" s="312">
        <v>2</v>
      </c>
      <c r="F15" s="313">
        <v>2</v>
      </c>
    </row>
    <row r="16" spans="1:6">
      <c r="A16" s="309" t="s">
        <v>284</v>
      </c>
      <c r="B16" s="310">
        <v>-0.25169636153207064</v>
      </c>
      <c r="C16" s="310">
        <v>-0.47547991455479416</v>
      </c>
      <c r="D16" s="310">
        <v>5.4542577828100874E-2</v>
      </c>
      <c r="E16" s="312">
        <v>6</v>
      </c>
      <c r="F16" s="313">
        <v>2</v>
      </c>
    </row>
    <row r="17" spans="1:6">
      <c r="A17" s="309" t="s">
        <v>285</v>
      </c>
      <c r="B17" s="310">
        <v>1.5314004872265308</v>
      </c>
      <c r="C17" s="310">
        <v>0.50608499206006508</v>
      </c>
      <c r="D17" s="310">
        <v>-1.2620965758464791</v>
      </c>
      <c r="E17" s="312">
        <v>4</v>
      </c>
      <c r="F17" s="313">
        <v>4</v>
      </c>
    </row>
    <row r="18" spans="1:6">
      <c r="A18" s="309" t="s">
        <v>286</v>
      </c>
      <c r="B18" s="310">
        <v>0.26428763600936983</v>
      </c>
      <c r="C18" s="310">
        <v>0.14426221208058923</v>
      </c>
      <c r="D18" s="310">
        <v>-0.23470260462867004</v>
      </c>
      <c r="E18" s="312">
        <v>4</v>
      </c>
      <c r="F18" s="313">
        <v>4</v>
      </c>
    </row>
    <row r="19" spans="1:6">
      <c r="A19" s="309" t="s">
        <v>287</v>
      </c>
      <c r="B19" s="310">
        <v>-2.8982736666782846E-2</v>
      </c>
      <c r="C19" s="310">
        <v>0.14739157799046526</v>
      </c>
      <c r="D19" s="310">
        <v>0.92044557897393164</v>
      </c>
      <c r="E19" s="312">
        <v>3</v>
      </c>
      <c r="F19" s="313">
        <v>1</v>
      </c>
    </row>
    <row r="20" spans="1:6">
      <c r="A20" s="309" t="s">
        <v>288</v>
      </c>
      <c r="B20" s="310">
        <v>-1.3952007596711113</v>
      </c>
      <c r="C20" s="310">
        <v>-0.13050851953146525</v>
      </c>
      <c r="D20" s="310">
        <v>-1.4104524085576096</v>
      </c>
      <c r="E20" s="312">
        <v>5</v>
      </c>
      <c r="F20" s="313">
        <v>5</v>
      </c>
    </row>
    <row r="21" spans="1:6">
      <c r="A21" s="309" t="s">
        <v>289</v>
      </c>
      <c r="B21" s="310">
        <v>1.3457201179637039</v>
      </c>
      <c r="C21" s="310">
        <v>0.49576540847560024</v>
      </c>
      <c r="D21" s="310">
        <v>0.74649414699022709</v>
      </c>
      <c r="E21" s="312">
        <v>1</v>
      </c>
      <c r="F21" s="313">
        <v>3</v>
      </c>
    </row>
    <row r="22" spans="1:6">
      <c r="A22" s="309" t="s">
        <v>290</v>
      </c>
      <c r="B22" s="310">
        <v>9.7175482193731372E-2</v>
      </c>
      <c r="C22" s="310">
        <v>-0.54360148958037136</v>
      </c>
      <c r="D22" s="310">
        <v>0.14129008778141675</v>
      </c>
      <c r="E22" s="312">
        <v>6</v>
      </c>
      <c r="F22" s="313">
        <v>2</v>
      </c>
    </row>
    <row r="23" spans="1:6">
      <c r="A23" s="309" t="s">
        <v>291</v>
      </c>
      <c r="B23" s="310">
        <v>-0.5165065102805112</v>
      </c>
      <c r="C23" s="310">
        <v>-0.82338897129206801</v>
      </c>
      <c r="D23" s="310">
        <v>-0.24850552001657239</v>
      </c>
      <c r="E23" s="312">
        <v>6</v>
      </c>
      <c r="F23" s="313">
        <v>2</v>
      </c>
    </row>
    <row r="24" spans="1:6">
      <c r="A24" s="309" t="s">
        <v>292</v>
      </c>
      <c r="B24" s="310">
        <v>-4.8020989514150916E-2</v>
      </c>
      <c r="C24" s="310">
        <v>-1.0877371364267503</v>
      </c>
      <c r="D24" s="310">
        <v>-0.7950658551497134</v>
      </c>
      <c r="E24" s="312">
        <v>2</v>
      </c>
      <c r="F24" s="313">
        <v>2</v>
      </c>
    </row>
    <row r="25" spans="1:6">
      <c r="A25" s="309" t="s">
        <v>293</v>
      </c>
      <c r="B25" s="310">
        <v>0.50579632892815884</v>
      </c>
      <c r="C25" s="310">
        <v>0.33602757261203414</v>
      </c>
      <c r="D25" s="310">
        <v>4.9814181370716075E-2</v>
      </c>
      <c r="E25" s="312">
        <v>4</v>
      </c>
      <c r="F25" s="313">
        <v>3</v>
      </c>
    </row>
    <row r="26" spans="1:6">
      <c r="A26" s="309" t="s">
        <v>294</v>
      </c>
      <c r="B26" s="310">
        <v>-4.9811720710334795E-2</v>
      </c>
      <c r="C26" s="310">
        <v>-0.1502561849748151</v>
      </c>
      <c r="D26" s="310">
        <v>0.19265519303103598</v>
      </c>
      <c r="E26" s="312">
        <v>3</v>
      </c>
      <c r="F26" s="313">
        <v>2</v>
      </c>
    </row>
    <row r="27" spans="1:6">
      <c r="A27" s="309" t="s">
        <v>295</v>
      </c>
      <c r="B27" s="310">
        <v>-0.10005471187497249</v>
      </c>
      <c r="C27" s="310">
        <v>-1.1227651568860582</v>
      </c>
      <c r="D27" s="310">
        <v>1.1509265247532874</v>
      </c>
      <c r="E27" s="312">
        <v>3</v>
      </c>
      <c r="F27" s="313">
        <v>1</v>
      </c>
    </row>
    <row r="28" spans="1:6">
      <c r="A28" s="309" t="s">
        <v>296</v>
      </c>
      <c r="B28" s="310">
        <v>0.68398860079373769</v>
      </c>
      <c r="C28" s="310">
        <v>0.45126041012666501</v>
      </c>
      <c r="D28" s="310">
        <v>-0.95143611205402279</v>
      </c>
      <c r="E28" s="312">
        <v>4</v>
      </c>
      <c r="F28" s="313">
        <v>4</v>
      </c>
    </row>
    <row r="29" spans="1:6">
      <c r="A29" s="309" t="s">
        <v>297</v>
      </c>
      <c r="B29" s="310">
        <v>1.4202358926393415</v>
      </c>
      <c r="C29" s="310">
        <v>0.5027108744592127</v>
      </c>
      <c r="D29" s="310">
        <v>1.1868035008672357</v>
      </c>
      <c r="E29" s="312">
        <v>1</v>
      </c>
      <c r="F29" s="313">
        <v>3</v>
      </c>
    </row>
    <row r="30" spans="1:6">
      <c r="A30" s="309" t="s">
        <v>298</v>
      </c>
      <c r="B30" s="310">
        <v>0.72176335616599863</v>
      </c>
      <c r="C30" s="310">
        <v>-1.4707495413943159E-2</v>
      </c>
      <c r="D30" s="310">
        <v>-0.43993233667170595</v>
      </c>
      <c r="E30" s="312">
        <v>4</v>
      </c>
      <c r="F30" s="313">
        <v>4</v>
      </c>
    </row>
    <row r="31" spans="1:6">
      <c r="A31" s="309" t="s">
        <v>299</v>
      </c>
      <c r="B31" s="310">
        <v>-1.1437017760794193</v>
      </c>
      <c r="C31" s="310">
        <v>0.55838645198618519</v>
      </c>
      <c r="D31" s="310">
        <v>-1.0006019309878711</v>
      </c>
      <c r="E31" s="312">
        <v>5</v>
      </c>
      <c r="F31" s="313">
        <v>5</v>
      </c>
    </row>
    <row r="32" spans="1:6">
      <c r="A32" s="309" t="s">
        <v>300</v>
      </c>
      <c r="B32" s="310">
        <v>0.99744998496926673</v>
      </c>
      <c r="C32" s="310">
        <v>1.4712494109217582</v>
      </c>
      <c r="D32" s="310">
        <v>0.17776784388176792</v>
      </c>
      <c r="E32" s="312">
        <v>4</v>
      </c>
      <c r="F32" s="313">
        <v>3</v>
      </c>
    </row>
    <row r="33" spans="1:6">
      <c r="A33" s="309" t="s">
        <v>301</v>
      </c>
      <c r="B33" s="310">
        <v>-0.94556372720422388</v>
      </c>
      <c r="C33" s="310">
        <v>-8.3982265528059243E-3</v>
      </c>
      <c r="D33" s="310">
        <v>-0.53787725891808791</v>
      </c>
      <c r="E33" s="312">
        <v>6</v>
      </c>
      <c r="F33" s="313">
        <v>2</v>
      </c>
    </row>
    <row r="34" spans="1:6">
      <c r="A34" s="309" t="s">
        <v>302</v>
      </c>
      <c r="B34" s="310">
        <v>-1.3468845961048004</v>
      </c>
      <c r="C34" s="310">
        <v>1.3602016946446565</v>
      </c>
      <c r="D34" s="310">
        <v>1.7207204075450697</v>
      </c>
      <c r="E34" s="312">
        <v>7</v>
      </c>
      <c r="F34" s="313">
        <v>1</v>
      </c>
    </row>
    <row r="35" spans="1:6">
      <c r="A35" s="309" t="s">
        <v>304</v>
      </c>
      <c r="B35" s="310">
        <v>-0.49822511899381039</v>
      </c>
      <c r="C35" s="310">
        <v>-0.47689085553814969</v>
      </c>
      <c r="D35" s="310">
        <v>-0.19900058963959524</v>
      </c>
      <c r="E35" s="312">
        <v>6</v>
      </c>
      <c r="F35" s="313">
        <v>2</v>
      </c>
    </row>
    <row r="36" spans="1:6">
      <c r="A36" s="309" t="s">
        <v>305</v>
      </c>
      <c r="B36" s="310">
        <v>-9.718067083125137E-2</v>
      </c>
      <c r="C36" s="310">
        <v>-0.69058865191749419</v>
      </c>
      <c r="D36" s="310">
        <v>0.20109271965980496</v>
      </c>
      <c r="E36" s="312">
        <v>6</v>
      </c>
      <c r="F36" s="313">
        <v>2</v>
      </c>
    </row>
    <row r="37" spans="1:6">
      <c r="A37" s="309" t="s">
        <v>306</v>
      </c>
      <c r="B37" s="310">
        <v>-0.38257348987781603</v>
      </c>
      <c r="C37" s="310">
        <v>-1.5736772649616086E-2</v>
      </c>
      <c r="D37" s="310">
        <v>-0.2237843181360322</v>
      </c>
      <c r="E37" s="312">
        <v>6</v>
      </c>
      <c r="F37" s="313">
        <v>2</v>
      </c>
    </row>
    <row r="38" spans="1:6">
      <c r="A38" s="309" t="s">
        <v>307</v>
      </c>
      <c r="B38" s="310">
        <v>-0.18368046579524863</v>
      </c>
      <c r="C38" s="310">
        <v>-0.79146508225830936</v>
      </c>
      <c r="D38" s="310">
        <v>-0.43519928660277207</v>
      </c>
      <c r="E38" s="312">
        <v>2</v>
      </c>
      <c r="F38" s="313">
        <v>2</v>
      </c>
    </row>
    <row r="39" spans="1:6">
      <c r="A39" s="309" t="s">
        <v>308</v>
      </c>
      <c r="B39" s="310">
        <v>0.31725811391845821</v>
      </c>
      <c r="C39" s="310">
        <v>4.1745312673775334E-2</v>
      </c>
      <c r="D39" s="310">
        <v>0.25333230240482585</v>
      </c>
      <c r="E39" s="312">
        <v>4</v>
      </c>
      <c r="F39" s="313">
        <v>3</v>
      </c>
    </row>
    <row r="40" spans="1:6">
      <c r="A40" s="309" t="s">
        <v>309</v>
      </c>
      <c r="B40" s="310">
        <v>-0.26279186065112092</v>
      </c>
      <c r="C40" s="310">
        <v>-0.15929321013374526</v>
      </c>
      <c r="D40" s="310">
        <v>0.44016875182014387</v>
      </c>
      <c r="E40" s="312">
        <v>3</v>
      </c>
      <c r="F40" s="313">
        <v>1</v>
      </c>
    </row>
    <row r="41" spans="1:6">
      <c r="A41" s="309" t="s">
        <v>310</v>
      </c>
      <c r="B41" s="310">
        <v>0.24828319450535583</v>
      </c>
      <c r="C41" s="310">
        <v>-0.48116587743724204</v>
      </c>
      <c r="D41" s="310">
        <v>-0.3357587207017938</v>
      </c>
      <c r="E41" s="312">
        <v>2</v>
      </c>
      <c r="F41" s="313">
        <v>2</v>
      </c>
    </row>
    <row r="42" spans="1:6">
      <c r="A42" s="309" t="s">
        <v>311</v>
      </c>
      <c r="B42" s="310">
        <v>-5.3414024021765288E-2</v>
      </c>
      <c r="C42" s="310">
        <v>-2.3451109145099777E-2</v>
      </c>
      <c r="D42" s="310">
        <v>0.60297026336575199</v>
      </c>
      <c r="E42" s="312">
        <v>3</v>
      </c>
      <c r="F42" s="313">
        <v>1</v>
      </c>
    </row>
    <row r="43" spans="1:6">
      <c r="A43" s="309" t="s">
        <v>312</v>
      </c>
      <c r="B43" s="310">
        <v>-0.79540076278333094</v>
      </c>
      <c r="C43" s="310">
        <v>-0.61014347282797388</v>
      </c>
      <c r="D43" s="310">
        <v>0.17893500115547184</v>
      </c>
      <c r="E43" s="312">
        <v>6</v>
      </c>
      <c r="F43" s="313">
        <v>2</v>
      </c>
    </row>
    <row r="44" spans="1:6">
      <c r="A44" s="309" t="s">
        <v>313</v>
      </c>
      <c r="B44" s="310">
        <v>0.41090037971993276</v>
      </c>
      <c r="C44" s="310">
        <v>-0.8432767494527913</v>
      </c>
      <c r="D44" s="310">
        <v>-0.56420364429441572</v>
      </c>
      <c r="E44" s="312">
        <v>2</v>
      </c>
      <c r="F44" s="313">
        <v>2</v>
      </c>
    </row>
    <row r="45" spans="1:6">
      <c r="A45" s="309" t="s">
        <v>314</v>
      </c>
      <c r="B45" s="310">
        <v>1.5414574393763294</v>
      </c>
      <c r="C45" s="310">
        <v>0.63521409124979455</v>
      </c>
      <c r="D45" s="310">
        <v>0.39567657058056693</v>
      </c>
      <c r="E45" s="312">
        <v>1</v>
      </c>
      <c r="F45" s="313">
        <v>3</v>
      </c>
    </row>
    <row r="46" spans="1:6">
      <c r="A46" s="309" t="s">
        <v>315</v>
      </c>
      <c r="B46" s="310">
        <v>0.27716707443646965</v>
      </c>
      <c r="C46" s="310">
        <v>-0.85941949973088017</v>
      </c>
      <c r="D46" s="310">
        <v>0.44903948251619169</v>
      </c>
      <c r="E46" s="312">
        <v>3</v>
      </c>
      <c r="F46" s="313">
        <v>2</v>
      </c>
    </row>
    <row r="47" spans="1:6">
      <c r="A47" s="309" t="s">
        <v>316</v>
      </c>
      <c r="B47" s="310">
        <v>0.18897555408591893</v>
      </c>
      <c r="C47" s="310">
        <v>-2.8376599872376951E-2</v>
      </c>
      <c r="D47" s="310">
        <v>0.63304267674883674</v>
      </c>
      <c r="E47" s="312">
        <v>3</v>
      </c>
      <c r="F47" s="313">
        <v>1</v>
      </c>
    </row>
    <row r="48" spans="1:6">
      <c r="A48" s="309" t="s">
        <v>317</v>
      </c>
      <c r="B48" s="310">
        <v>0.31936206672239775</v>
      </c>
      <c r="C48" s="310">
        <v>-0.76351603174158855</v>
      </c>
      <c r="D48" s="310">
        <v>-0.24586695814262752</v>
      </c>
      <c r="E48" s="312">
        <v>2</v>
      </c>
      <c r="F48" s="313">
        <v>2</v>
      </c>
    </row>
    <row r="49" spans="1:6">
      <c r="A49" s="309" t="s">
        <v>318</v>
      </c>
      <c r="B49" s="310">
        <v>1.2162066054675873</v>
      </c>
      <c r="C49" s="310">
        <v>0.34740363893602044</v>
      </c>
      <c r="D49" s="310">
        <v>0.63457056795749833</v>
      </c>
      <c r="E49" s="312">
        <v>1</v>
      </c>
      <c r="F49" s="313">
        <v>3</v>
      </c>
    </row>
    <row r="50" spans="1:6">
      <c r="A50" s="309" t="s">
        <v>320</v>
      </c>
      <c r="B50" s="310">
        <v>0.94439089946215848</v>
      </c>
      <c r="C50" s="310">
        <v>-0.68030117014047553</v>
      </c>
      <c r="D50" s="310">
        <v>-0.74142362040647658</v>
      </c>
      <c r="E50" s="312">
        <v>2</v>
      </c>
      <c r="F50" s="313">
        <v>4</v>
      </c>
    </row>
    <row r="51" spans="1:6">
      <c r="A51" s="309" t="s">
        <v>321</v>
      </c>
      <c r="B51" s="310">
        <v>-1.3639080995454036</v>
      </c>
      <c r="C51" s="310">
        <v>-0.28866564207353762</v>
      </c>
      <c r="D51" s="310">
        <v>0.89920456122923575</v>
      </c>
      <c r="E51" s="312">
        <v>6</v>
      </c>
      <c r="F51" s="313">
        <v>1</v>
      </c>
    </row>
    <row r="52" spans="1:6">
      <c r="A52" s="309" t="s">
        <v>322</v>
      </c>
      <c r="B52" s="310">
        <v>-1.0215603976517669</v>
      </c>
      <c r="C52" s="310">
        <v>-0.58643085594068856</v>
      </c>
      <c r="D52" s="310">
        <v>9.1542100806660975E-2</v>
      </c>
      <c r="E52" s="312">
        <v>6</v>
      </c>
      <c r="F52" s="313">
        <v>2</v>
      </c>
    </row>
    <row r="53" spans="1:6">
      <c r="A53" s="309" t="s">
        <v>323</v>
      </c>
      <c r="B53" s="310">
        <v>0.73201137140234551</v>
      </c>
      <c r="C53" s="310">
        <v>2.5415025734926516E-2</v>
      </c>
      <c r="D53" s="310">
        <v>-0.70370268780884682</v>
      </c>
      <c r="E53" s="312">
        <v>4</v>
      </c>
      <c r="F53" s="313">
        <v>4</v>
      </c>
    </row>
    <row r="54" spans="1:6">
      <c r="A54" s="309" t="s">
        <v>324</v>
      </c>
      <c r="B54" s="310">
        <v>0.51382361247308439</v>
      </c>
      <c r="C54" s="310">
        <v>-0.43584061811415487</v>
      </c>
      <c r="D54" s="310">
        <v>0.64685230690678452</v>
      </c>
      <c r="E54" s="312">
        <v>3</v>
      </c>
      <c r="F54" s="313">
        <v>3</v>
      </c>
    </row>
    <row r="55" spans="1:6">
      <c r="A55" s="309" t="s">
        <v>325</v>
      </c>
      <c r="B55" s="310">
        <v>0.72360352045571408</v>
      </c>
      <c r="C55" s="310">
        <v>0.42567916949608603</v>
      </c>
      <c r="D55" s="310">
        <v>-0.23379402017105649</v>
      </c>
      <c r="E55" s="312">
        <v>4</v>
      </c>
      <c r="F55" s="313">
        <v>4</v>
      </c>
    </row>
    <row r="56" spans="1:6">
      <c r="A56" s="309" t="s">
        <v>326</v>
      </c>
      <c r="B56" s="310">
        <v>-0.83130362044232398</v>
      </c>
      <c r="C56" s="310">
        <v>0.37302540028538628</v>
      </c>
      <c r="D56" s="310">
        <v>0.41775327242882387</v>
      </c>
      <c r="E56" s="312">
        <v>6</v>
      </c>
      <c r="F56" s="313">
        <v>1</v>
      </c>
    </row>
    <row r="57" spans="1:6">
      <c r="A57" s="309" t="s">
        <v>327</v>
      </c>
      <c r="B57" s="310">
        <v>0.32878432136274804</v>
      </c>
      <c r="C57" s="310">
        <v>0.16594011374847481</v>
      </c>
      <c r="D57" s="310">
        <v>-3.2992028222645775</v>
      </c>
      <c r="E57" s="312">
        <v>5</v>
      </c>
      <c r="F57" s="313">
        <v>6</v>
      </c>
    </row>
    <row r="58" spans="1:6">
      <c r="A58" s="309" t="s">
        <v>328</v>
      </c>
      <c r="B58" s="310">
        <v>0.69538334571736382</v>
      </c>
      <c r="C58" s="310">
        <v>0.80120068777524844</v>
      </c>
      <c r="D58" s="310">
        <v>1.1851070652493123</v>
      </c>
      <c r="E58" s="312">
        <v>1</v>
      </c>
      <c r="F58" s="313">
        <v>3</v>
      </c>
    </row>
    <row r="59" spans="1:6">
      <c r="A59" s="309" t="s">
        <v>329</v>
      </c>
      <c r="B59" s="310">
        <v>-4.1812952993274949E-2</v>
      </c>
      <c r="C59" s="310">
        <v>-1.1663006981758934</v>
      </c>
      <c r="D59" s="310">
        <v>-0.47313941182818919</v>
      </c>
      <c r="E59" s="312">
        <v>2</v>
      </c>
      <c r="F59" s="313">
        <v>2</v>
      </c>
    </row>
    <row r="60" spans="1:6">
      <c r="A60" s="309" t="s">
        <v>330</v>
      </c>
      <c r="B60" s="310">
        <v>0.63684629298565487</v>
      </c>
      <c r="C60" s="310">
        <v>-0.16470514490173432</v>
      </c>
      <c r="D60" s="310">
        <v>1.3317092603010612</v>
      </c>
      <c r="E60" s="312">
        <v>1</v>
      </c>
      <c r="F60" s="313">
        <v>3</v>
      </c>
    </row>
    <row r="61" spans="1:6">
      <c r="A61" s="309" t="s">
        <v>331</v>
      </c>
      <c r="B61" s="310">
        <v>0.5465354445361823</v>
      </c>
      <c r="C61" s="310">
        <v>8.2957579294989092E-3</v>
      </c>
      <c r="D61" s="310">
        <v>0.37006576735271568</v>
      </c>
      <c r="E61" s="312">
        <v>4</v>
      </c>
      <c r="F61" s="313">
        <v>3</v>
      </c>
    </row>
    <row r="62" spans="1:6">
      <c r="A62" s="309" t="s">
        <v>332</v>
      </c>
      <c r="B62" s="310">
        <v>-3.7039719612874389E-2</v>
      </c>
      <c r="C62" s="310">
        <v>-0.22369963474545274</v>
      </c>
      <c r="D62" s="310">
        <v>-0.2123562649842935</v>
      </c>
      <c r="E62" s="312">
        <v>2</v>
      </c>
      <c r="F62" s="313">
        <v>2</v>
      </c>
    </row>
    <row r="63" spans="1:6">
      <c r="A63" s="309" t="s">
        <v>333</v>
      </c>
      <c r="B63" s="310">
        <v>0.17526236779799562</v>
      </c>
      <c r="C63" s="310">
        <v>0.244657317090093</v>
      </c>
      <c r="D63" s="310">
        <v>0.54791924522438351</v>
      </c>
      <c r="E63" s="312">
        <v>3</v>
      </c>
      <c r="F63" s="313">
        <v>1</v>
      </c>
    </row>
    <row r="64" spans="1:6">
      <c r="A64" s="309" t="s">
        <v>334</v>
      </c>
      <c r="B64" s="310">
        <v>-1.1105752377111264</v>
      </c>
      <c r="C64" s="310">
        <v>3.0032622363160804</v>
      </c>
      <c r="D64" s="310">
        <v>-1.2976723551083835</v>
      </c>
      <c r="E64" s="312">
        <v>7</v>
      </c>
      <c r="F64" s="313">
        <v>7</v>
      </c>
    </row>
    <row r="65" spans="1:6">
      <c r="A65" s="309" t="s">
        <v>335</v>
      </c>
      <c r="B65" s="310">
        <v>0.19074397927089029</v>
      </c>
      <c r="C65" s="310">
        <v>-0.34109385102068723</v>
      </c>
      <c r="D65" s="310">
        <v>-0.33508976755131287</v>
      </c>
      <c r="E65" s="312">
        <v>2</v>
      </c>
      <c r="F65" s="313">
        <v>2</v>
      </c>
    </row>
    <row r="66" spans="1:6">
      <c r="A66" s="309" t="s">
        <v>336</v>
      </c>
      <c r="B66" s="310">
        <v>-1.5465346336166921</v>
      </c>
      <c r="C66" s="310">
        <v>0.17964202437771151</v>
      </c>
      <c r="D66" s="310">
        <v>-1.7591255150552969</v>
      </c>
      <c r="E66" s="312">
        <v>5</v>
      </c>
      <c r="F66" s="313">
        <v>5</v>
      </c>
    </row>
    <row r="67" spans="1:6">
      <c r="A67" s="309" t="s">
        <v>337</v>
      </c>
      <c r="B67" s="310">
        <v>-0.32669057302413157</v>
      </c>
      <c r="C67" s="310">
        <v>-0.1593392528409249</v>
      </c>
      <c r="D67" s="310">
        <v>0.72149670600582083</v>
      </c>
      <c r="E67" s="312">
        <v>3</v>
      </c>
      <c r="F67" s="313">
        <v>1</v>
      </c>
    </row>
    <row r="68" spans="1:6">
      <c r="A68" s="309" t="s">
        <v>338</v>
      </c>
      <c r="B68" s="310">
        <v>1.3652902700011382</v>
      </c>
      <c r="C68" s="310">
        <v>0.99813242951745851</v>
      </c>
      <c r="D68" s="310">
        <v>-0.47405036877324014</v>
      </c>
      <c r="E68" s="312">
        <v>4</v>
      </c>
      <c r="F68" s="313">
        <v>4</v>
      </c>
    </row>
    <row r="69" spans="1:6">
      <c r="A69" s="309" t="s">
        <v>339</v>
      </c>
      <c r="B69" s="310">
        <v>-0.1381935829622794</v>
      </c>
      <c r="C69" s="310">
        <v>-0.33803773968374701</v>
      </c>
      <c r="D69" s="310">
        <v>-0.63925533839246429</v>
      </c>
      <c r="E69" s="312">
        <v>2</v>
      </c>
      <c r="F69" s="313">
        <v>2</v>
      </c>
    </row>
    <row r="70" spans="1:6">
      <c r="A70" s="309" t="s">
        <v>340</v>
      </c>
      <c r="B70" s="310">
        <v>0.35388419508476665</v>
      </c>
      <c r="C70" s="310">
        <v>-0.20917108724244135</v>
      </c>
      <c r="D70" s="310">
        <v>0.50532642457751686</v>
      </c>
      <c r="E70" s="312">
        <v>3</v>
      </c>
      <c r="F70" s="313">
        <v>3</v>
      </c>
    </row>
    <row r="71" spans="1:6">
      <c r="A71" s="309" t="s">
        <v>341</v>
      </c>
      <c r="B71" s="310">
        <v>0.65609742078817279</v>
      </c>
      <c r="C71" s="310">
        <v>-4.6983526720461258E-2</v>
      </c>
      <c r="D71" s="310">
        <v>-0.13289691715261145</v>
      </c>
      <c r="E71" s="312">
        <v>4</v>
      </c>
      <c r="F71" s="313">
        <v>4</v>
      </c>
    </row>
    <row r="72" spans="1:6">
      <c r="A72" s="309" t="s">
        <v>342</v>
      </c>
      <c r="B72" s="310">
        <v>-0.21240962649379019</v>
      </c>
      <c r="C72" s="310">
        <v>-0.53056723094316183</v>
      </c>
      <c r="D72" s="310">
        <v>-4.2066752808108995E-2</v>
      </c>
      <c r="E72" s="312">
        <v>6</v>
      </c>
      <c r="F72" s="313">
        <v>2</v>
      </c>
    </row>
    <row r="73" spans="1:6">
      <c r="A73" s="309" t="s">
        <v>343</v>
      </c>
      <c r="B73" s="310">
        <v>-0.65701636982849976</v>
      </c>
      <c r="C73" s="310">
        <v>-5.1305133778135392E-2</v>
      </c>
      <c r="D73" s="310">
        <v>-0.36736513805733684</v>
      </c>
      <c r="E73" s="312">
        <v>6</v>
      </c>
      <c r="F73" s="313">
        <v>2</v>
      </c>
    </row>
    <row r="74" spans="1:6">
      <c r="A74" s="309" t="s">
        <v>344</v>
      </c>
      <c r="B74" s="310">
        <v>0.39298117432487084</v>
      </c>
      <c r="C74" s="310">
        <v>-0.33479124088191237</v>
      </c>
      <c r="D74" s="310">
        <v>-0.15559099611285143</v>
      </c>
      <c r="E74" s="312">
        <v>2</v>
      </c>
      <c r="F74" s="313">
        <v>2</v>
      </c>
    </row>
    <row r="75" spans="1:6">
      <c r="A75" s="309" t="s">
        <v>345</v>
      </c>
      <c r="B75" s="310">
        <v>0.20186803178816071</v>
      </c>
      <c r="C75" s="310">
        <v>-0.31469934203026018</v>
      </c>
      <c r="D75" s="310">
        <v>-1.3051247747377994</v>
      </c>
      <c r="E75" s="312">
        <v>2</v>
      </c>
      <c r="F75" s="313">
        <v>4</v>
      </c>
    </row>
    <row r="76" spans="1:6">
      <c r="A76" s="309" t="s">
        <v>346</v>
      </c>
      <c r="B76" s="310">
        <v>-9.5576143929635135E-2</v>
      </c>
      <c r="C76" s="310">
        <v>4.3846128880456393E-2</v>
      </c>
      <c r="D76" s="310">
        <v>0.52186412780779423</v>
      </c>
      <c r="E76" s="312">
        <v>3</v>
      </c>
      <c r="F76" s="313">
        <v>1</v>
      </c>
    </row>
    <row r="77" spans="1:6">
      <c r="A77" s="309" t="s">
        <v>347</v>
      </c>
      <c r="B77" s="310">
        <v>0.26534960227412113</v>
      </c>
      <c r="C77" s="310">
        <v>-0.46468043207696907</v>
      </c>
      <c r="D77" s="310">
        <v>1.7386305500790358E-3</v>
      </c>
      <c r="E77" s="312">
        <v>2</v>
      </c>
      <c r="F77" s="313">
        <v>2</v>
      </c>
    </row>
    <row r="78" spans="1:6">
      <c r="A78" s="309" t="s">
        <v>348</v>
      </c>
      <c r="B78" s="310">
        <v>-0.36357980207016127</v>
      </c>
      <c r="C78" s="310">
        <v>-7.8022560425598492E-2</v>
      </c>
      <c r="D78" s="310">
        <v>9.4328970698132175E-2</v>
      </c>
      <c r="E78" s="312">
        <v>3</v>
      </c>
      <c r="F78" s="313">
        <v>2</v>
      </c>
    </row>
    <row r="79" spans="1:6">
      <c r="A79" s="309" t="s">
        <v>349</v>
      </c>
      <c r="B79" s="310">
        <v>-0.5306919889664059</v>
      </c>
      <c r="C79" s="310">
        <v>0.63205994161925294</v>
      </c>
      <c r="D79" s="310">
        <v>0.92987964080147179</v>
      </c>
      <c r="E79" s="312">
        <v>6</v>
      </c>
      <c r="F79" s="313">
        <v>1</v>
      </c>
    </row>
    <row r="80" spans="1:6">
      <c r="A80" s="309" t="s">
        <v>350</v>
      </c>
      <c r="B80" s="310">
        <v>0.33860435950980483</v>
      </c>
      <c r="C80" s="310">
        <v>-0.16483763359536216</v>
      </c>
      <c r="D80" s="310">
        <v>0.56227147623451701</v>
      </c>
      <c r="E80" s="312">
        <v>3</v>
      </c>
      <c r="F80" s="313">
        <v>3</v>
      </c>
    </row>
    <row r="81" spans="1:6">
      <c r="A81" s="309" t="s">
        <v>351</v>
      </c>
      <c r="B81" s="310">
        <v>2.2638647765951538</v>
      </c>
      <c r="C81" s="310">
        <v>0.92348872832621676</v>
      </c>
      <c r="D81" s="310">
        <v>0.88738115096197223</v>
      </c>
      <c r="E81" s="312">
        <v>1</v>
      </c>
      <c r="F81" s="313">
        <v>3</v>
      </c>
    </row>
    <row r="82" spans="1:6">
      <c r="A82" s="309" t="s">
        <v>352</v>
      </c>
      <c r="B82" s="310">
        <v>0.16698553800006868</v>
      </c>
      <c r="C82" s="310">
        <v>0.22629009351320251</v>
      </c>
      <c r="D82" s="310">
        <v>-0.22106088661481935</v>
      </c>
      <c r="E82" s="312">
        <v>4</v>
      </c>
      <c r="F82" s="313">
        <v>4</v>
      </c>
    </row>
    <row r="83" spans="1:6">
      <c r="A83" s="309" t="s">
        <v>353</v>
      </c>
      <c r="B83" s="310">
        <v>-3.7109729532442404</v>
      </c>
      <c r="C83" s="310">
        <v>1.1704781850426063</v>
      </c>
      <c r="D83" s="310">
        <v>0.38136225770278087</v>
      </c>
      <c r="E83" s="312">
        <v>7</v>
      </c>
      <c r="F83" s="313">
        <v>5</v>
      </c>
    </row>
    <row r="84" spans="1:6">
      <c r="A84" s="309" t="s">
        <v>354</v>
      </c>
      <c r="B84" s="310">
        <v>-2.2733819746809272</v>
      </c>
      <c r="C84" s="310">
        <v>1.877776307156843</v>
      </c>
      <c r="D84" s="310">
        <v>1.020457771116662</v>
      </c>
      <c r="E84" s="312">
        <v>7</v>
      </c>
      <c r="F84" s="313">
        <v>5</v>
      </c>
    </row>
    <row r="85" spans="1:6">
      <c r="A85" s="309" t="s">
        <v>355</v>
      </c>
      <c r="B85" s="310">
        <v>-0.50078212039322545</v>
      </c>
      <c r="C85" s="310">
        <v>-0.37312218235903805</v>
      </c>
      <c r="D85" s="310">
        <v>-0.31329970393803408</v>
      </c>
      <c r="E85" s="312">
        <v>6</v>
      </c>
      <c r="F85" s="313">
        <v>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F1B7-FF1F-4B83-BD4E-FD27CC9B757C}">
  <dimension ref="A1:D85"/>
  <sheetViews>
    <sheetView workbookViewId="0">
      <selection activeCell="M18" sqref="M18"/>
    </sheetView>
  </sheetViews>
  <sheetFormatPr defaultRowHeight="13.2"/>
  <cols>
    <col min="1" max="1" width="41.44140625" bestFit="1" customWidth="1"/>
    <col min="2" max="2" width="6" bestFit="1" customWidth="1"/>
    <col min="3" max="4" width="12.77734375" bestFit="1" customWidth="1"/>
  </cols>
  <sheetData>
    <row r="1" spans="1:4">
      <c r="A1" s="270" t="s">
        <v>2708</v>
      </c>
      <c r="B1" s="301" t="s">
        <v>2718</v>
      </c>
      <c r="C1" s="267" t="s">
        <v>2709</v>
      </c>
      <c r="D1" s="267" t="s">
        <v>2710</v>
      </c>
    </row>
    <row r="2" spans="1:4">
      <c r="A2" s="268" t="s">
        <v>270</v>
      </c>
      <c r="B2">
        <v>70.77</v>
      </c>
      <c r="C2" s="292">
        <v>-0.68302336053045276</v>
      </c>
      <c r="D2" s="292">
        <v>0.71050364226684515</v>
      </c>
    </row>
    <row r="3" spans="1:4">
      <c r="A3" s="268" t="s">
        <v>271</v>
      </c>
      <c r="B3">
        <v>68.25</v>
      </c>
      <c r="C3" s="292">
        <v>-0.92614254749908309</v>
      </c>
      <c r="D3" s="292">
        <v>0.77680176065732853</v>
      </c>
    </row>
    <row r="4" spans="1:4">
      <c r="A4" s="268" t="s">
        <v>272</v>
      </c>
      <c r="B4">
        <v>71.540000000000006</v>
      </c>
      <c r="C4" s="292">
        <v>-1.2270999878536024</v>
      </c>
      <c r="D4" s="292">
        <v>-5.7894323128173497E-2</v>
      </c>
    </row>
    <row r="5" spans="1:4">
      <c r="A5" s="268" t="s">
        <v>273</v>
      </c>
      <c r="B5">
        <v>72.2</v>
      </c>
      <c r="C5" s="292">
        <v>1.2150067041600144E-2</v>
      </c>
      <c r="D5" s="292">
        <v>0.24194645938294049</v>
      </c>
    </row>
    <row r="6" spans="1:4">
      <c r="A6" s="268" t="s">
        <v>274</v>
      </c>
      <c r="B6">
        <v>73.7</v>
      </c>
      <c r="C6" s="292">
        <v>0.95419538499667966</v>
      </c>
      <c r="D6" s="292">
        <v>-0.8035224435647651</v>
      </c>
    </row>
    <row r="7" spans="1:4">
      <c r="A7" s="268" t="s">
        <v>275</v>
      </c>
      <c r="B7">
        <v>71.98</v>
      </c>
      <c r="C7" s="292">
        <v>0.64016186034313138</v>
      </c>
      <c r="D7" s="292">
        <v>-0.37488435258881508</v>
      </c>
    </row>
    <row r="8" spans="1:4">
      <c r="A8" s="268" t="s">
        <v>276</v>
      </c>
      <c r="B8">
        <v>71.62</v>
      </c>
      <c r="C8" s="292">
        <v>-1.6078402545490693E-2</v>
      </c>
      <c r="D8" s="292">
        <v>0.61365064390561352</v>
      </c>
    </row>
    <row r="9" spans="1:4">
      <c r="A9" s="268" t="s">
        <v>277</v>
      </c>
      <c r="B9">
        <v>73.69</v>
      </c>
      <c r="C9" s="292">
        <v>0.33820098691855244</v>
      </c>
      <c r="D9" s="292">
        <v>0.49600666943754734</v>
      </c>
    </row>
    <row r="10" spans="1:4">
      <c r="A10" s="268" t="s">
        <v>278</v>
      </c>
      <c r="B10">
        <v>71.7</v>
      </c>
      <c r="C10" s="292">
        <v>-0.23684745505431254</v>
      </c>
      <c r="D10" s="292">
        <v>0.7046265835101243</v>
      </c>
    </row>
    <row r="11" spans="1:4">
      <c r="A11" s="268" t="s">
        <v>279</v>
      </c>
      <c r="B11">
        <v>72.91</v>
      </c>
      <c r="C11" s="292">
        <v>0.51170261896111424</v>
      </c>
      <c r="D11" s="292">
        <v>-0.10498910077533605</v>
      </c>
    </row>
    <row r="12" spans="1:4">
      <c r="A12" s="268" t="s">
        <v>280</v>
      </c>
      <c r="B12">
        <v>79.38</v>
      </c>
      <c r="C12" s="292">
        <v>0.96281979262049577</v>
      </c>
      <c r="D12" s="292">
        <v>-4.7553611002280141</v>
      </c>
    </row>
    <row r="13" spans="1:4">
      <c r="A13" s="268" t="s">
        <v>281</v>
      </c>
      <c r="B13">
        <v>68.3</v>
      </c>
      <c r="C13" s="292">
        <v>-0.48532664482316235</v>
      </c>
      <c r="D13" s="292">
        <v>1.8963777182999793</v>
      </c>
    </row>
    <row r="14" spans="1:4">
      <c r="A14" s="268" t="s">
        <v>282</v>
      </c>
      <c r="B14">
        <v>67.17</v>
      </c>
      <c r="C14" s="292">
        <v>-0.52924279581934619</v>
      </c>
      <c r="D14" s="292">
        <v>0.93210280997852146</v>
      </c>
    </row>
    <row r="15" spans="1:4">
      <c r="A15" s="268" t="s">
        <v>283</v>
      </c>
      <c r="B15">
        <v>71.180000000000007</v>
      </c>
      <c r="C15" s="292">
        <v>-0.35104936105338225</v>
      </c>
      <c r="D15" s="292">
        <v>0.80032821154494027</v>
      </c>
    </row>
    <row r="16" spans="1:4">
      <c r="A16" s="268" t="s">
        <v>284</v>
      </c>
      <c r="B16">
        <v>69.819999999999993</v>
      </c>
      <c r="C16" s="292">
        <v>-0.38826955751306025</v>
      </c>
      <c r="D16" s="292">
        <v>0.45112113830844014</v>
      </c>
    </row>
    <row r="17" spans="1:4">
      <c r="A17" s="268" t="s">
        <v>285</v>
      </c>
      <c r="B17">
        <v>77.14</v>
      </c>
      <c r="C17" s="292">
        <v>2.1016928005327316</v>
      </c>
      <c r="D17" s="292">
        <v>-0.32784773230137498</v>
      </c>
    </row>
    <row r="18" spans="1:4">
      <c r="A18" s="268" t="s">
        <v>286</v>
      </c>
      <c r="B18">
        <v>73.709999999999994</v>
      </c>
      <c r="C18" s="292">
        <v>0.29307343975629818</v>
      </c>
      <c r="D18" s="292">
        <v>-0.17038645980682604</v>
      </c>
    </row>
    <row r="19" spans="1:4">
      <c r="A19" s="268" t="s">
        <v>287</v>
      </c>
      <c r="B19">
        <v>73.08</v>
      </c>
      <c r="C19" s="292">
        <v>-0.318374362849288</v>
      </c>
      <c r="D19" s="292">
        <v>-4.1097720157032044E-2</v>
      </c>
    </row>
    <row r="20" spans="1:4">
      <c r="A20" s="268" t="s">
        <v>288</v>
      </c>
      <c r="B20">
        <v>70.430000000000007</v>
      </c>
      <c r="C20" s="292">
        <v>-1.4449780679126303</v>
      </c>
      <c r="D20" s="292">
        <v>9.2604128562096821E-2</v>
      </c>
    </row>
    <row r="21" spans="1:4">
      <c r="A21" s="268" t="s">
        <v>289</v>
      </c>
      <c r="B21">
        <v>76.25</v>
      </c>
      <c r="C21" s="292">
        <v>1.729940374128673</v>
      </c>
      <c r="D21" s="292">
        <v>-0.49850143467973385</v>
      </c>
    </row>
    <row r="22" spans="1:4">
      <c r="A22" s="268" t="s">
        <v>290</v>
      </c>
      <c r="B22">
        <v>70.290000000000006</v>
      </c>
      <c r="C22" s="292">
        <v>5.4112778576927596E-2</v>
      </c>
      <c r="D22" s="292">
        <v>0.54066044290843662</v>
      </c>
    </row>
    <row r="23" spans="1:4">
      <c r="A23" s="268" t="s">
        <v>291</v>
      </c>
      <c r="B23">
        <v>71.989999999999995</v>
      </c>
      <c r="C23" s="292">
        <v>-0.68467341977940421</v>
      </c>
      <c r="D23" s="292">
        <v>0.96444080885915162</v>
      </c>
    </row>
    <row r="24" spans="1:4">
      <c r="A24" s="268" t="s">
        <v>292</v>
      </c>
      <c r="B24">
        <v>71.05</v>
      </c>
      <c r="C24" s="292">
        <v>-0.16729151751754429</v>
      </c>
      <c r="D24" s="292">
        <v>1.2610593447827485</v>
      </c>
    </row>
    <row r="25" spans="1:4">
      <c r="A25" s="268" t="s">
        <v>293</v>
      </c>
      <c r="B25">
        <v>73.709999999999994</v>
      </c>
      <c r="C25" s="292">
        <v>0.57679327393605218</v>
      </c>
      <c r="D25" s="292">
        <v>-0.30231808885321471</v>
      </c>
    </row>
    <row r="26" spans="1:4">
      <c r="A26" s="268" t="s">
        <v>294</v>
      </c>
      <c r="B26">
        <v>71.319999999999993</v>
      </c>
      <c r="C26" s="292">
        <v>-0.1854355341492282</v>
      </c>
      <c r="D26" s="292">
        <v>0.17904171901853597</v>
      </c>
    </row>
    <row r="27" spans="1:4">
      <c r="A27" s="268" t="s">
        <v>295</v>
      </c>
      <c r="B27">
        <v>69.790000000000006</v>
      </c>
      <c r="C27" s="292">
        <v>-0.34986602269780964</v>
      </c>
      <c r="D27" s="292">
        <v>1.1177608079990411</v>
      </c>
    </row>
    <row r="28" spans="1:4">
      <c r="A28" s="268" t="s">
        <v>296</v>
      </c>
      <c r="B28">
        <v>72.45</v>
      </c>
      <c r="C28" s="292">
        <v>0.97493628898955165</v>
      </c>
      <c r="D28" s="292">
        <v>-0.52676090862852065</v>
      </c>
    </row>
    <row r="29" spans="1:4">
      <c r="A29" s="268" t="s">
        <v>297</v>
      </c>
      <c r="B29">
        <v>74.88</v>
      </c>
      <c r="C29" s="292">
        <v>1.4395658363140249</v>
      </c>
      <c r="D29" s="292">
        <v>-0.30848258554336028</v>
      </c>
    </row>
    <row r="30" spans="1:4">
      <c r="A30" s="268" t="s">
        <v>298</v>
      </c>
      <c r="B30">
        <v>72.44</v>
      </c>
      <c r="C30" s="292">
        <v>0.89348547526359789</v>
      </c>
      <c r="D30" s="292">
        <v>2.704492275511363E-2</v>
      </c>
    </row>
    <row r="31" spans="1:4">
      <c r="A31" s="268" t="s">
        <v>299</v>
      </c>
      <c r="B31">
        <v>69.3</v>
      </c>
      <c r="C31" s="292">
        <v>-0.88911062369306804</v>
      </c>
      <c r="D31" s="292">
        <v>-0.54877663704302182</v>
      </c>
    </row>
    <row r="32" spans="1:4">
      <c r="A32" s="268" t="s">
        <v>300</v>
      </c>
      <c r="B32">
        <v>74.489999999999995</v>
      </c>
      <c r="C32" s="292">
        <v>1.2934335741622118</v>
      </c>
      <c r="D32" s="292">
        <v>-1.7339610608620482</v>
      </c>
    </row>
    <row r="33" spans="1:4">
      <c r="A33" s="268" t="s">
        <v>301</v>
      </c>
      <c r="B33">
        <v>70.44</v>
      </c>
      <c r="C33" s="292">
        <v>-0.9231846783284714</v>
      </c>
      <c r="D33" s="292">
        <v>-0.1568985565660376</v>
      </c>
    </row>
    <row r="34" spans="1:4">
      <c r="A34" s="268" t="s">
        <v>302</v>
      </c>
      <c r="B34">
        <v>70.67</v>
      </c>
      <c r="C34" s="292">
        <v>-1.4555521054958924</v>
      </c>
      <c r="D34" s="292">
        <v>-1.6099056437636912</v>
      </c>
    </row>
    <row r="35" spans="1:4">
      <c r="A35" s="268" t="s">
        <v>304</v>
      </c>
      <c r="B35">
        <v>72.099999999999994</v>
      </c>
      <c r="C35" s="292">
        <v>-0.65945593580130513</v>
      </c>
      <c r="D35" s="292">
        <v>0.53319119340522758</v>
      </c>
    </row>
    <row r="36" spans="1:4">
      <c r="A36" s="268" t="s">
        <v>305</v>
      </c>
      <c r="B36">
        <v>70.430000000000007</v>
      </c>
      <c r="C36" s="292">
        <v>-0.32426004968955108</v>
      </c>
      <c r="D36" s="292">
        <v>0.81512009778660988</v>
      </c>
    </row>
    <row r="37" spans="1:4">
      <c r="A37" s="268" t="s">
        <v>306</v>
      </c>
      <c r="B37">
        <v>72.2</v>
      </c>
      <c r="C37" s="292">
        <v>-0.36269751175821474</v>
      </c>
      <c r="D37" s="292">
        <v>-5.6497923201090594E-2</v>
      </c>
    </row>
    <row r="38" spans="1:4">
      <c r="A38" s="268" t="s">
        <v>307</v>
      </c>
      <c r="B38">
        <v>71.83</v>
      </c>
      <c r="C38" s="292">
        <v>-0.41375132862549491</v>
      </c>
      <c r="D38" s="292">
        <v>1.1658020576053612</v>
      </c>
    </row>
    <row r="39" spans="1:4">
      <c r="A39" s="268" t="s">
        <v>308</v>
      </c>
      <c r="B39">
        <v>71.12</v>
      </c>
      <c r="C39" s="292">
        <v>0.25722699652217695</v>
      </c>
      <c r="D39" s="292">
        <v>-0.20484082621392849</v>
      </c>
    </row>
    <row r="40" spans="1:4">
      <c r="A40" s="268" t="s">
        <v>309</v>
      </c>
      <c r="B40">
        <v>71.650000000000006</v>
      </c>
      <c r="C40" s="292">
        <v>-0.39168033809985148</v>
      </c>
      <c r="D40" s="292">
        <v>-3.4587405710614152E-2</v>
      </c>
    </row>
    <row r="41" spans="1:4">
      <c r="A41" s="268" t="s">
        <v>310</v>
      </c>
      <c r="B41">
        <v>72.63</v>
      </c>
      <c r="C41" s="292">
        <v>0.16443121958165952</v>
      </c>
      <c r="D41" s="292">
        <v>0.64391023856106</v>
      </c>
    </row>
    <row r="42" spans="1:4">
      <c r="A42" s="268" t="s">
        <v>311</v>
      </c>
      <c r="B42">
        <v>70.94</v>
      </c>
      <c r="C42" s="292">
        <v>-0.21063761047768614</v>
      </c>
      <c r="D42" s="292">
        <v>-3.7812234363291536E-2</v>
      </c>
    </row>
    <row r="43" spans="1:4">
      <c r="A43" s="268" t="s">
        <v>312</v>
      </c>
      <c r="B43">
        <v>70.06</v>
      </c>
      <c r="C43" s="292">
        <v>-1.0605544616470557</v>
      </c>
      <c r="D43" s="292">
        <v>0.72872141224169495</v>
      </c>
    </row>
    <row r="44" spans="1:4">
      <c r="A44" s="268" t="s">
        <v>313</v>
      </c>
      <c r="B44">
        <v>70</v>
      </c>
      <c r="C44" s="292">
        <v>0.36891789994640045</v>
      </c>
      <c r="D44" s="292">
        <v>0.92496213008077244</v>
      </c>
    </row>
    <row r="45" spans="1:4">
      <c r="A45" s="268" t="s">
        <v>314</v>
      </c>
      <c r="B45">
        <v>75.36</v>
      </c>
      <c r="C45" s="292">
        <v>1.8832580965494981</v>
      </c>
      <c r="D45" s="292">
        <v>-0.61657227555087213</v>
      </c>
    </row>
    <row r="46" spans="1:4">
      <c r="A46" s="268" t="s">
        <v>315</v>
      </c>
      <c r="B46">
        <v>69.39</v>
      </c>
      <c r="C46" s="292">
        <v>0.31842677389158502</v>
      </c>
      <c r="D46" s="292">
        <v>1.3568222239238188</v>
      </c>
    </row>
    <row r="47" spans="1:4">
      <c r="A47" s="268" t="s">
        <v>316</v>
      </c>
      <c r="B47">
        <v>73.17</v>
      </c>
      <c r="C47" s="292">
        <v>1.3010984636579551E-2</v>
      </c>
      <c r="D47" s="292">
        <v>-7.1492088820078431E-2</v>
      </c>
    </row>
    <row r="48" spans="1:4">
      <c r="A48" s="268" t="s">
        <v>317</v>
      </c>
      <c r="B48">
        <v>69.540000000000006</v>
      </c>
      <c r="C48" s="292">
        <v>0.26247666877664366</v>
      </c>
      <c r="D48" s="292">
        <v>1.0498866289616577</v>
      </c>
    </row>
    <row r="49" spans="1:4">
      <c r="A49" s="268" t="s">
        <v>318</v>
      </c>
      <c r="B49">
        <v>79.87</v>
      </c>
      <c r="C49" s="292">
        <v>1.5900207776688355</v>
      </c>
      <c r="D49" s="292">
        <v>-0.16828258056050027</v>
      </c>
    </row>
    <row r="50" spans="1:4">
      <c r="A50" s="268" t="s">
        <v>320</v>
      </c>
      <c r="B50">
        <v>74.53</v>
      </c>
      <c r="C50" s="292">
        <v>1.2449821091177646</v>
      </c>
      <c r="D50" s="292">
        <v>1.2500740127821388</v>
      </c>
    </row>
    <row r="51" spans="1:4">
      <c r="A51" s="268" t="s">
        <v>321</v>
      </c>
      <c r="B51">
        <v>69.75</v>
      </c>
      <c r="C51" s="292">
        <v>-1.7465284351683674</v>
      </c>
      <c r="D51" s="292">
        <v>0.19250875829998629</v>
      </c>
    </row>
    <row r="52" spans="1:4">
      <c r="A52" s="268" t="s">
        <v>322</v>
      </c>
      <c r="B52">
        <v>70.430000000000007</v>
      </c>
      <c r="C52" s="292">
        <v>-1.1585940839303204</v>
      </c>
      <c r="D52" s="292">
        <v>0.52081779384099725</v>
      </c>
    </row>
    <row r="53" spans="1:4">
      <c r="A53" s="268" t="s">
        <v>323</v>
      </c>
      <c r="B53">
        <v>72.760000000000005</v>
      </c>
      <c r="C53" s="292">
        <v>0.92312929691281453</v>
      </c>
      <c r="D53" s="292">
        <v>-9.8501531737235887E-2</v>
      </c>
    </row>
    <row r="54" spans="1:4">
      <c r="A54" s="268" t="s">
        <v>324</v>
      </c>
      <c r="B54">
        <v>72.040000000000006</v>
      </c>
      <c r="C54" s="292">
        <v>0.49726383204057012</v>
      </c>
      <c r="D54" s="292">
        <v>0.34363529892959965</v>
      </c>
    </row>
    <row r="55" spans="1:4">
      <c r="A55" s="268" t="s">
        <v>325</v>
      </c>
      <c r="B55">
        <v>73.78</v>
      </c>
      <c r="C55" s="292">
        <v>0.89689255044671046</v>
      </c>
      <c r="D55" s="292">
        <v>-0.5564981783703693</v>
      </c>
    </row>
    <row r="56" spans="1:4">
      <c r="A56" s="268" t="s">
        <v>326</v>
      </c>
      <c r="B56">
        <v>73.55</v>
      </c>
      <c r="C56" s="292">
        <v>-0.74395023330978849</v>
      </c>
      <c r="D56" s="292">
        <v>-0.58694886640448163</v>
      </c>
    </row>
    <row r="57" spans="1:4">
      <c r="A57" s="268" t="s">
        <v>327</v>
      </c>
      <c r="B57">
        <v>76.16</v>
      </c>
      <c r="C57" s="292">
        <v>0.79789907308724883</v>
      </c>
      <c r="D57" s="292">
        <v>0.16747489543875849</v>
      </c>
    </row>
    <row r="58" spans="1:4">
      <c r="A58" s="268" t="s">
        <v>328</v>
      </c>
      <c r="B58">
        <v>75.25</v>
      </c>
      <c r="C58" s="292">
        <v>0.72322600461361142</v>
      </c>
      <c r="D58" s="292">
        <v>-0.8604536477137229</v>
      </c>
    </row>
    <row r="59" spans="1:4">
      <c r="A59" s="268" t="s">
        <v>329</v>
      </c>
      <c r="B59">
        <v>66.59</v>
      </c>
      <c r="C59" s="292">
        <v>7.375141447159872E-2</v>
      </c>
      <c r="D59" s="292">
        <v>1.4939118607635409</v>
      </c>
    </row>
    <row r="60" spans="1:4">
      <c r="A60" s="268" t="s">
        <v>330</v>
      </c>
      <c r="B60">
        <v>70.680000000000007</v>
      </c>
      <c r="C60" s="292">
        <v>0.41894522895485448</v>
      </c>
      <c r="D60" s="292">
        <v>0.26928079732523602</v>
      </c>
    </row>
    <row r="61" spans="1:4">
      <c r="A61" s="268" t="s">
        <v>331</v>
      </c>
      <c r="B61">
        <v>73.48</v>
      </c>
      <c r="C61" s="292">
        <v>0.64770436317676972</v>
      </c>
      <c r="D61" s="292">
        <v>-0.17144126170212115</v>
      </c>
    </row>
    <row r="62" spans="1:4">
      <c r="A62" s="268" t="s">
        <v>332</v>
      </c>
      <c r="B62">
        <v>73.19</v>
      </c>
      <c r="C62" s="292">
        <v>-0.19496999628164027</v>
      </c>
      <c r="D62" s="292">
        <v>0.48796129978427788</v>
      </c>
    </row>
    <row r="63" spans="1:4">
      <c r="A63" s="268" t="s">
        <v>333</v>
      </c>
      <c r="B63">
        <v>72.53</v>
      </c>
      <c r="C63" s="292">
        <v>6.2759846586646545E-2</v>
      </c>
      <c r="D63" s="292">
        <v>-0.30337973464224988</v>
      </c>
    </row>
    <row r="64" spans="1:4">
      <c r="A64" s="268" t="s">
        <v>334</v>
      </c>
      <c r="B64">
        <v>76.55</v>
      </c>
      <c r="C64" s="292">
        <v>-0.88250914196138452</v>
      </c>
      <c r="D64" s="292">
        <v>-3.6558757888959916</v>
      </c>
    </row>
    <row r="65" spans="1:4">
      <c r="A65" s="268" t="s">
        <v>335</v>
      </c>
      <c r="B65">
        <v>73.27</v>
      </c>
      <c r="C65" s="292">
        <v>0.29698020447087331</v>
      </c>
      <c r="D65" s="292">
        <v>0.27968024922970758</v>
      </c>
    </row>
    <row r="66" spans="1:4">
      <c r="A66" s="268" t="s">
        <v>336</v>
      </c>
      <c r="B66">
        <v>70.22</v>
      </c>
      <c r="C66" s="292">
        <v>-1.5669879891515488</v>
      </c>
      <c r="D66" s="292">
        <v>-0.24929968874400013</v>
      </c>
    </row>
    <row r="67" spans="1:4">
      <c r="A67" s="268" t="s">
        <v>337</v>
      </c>
      <c r="B67">
        <v>71.84</v>
      </c>
      <c r="C67" s="292">
        <v>-0.47194241629879347</v>
      </c>
      <c r="D67" s="292">
        <v>-5.7009175861415073E-2</v>
      </c>
    </row>
    <row r="68" spans="1:4">
      <c r="A68" s="268" t="s">
        <v>338</v>
      </c>
      <c r="B68">
        <v>76.11</v>
      </c>
      <c r="C68" s="292">
        <v>1.6056705170788306</v>
      </c>
      <c r="D68" s="292">
        <v>-0.90518136094967316</v>
      </c>
    </row>
    <row r="69" spans="1:4">
      <c r="A69" s="268" t="s">
        <v>339</v>
      </c>
      <c r="B69">
        <v>71.47</v>
      </c>
      <c r="C69" s="292">
        <v>-0.16317693096208374</v>
      </c>
      <c r="D69" s="292">
        <v>0.39977989433818162</v>
      </c>
    </row>
    <row r="70" spans="1:4">
      <c r="A70" s="268" t="s">
        <v>340</v>
      </c>
      <c r="B70">
        <v>74.86</v>
      </c>
      <c r="C70" s="292">
        <v>0.37367298193518822</v>
      </c>
      <c r="D70" s="292">
        <v>0.12927702304242647</v>
      </c>
    </row>
    <row r="71" spans="1:4">
      <c r="A71" s="268" t="s">
        <v>341</v>
      </c>
      <c r="B71">
        <v>72.87</v>
      </c>
      <c r="C71" s="292">
        <v>0.8086103429632151</v>
      </c>
      <c r="D71" s="292">
        <v>0.1112933883260542</v>
      </c>
    </row>
    <row r="72" spans="1:4">
      <c r="A72" s="268" t="s">
        <v>342</v>
      </c>
      <c r="B72">
        <v>70.61</v>
      </c>
      <c r="C72" s="292">
        <v>-0.28672534970712132</v>
      </c>
      <c r="D72" s="292">
        <v>0.56269526972261086</v>
      </c>
    </row>
    <row r="73" spans="1:4">
      <c r="A73" s="268" t="s">
        <v>343</v>
      </c>
      <c r="B73">
        <v>73.05</v>
      </c>
      <c r="C73" s="292">
        <v>-0.65369065560722028</v>
      </c>
      <c r="D73" s="292">
        <v>-0.25339290950272947</v>
      </c>
    </row>
    <row r="74" spans="1:4">
      <c r="A74" s="268" t="s">
        <v>344</v>
      </c>
      <c r="B74">
        <v>72.150000000000006</v>
      </c>
      <c r="C74" s="292">
        <v>0.32025018871457267</v>
      </c>
      <c r="D74" s="292">
        <v>0.4606849685317011</v>
      </c>
    </row>
    <row r="75" spans="1:4">
      <c r="A75" s="268" t="s">
        <v>345</v>
      </c>
      <c r="B75">
        <v>74.39</v>
      </c>
      <c r="C75" s="292">
        <v>0.12979954898566595</v>
      </c>
      <c r="D75" s="292">
        <v>0.80747881613885342</v>
      </c>
    </row>
    <row r="76" spans="1:4">
      <c r="A76" s="268" t="s">
        <v>346</v>
      </c>
      <c r="B76">
        <v>72.34</v>
      </c>
      <c r="C76" s="292">
        <v>-0.16850937742986946</v>
      </c>
      <c r="D76" s="292">
        <v>-0.16601203416391094</v>
      </c>
    </row>
    <row r="77" spans="1:4">
      <c r="A77" s="268" t="s">
        <v>347</v>
      </c>
      <c r="B77">
        <v>72.040000000000006</v>
      </c>
      <c r="C77" s="292">
        <v>0.12634343449439428</v>
      </c>
      <c r="D77" s="292">
        <v>0.51442995585066453</v>
      </c>
    </row>
    <row r="78" spans="1:4">
      <c r="A78" s="268" t="s">
        <v>348</v>
      </c>
      <c r="B78">
        <v>70.33</v>
      </c>
      <c r="C78" s="292">
        <v>-0.41174067825606686</v>
      </c>
      <c r="D78" s="292">
        <v>7.8671901897058472E-2</v>
      </c>
    </row>
    <row r="79" spans="1:4">
      <c r="A79" s="268" t="s">
        <v>349</v>
      </c>
      <c r="B79">
        <v>76.319999999999993</v>
      </c>
      <c r="C79" s="292">
        <v>-0.65843908115097327</v>
      </c>
      <c r="D79" s="292">
        <v>-0.75454987332689494</v>
      </c>
    </row>
    <row r="80" spans="1:4">
      <c r="A80" s="268" t="s">
        <v>350</v>
      </c>
      <c r="B80">
        <v>72.430000000000007</v>
      </c>
      <c r="C80" s="292">
        <v>0.22345815276371622</v>
      </c>
      <c r="D80" s="292">
        <v>0.17463465513735948</v>
      </c>
    </row>
    <row r="81" spans="1:4">
      <c r="A81" s="268" t="s">
        <v>351</v>
      </c>
      <c r="B81">
        <v>76.260000000000005</v>
      </c>
      <c r="C81" s="292">
        <v>2.8077601812150634</v>
      </c>
      <c r="D81" s="292">
        <v>-0.78229151501002225</v>
      </c>
    </row>
    <row r="82" spans="1:4">
      <c r="A82" s="268" t="s">
        <v>352</v>
      </c>
      <c r="B82">
        <v>73.069999999999993</v>
      </c>
      <c r="C82" s="292">
        <v>0.12703220156745973</v>
      </c>
      <c r="D82" s="292">
        <v>-0.39426694099348869</v>
      </c>
    </row>
    <row r="83" spans="1:4">
      <c r="A83" s="268" t="s">
        <v>353</v>
      </c>
      <c r="B83">
        <v>66.56</v>
      </c>
      <c r="C83" s="292">
        <v>-3.9924950647161506</v>
      </c>
      <c r="D83" s="292">
        <v>-1.8635103694499162</v>
      </c>
    </row>
    <row r="84" spans="1:4">
      <c r="A84" s="268" t="s">
        <v>354</v>
      </c>
      <c r="B84">
        <v>75.3</v>
      </c>
      <c r="C84" s="292">
        <v>-2.3297418952120257</v>
      </c>
      <c r="D84" s="292">
        <v>-2.5343694858075905</v>
      </c>
    </row>
    <row r="85" spans="1:4">
      <c r="A85" s="268" t="s">
        <v>355</v>
      </c>
      <c r="B85">
        <v>71.989999999999995</v>
      </c>
      <c r="C85" s="292">
        <v>-0.62558043335484814</v>
      </c>
      <c r="D85" s="292">
        <v>0.43587121206339352</v>
      </c>
    </row>
  </sheetData>
  <sortState xmlns:xlrd2="http://schemas.microsoft.com/office/spreadsheetml/2017/richdata2" ref="A2:D85">
    <sortCondition ref="A1:A85"/>
  </sortState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8E84-3026-4719-AD84-69F9B498A398}">
  <dimension ref="A1:AW85"/>
  <sheetViews>
    <sheetView topLeftCell="U19" zoomScale="50" zoomScaleNormal="50" workbookViewId="0">
      <selection activeCell="AT1" sqref="AT1:AW85"/>
    </sheetView>
  </sheetViews>
  <sheetFormatPr defaultRowHeight="13.2"/>
  <cols>
    <col min="1" max="1" width="43.109375" bestFit="1" customWidth="1"/>
    <col min="2" max="3" width="12.77734375" bestFit="1" customWidth="1"/>
    <col min="4" max="4" width="10.5546875" bestFit="1" customWidth="1"/>
    <col min="16" max="16" width="43.109375" bestFit="1" customWidth="1"/>
    <col min="17" max="17" width="8.21875" bestFit="1" customWidth="1"/>
    <col min="31" max="31" width="43.109375" style="300" bestFit="1" customWidth="1"/>
    <col min="32" max="33" width="8.21875" style="244" bestFit="1" customWidth="1"/>
    <col min="34" max="34" width="8.21875" style="244" customWidth="1"/>
    <col min="46" max="46" width="43.109375" bestFit="1" customWidth="1"/>
  </cols>
  <sheetData>
    <row r="1" spans="1:49" ht="39.6">
      <c r="A1" s="281" t="s">
        <v>2708</v>
      </c>
      <c r="B1" s="282" t="s">
        <v>2709</v>
      </c>
      <c r="C1" s="282" t="s">
        <v>2710</v>
      </c>
      <c r="D1" s="280" t="s">
        <v>2576</v>
      </c>
      <c r="P1" s="290" t="s">
        <v>2708</v>
      </c>
      <c r="Q1" s="291" t="s">
        <v>2709</v>
      </c>
      <c r="R1" s="291" t="s">
        <v>2710</v>
      </c>
      <c r="S1" s="287" t="s">
        <v>2711</v>
      </c>
      <c r="AE1" s="299" t="s">
        <v>2708</v>
      </c>
      <c r="AF1" s="291" t="s">
        <v>2709</v>
      </c>
      <c r="AG1" s="291" t="s">
        <v>2710</v>
      </c>
      <c r="AH1" s="291" t="s">
        <v>2563</v>
      </c>
      <c r="AT1" s="299" t="s">
        <v>2708</v>
      </c>
      <c r="AU1" s="291" t="s">
        <v>2709</v>
      </c>
      <c r="AV1" s="291" t="s">
        <v>2710</v>
      </c>
      <c r="AW1" s="291" t="s">
        <v>2717</v>
      </c>
    </row>
    <row r="2" spans="1:49">
      <c r="A2" s="268" t="s">
        <v>270</v>
      </c>
      <c r="B2" s="269">
        <v>-0.68302336053045276</v>
      </c>
      <c r="C2" s="269">
        <v>0.71050364226684515</v>
      </c>
      <c r="D2" s="206">
        <v>4</v>
      </c>
      <c r="P2" s="283" t="s">
        <v>285</v>
      </c>
      <c r="Q2" s="284">
        <v>2.1016928005327316</v>
      </c>
      <c r="R2" s="284">
        <v>-0.32784773230137498</v>
      </c>
      <c r="S2" s="288">
        <v>1</v>
      </c>
      <c r="AE2" s="293" t="s">
        <v>274</v>
      </c>
      <c r="AF2" s="295">
        <v>0.95419538499667966</v>
      </c>
      <c r="AG2" s="295">
        <v>-0.8035224435647651</v>
      </c>
      <c r="AH2" s="296">
        <v>1</v>
      </c>
      <c r="AT2" s="293" t="s">
        <v>272</v>
      </c>
      <c r="AU2" s="295">
        <v>-1.2270999878536024</v>
      </c>
      <c r="AV2" s="295">
        <v>-5.7894323128173497E-2</v>
      </c>
      <c r="AW2" s="296">
        <v>1</v>
      </c>
    </row>
    <row r="3" spans="1:49">
      <c r="A3" s="268" t="s">
        <v>271</v>
      </c>
      <c r="B3" s="269">
        <v>-0.92614254749908309</v>
      </c>
      <c r="C3" s="269">
        <v>0.77680176065732853</v>
      </c>
      <c r="D3" s="206">
        <v>4</v>
      </c>
      <c r="P3" s="283" t="s">
        <v>289</v>
      </c>
      <c r="Q3" s="284">
        <v>1.729940374128673</v>
      </c>
      <c r="R3" s="284">
        <v>-0.49850143467973385</v>
      </c>
      <c r="S3" s="288">
        <v>1</v>
      </c>
      <c r="AE3" s="293" t="s">
        <v>275</v>
      </c>
      <c r="AF3" s="295">
        <v>0.64016186034313138</v>
      </c>
      <c r="AG3" s="295">
        <v>-0.37488435258881508</v>
      </c>
      <c r="AH3" s="296">
        <v>1</v>
      </c>
      <c r="AT3" s="293" t="s">
        <v>287</v>
      </c>
      <c r="AU3" s="295">
        <v>-0.318374362849288</v>
      </c>
      <c r="AV3" s="295">
        <v>-4.1097720157032044E-2</v>
      </c>
      <c r="AW3" s="296">
        <v>1</v>
      </c>
    </row>
    <row r="4" spans="1:49">
      <c r="A4" s="268" t="s">
        <v>272</v>
      </c>
      <c r="B4" s="269">
        <v>-1.2270999878536024</v>
      </c>
      <c r="C4" s="269">
        <v>-5.7894323128173497E-2</v>
      </c>
      <c r="D4" s="206">
        <v>5</v>
      </c>
      <c r="P4" s="283" t="s">
        <v>297</v>
      </c>
      <c r="Q4" s="284">
        <v>1.4395658363140249</v>
      </c>
      <c r="R4" s="284">
        <v>-0.30848258554336028</v>
      </c>
      <c r="S4" s="288">
        <v>1</v>
      </c>
      <c r="AE4" s="293" t="s">
        <v>279</v>
      </c>
      <c r="AF4" s="295">
        <v>0.51170261896111424</v>
      </c>
      <c r="AG4" s="295">
        <v>-0.10498910077533605</v>
      </c>
      <c r="AH4" s="296">
        <v>1</v>
      </c>
      <c r="AT4" s="293" t="s">
        <v>288</v>
      </c>
      <c r="AU4" s="295">
        <v>-1.4449780679126303</v>
      </c>
      <c r="AV4" s="295">
        <v>9.2604128562096821E-2</v>
      </c>
      <c r="AW4" s="296">
        <v>1</v>
      </c>
    </row>
    <row r="5" spans="1:49">
      <c r="A5" s="268" t="s">
        <v>273</v>
      </c>
      <c r="B5" s="269">
        <v>1.2150067041600144E-2</v>
      </c>
      <c r="C5" s="269">
        <v>0.24194645938294049</v>
      </c>
      <c r="D5" s="206">
        <v>4</v>
      </c>
      <c r="P5" s="283" t="s">
        <v>314</v>
      </c>
      <c r="Q5" s="284">
        <v>1.8832580965494981</v>
      </c>
      <c r="R5" s="284">
        <v>-0.61657227555087213</v>
      </c>
      <c r="S5" s="288">
        <v>1</v>
      </c>
      <c r="AE5" s="293" t="s">
        <v>289</v>
      </c>
      <c r="AF5" s="295">
        <v>1.729940374128673</v>
      </c>
      <c r="AG5" s="295">
        <v>-0.49850143467973385</v>
      </c>
      <c r="AH5" s="296">
        <v>1</v>
      </c>
      <c r="AT5" s="293" t="s">
        <v>299</v>
      </c>
      <c r="AU5" s="295">
        <v>-0.88911062369306804</v>
      </c>
      <c r="AV5" s="295">
        <v>-0.54877663704302182</v>
      </c>
      <c r="AW5" s="296">
        <v>1</v>
      </c>
    </row>
    <row r="6" spans="1:49">
      <c r="A6" s="268" t="s">
        <v>274</v>
      </c>
      <c r="B6" s="269">
        <v>0.95419538499667966</v>
      </c>
      <c r="C6" s="269">
        <v>-0.8035224435647651</v>
      </c>
      <c r="D6" s="206">
        <v>7</v>
      </c>
      <c r="P6" s="283" t="s">
        <v>318</v>
      </c>
      <c r="Q6" s="284">
        <v>1.5900207776688355</v>
      </c>
      <c r="R6" s="284">
        <v>-0.16828258056050027</v>
      </c>
      <c r="S6" s="288">
        <v>1</v>
      </c>
      <c r="AE6" s="293" t="s">
        <v>293</v>
      </c>
      <c r="AF6" s="295">
        <v>0.57679327393605218</v>
      </c>
      <c r="AG6" s="295">
        <v>-0.30231808885321471</v>
      </c>
      <c r="AH6" s="296">
        <v>1</v>
      </c>
      <c r="AT6" s="293" t="s">
        <v>301</v>
      </c>
      <c r="AU6" s="295">
        <v>-0.9231846783284714</v>
      </c>
      <c r="AV6" s="295">
        <v>-0.1568985565660376</v>
      </c>
      <c r="AW6" s="296">
        <v>1</v>
      </c>
    </row>
    <row r="7" spans="1:49">
      <c r="A7" s="268" t="s">
        <v>275</v>
      </c>
      <c r="B7" s="269">
        <v>0.64016186034313138</v>
      </c>
      <c r="C7" s="269">
        <v>-0.37488435258881508</v>
      </c>
      <c r="D7" s="206">
        <v>7</v>
      </c>
      <c r="P7" s="283" t="s">
        <v>338</v>
      </c>
      <c r="Q7" s="284">
        <v>1.6056705170788306</v>
      </c>
      <c r="R7" s="284">
        <v>-0.90518136094967316</v>
      </c>
      <c r="S7" s="288">
        <v>1</v>
      </c>
      <c r="AE7" s="293" t="s">
        <v>296</v>
      </c>
      <c r="AF7" s="295">
        <v>0.97493628898955165</v>
      </c>
      <c r="AG7" s="295">
        <v>-0.52676090862852065</v>
      </c>
      <c r="AH7" s="296">
        <v>1</v>
      </c>
      <c r="AT7" s="293" t="s">
        <v>306</v>
      </c>
      <c r="AU7" s="295">
        <v>-0.36269751175821474</v>
      </c>
      <c r="AV7" s="295">
        <v>-5.6497923201090594E-2</v>
      </c>
      <c r="AW7" s="296">
        <v>1</v>
      </c>
    </row>
    <row r="8" spans="1:49">
      <c r="A8" s="268" t="s">
        <v>276</v>
      </c>
      <c r="B8" s="269">
        <v>-1.6078402545490693E-2</v>
      </c>
      <c r="C8" s="269">
        <v>0.61365064390561352</v>
      </c>
      <c r="D8" s="206">
        <v>5</v>
      </c>
      <c r="P8" s="283" t="s">
        <v>351</v>
      </c>
      <c r="Q8" s="284">
        <v>2.8077601812150634</v>
      </c>
      <c r="R8" s="284">
        <v>-0.78229151501002225</v>
      </c>
      <c r="S8" s="288">
        <v>1</v>
      </c>
      <c r="AE8" s="293" t="s">
        <v>297</v>
      </c>
      <c r="AF8" s="295">
        <v>1.4395658363140249</v>
      </c>
      <c r="AG8" s="295">
        <v>-0.30848258554336028</v>
      </c>
      <c r="AH8" s="296">
        <v>1</v>
      </c>
      <c r="AT8" s="293" t="s">
        <v>309</v>
      </c>
      <c r="AU8" s="295">
        <v>-0.39168033809985148</v>
      </c>
      <c r="AV8" s="295">
        <v>-3.4587405710614152E-2</v>
      </c>
      <c r="AW8" s="296">
        <v>1</v>
      </c>
    </row>
    <row r="9" spans="1:49">
      <c r="A9" s="268" t="s">
        <v>277</v>
      </c>
      <c r="B9" s="269">
        <v>0.33820098691855244</v>
      </c>
      <c r="C9" s="269">
        <v>0.49600666943754734</v>
      </c>
      <c r="D9" s="206">
        <v>7</v>
      </c>
      <c r="P9" s="283" t="s">
        <v>273</v>
      </c>
      <c r="Q9" s="284">
        <v>1.2150067041600144E-2</v>
      </c>
      <c r="R9" s="284">
        <v>0.24194645938294049</v>
      </c>
      <c r="S9" s="288">
        <v>2</v>
      </c>
      <c r="AE9" s="293" t="s">
        <v>298</v>
      </c>
      <c r="AF9" s="295">
        <v>0.89348547526359789</v>
      </c>
      <c r="AG9" s="295">
        <v>2.704492275511363E-2</v>
      </c>
      <c r="AH9" s="296">
        <v>1</v>
      </c>
      <c r="AT9" s="293" t="s">
        <v>311</v>
      </c>
      <c r="AU9" s="295">
        <v>-0.21063761047768614</v>
      </c>
      <c r="AV9" s="295">
        <v>-3.7812234363291536E-2</v>
      </c>
      <c r="AW9" s="296">
        <v>1</v>
      </c>
    </row>
    <row r="10" spans="1:49">
      <c r="A10" s="268" t="s">
        <v>278</v>
      </c>
      <c r="B10" s="269">
        <v>-0.23684745505431254</v>
      </c>
      <c r="C10" s="269">
        <v>0.7046265835101243</v>
      </c>
      <c r="D10" s="206">
        <v>5</v>
      </c>
      <c r="P10" s="283" t="s">
        <v>286</v>
      </c>
      <c r="Q10" s="284">
        <v>0.29307343975629818</v>
      </c>
      <c r="R10" s="284">
        <v>-0.17038645980682604</v>
      </c>
      <c r="S10" s="288">
        <v>2</v>
      </c>
      <c r="AE10" s="293" t="s">
        <v>300</v>
      </c>
      <c r="AF10" s="295">
        <v>1.2934335741622118</v>
      </c>
      <c r="AG10" s="295">
        <v>-1.7339610608620482</v>
      </c>
      <c r="AH10" s="296">
        <v>1</v>
      </c>
      <c r="AT10" s="293" t="s">
        <v>321</v>
      </c>
      <c r="AU10" s="295">
        <v>-1.7465284351683674</v>
      </c>
      <c r="AV10" s="295">
        <v>0.19250875829998629</v>
      </c>
      <c r="AW10" s="296">
        <v>1</v>
      </c>
    </row>
    <row r="11" spans="1:49">
      <c r="A11" s="268" t="s">
        <v>279</v>
      </c>
      <c r="B11" s="269">
        <v>0.51170261896111424</v>
      </c>
      <c r="C11" s="269">
        <v>-0.10498910077533605</v>
      </c>
      <c r="D11" s="206">
        <v>7</v>
      </c>
      <c r="P11" s="283" t="s">
        <v>287</v>
      </c>
      <c r="Q11" s="284">
        <v>-0.318374362849288</v>
      </c>
      <c r="R11" s="284">
        <v>-4.1097720157032044E-2</v>
      </c>
      <c r="S11" s="288">
        <v>2</v>
      </c>
      <c r="AE11" s="293" t="s">
        <v>314</v>
      </c>
      <c r="AF11" s="295">
        <v>1.8832580965494981</v>
      </c>
      <c r="AG11" s="295">
        <v>-0.61657227555087213</v>
      </c>
      <c r="AH11" s="296">
        <v>1</v>
      </c>
      <c r="AT11" s="293" t="s">
        <v>326</v>
      </c>
      <c r="AU11" s="295">
        <v>-0.74395023330978849</v>
      </c>
      <c r="AV11" s="295">
        <v>-0.58694886640448163</v>
      </c>
      <c r="AW11" s="296">
        <v>1</v>
      </c>
    </row>
    <row r="12" spans="1:49">
      <c r="A12" s="268" t="s">
        <v>280</v>
      </c>
      <c r="B12" s="269">
        <v>0.96281979262049577</v>
      </c>
      <c r="C12" s="269">
        <v>-4.7553611002280141</v>
      </c>
      <c r="D12" s="206">
        <v>2</v>
      </c>
      <c r="P12" s="283" t="s">
        <v>294</v>
      </c>
      <c r="Q12" s="284">
        <v>-0.1854355341492282</v>
      </c>
      <c r="R12" s="284">
        <v>0.17904171901853597</v>
      </c>
      <c r="S12" s="288">
        <v>2</v>
      </c>
      <c r="AE12" s="293" t="s">
        <v>323</v>
      </c>
      <c r="AF12" s="295">
        <v>0.92312929691281453</v>
      </c>
      <c r="AG12" s="295">
        <v>-9.8501531737235887E-2</v>
      </c>
      <c r="AH12" s="296">
        <v>1</v>
      </c>
      <c r="AT12" s="293" t="s">
        <v>336</v>
      </c>
      <c r="AU12" s="295">
        <v>-1.5669879891515488</v>
      </c>
      <c r="AV12" s="295">
        <v>-0.24929968874400013</v>
      </c>
      <c r="AW12" s="296">
        <v>1</v>
      </c>
    </row>
    <row r="13" spans="1:49">
      <c r="A13" s="268" t="s">
        <v>281</v>
      </c>
      <c r="B13" s="269">
        <v>-0.48532664482316235</v>
      </c>
      <c r="C13" s="269">
        <v>1.8963777182999793</v>
      </c>
      <c r="D13" s="206">
        <v>4</v>
      </c>
      <c r="P13" s="283" t="s">
        <v>306</v>
      </c>
      <c r="Q13" s="284">
        <v>-0.36269751175821474</v>
      </c>
      <c r="R13" s="284">
        <v>-5.6497923201090594E-2</v>
      </c>
      <c r="S13" s="288">
        <v>2</v>
      </c>
      <c r="AE13" s="293" t="s">
        <v>325</v>
      </c>
      <c r="AF13" s="295">
        <v>0.89689255044671046</v>
      </c>
      <c r="AG13" s="295">
        <v>-0.5564981783703693</v>
      </c>
      <c r="AH13" s="296">
        <v>1</v>
      </c>
      <c r="AT13" s="293" t="s">
        <v>337</v>
      </c>
      <c r="AU13" s="295">
        <v>-0.47194241629879347</v>
      </c>
      <c r="AV13" s="295">
        <v>-5.7009175861415073E-2</v>
      </c>
      <c r="AW13" s="296">
        <v>1</v>
      </c>
    </row>
    <row r="14" spans="1:49">
      <c r="A14" s="268" t="s">
        <v>282</v>
      </c>
      <c r="B14" s="269">
        <v>-0.52924279581934619</v>
      </c>
      <c r="C14" s="269">
        <v>0.93210280997852146</v>
      </c>
      <c r="D14" s="206">
        <v>4</v>
      </c>
      <c r="P14" s="283" t="s">
        <v>308</v>
      </c>
      <c r="Q14" s="284">
        <v>0.25722699652217695</v>
      </c>
      <c r="R14" s="284">
        <v>-0.20484082621392849</v>
      </c>
      <c r="S14" s="288">
        <v>2</v>
      </c>
      <c r="AE14" s="293" t="s">
        <v>328</v>
      </c>
      <c r="AF14" s="295">
        <v>0.72322600461361142</v>
      </c>
      <c r="AG14" s="295">
        <v>-0.8604536477137229</v>
      </c>
      <c r="AH14" s="296">
        <v>1</v>
      </c>
      <c r="AT14" s="293" t="s">
        <v>343</v>
      </c>
      <c r="AU14" s="295">
        <v>-0.65369065560722028</v>
      </c>
      <c r="AV14" s="295">
        <v>-0.25339290950272947</v>
      </c>
      <c r="AW14" s="296">
        <v>1</v>
      </c>
    </row>
    <row r="15" spans="1:49">
      <c r="A15" s="268" t="s">
        <v>283</v>
      </c>
      <c r="B15" s="269">
        <v>-0.35104936105338225</v>
      </c>
      <c r="C15" s="269">
        <v>0.80032821154494027</v>
      </c>
      <c r="D15" s="206">
        <v>4</v>
      </c>
      <c r="P15" s="283" t="s">
        <v>309</v>
      </c>
      <c r="Q15" s="284">
        <v>-0.39168033809985148</v>
      </c>
      <c r="R15" s="284">
        <v>-3.4587405710614152E-2</v>
      </c>
      <c r="S15" s="288">
        <v>2</v>
      </c>
      <c r="AE15" s="293" t="s">
        <v>331</v>
      </c>
      <c r="AF15" s="295">
        <v>0.64770436317676972</v>
      </c>
      <c r="AG15" s="295">
        <v>-0.17144126170212115</v>
      </c>
      <c r="AH15" s="296">
        <v>1</v>
      </c>
      <c r="AT15" s="293" t="s">
        <v>346</v>
      </c>
      <c r="AU15" s="295">
        <v>-0.16850937742986946</v>
      </c>
      <c r="AV15" s="295">
        <v>-0.16601203416391094</v>
      </c>
      <c r="AW15" s="296">
        <v>1</v>
      </c>
    </row>
    <row r="16" spans="1:49">
      <c r="A16" s="268" t="s">
        <v>284</v>
      </c>
      <c r="B16" s="269">
        <v>-0.38826955751306025</v>
      </c>
      <c r="C16" s="269">
        <v>0.45112113830844014</v>
      </c>
      <c r="D16" s="206">
        <v>4</v>
      </c>
      <c r="P16" s="283" t="s">
        <v>311</v>
      </c>
      <c r="Q16" s="284">
        <v>-0.21063761047768614</v>
      </c>
      <c r="R16" s="284">
        <v>-3.7812234363291536E-2</v>
      </c>
      <c r="S16" s="288">
        <v>2</v>
      </c>
      <c r="AE16" s="293" t="s">
        <v>338</v>
      </c>
      <c r="AF16" s="295">
        <v>1.6056705170788306</v>
      </c>
      <c r="AG16" s="295">
        <v>-0.90518136094967316</v>
      </c>
      <c r="AH16" s="296">
        <v>1</v>
      </c>
      <c r="AT16" s="293" t="s">
        <v>348</v>
      </c>
      <c r="AU16" s="295">
        <v>-0.41174067825606686</v>
      </c>
      <c r="AV16" s="295">
        <v>7.8671901897058472E-2</v>
      </c>
      <c r="AW16" s="296">
        <v>1</v>
      </c>
    </row>
    <row r="17" spans="1:49">
      <c r="A17" s="268" t="s">
        <v>285</v>
      </c>
      <c r="B17" s="269">
        <v>2.1016928005327316</v>
      </c>
      <c r="C17" s="269">
        <v>-0.32784773230137498</v>
      </c>
      <c r="D17" s="206">
        <v>1</v>
      </c>
      <c r="P17" s="283" t="s">
        <v>316</v>
      </c>
      <c r="Q17" s="284">
        <v>1.3010984636579551E-2</v>
      </c>
      <c r="R17" s="284">
        <v>-7.1492088820078431E-2</v>
      </c>
      <c r="S17" s="288">
        <v>2</v>
      </c>
      <c r="AE17" s="293" t="s">
        <v>341</v>
      </c>
      <c r="AF17" s="295">
        <v>0.8086103429632151</v>
      </c>
      <c r="AG17" s="295">
        <v>0.1112933883260542</v>
      </c>
      <c r="AH17" s="296">
        <v>1</v>
      </c>
      <c r="AT17" s="293" t="s">
        <v>349</v>
      </c>
      <c r="AU17" s="295">
        <v>-0.65843908115097327</v>
      </c>
      <c r="AV17" s="295">
        <v>-0.75454987332689494</v>
      </c>
      <c r="AW17" s="296">
        <v>1</v>
      </c>
    </row>
    <row r="18" spans="1:49">
      <c r="A18" s="268" t="s">
        <v>286</v>
      </c>
      <c r="B18" s="269">
        <v>0.29307343975629818</v>
      </c>
      <c r="C18" s="269">
        <v>-0.17038645980682604</v>
      </c>
      <c r="D18" s="206">
        <v>7</v>
      </c>
      <c r="P18" s="283" t="s">
        <v>333</v>
      </c>
      <c r="Q18" s="284">
        <v>6.2759846586646545E-2</v>
      </c>
      <c r="R18" s="284">
        <v>-0.30337973464224988</v>
      </c>
      <c r="S18" s="288">
        <v>2</v>
      </c>
      <c r="AE18" s="293" t="s">
        <v>271</v>
      </c>
      <c r="AF18" s="295">
        <v>-0.92614254749908309</v>
      </c>
      <c r="AG18" s="295">
        <v>0.77680176065732853</v>
      </c>
      <c r="AH18" s="296">
        <v>2</v>
      </c>
      <c r="AT18" s="293" t="s">
        <v>273</v>
      </c>
      <c r="AU18" s="295">
        <v>1.2150067041600144E-2</v>
      </c>
      <c r="AV18" s="295">
        <v>0.24194645938294049</v>
      </c>
      <c r="AW18" s="296">
        <v>2</v>
      </c>
    </row>
    <row r="19" spans="1:49">
      <c r="A19" s="268" t="s">
        <v>287</v>
      </c>
      <c r="B19" s="269">
        <v>-0.318374362849288</v>
      </c>
      <c r="C19" s="269">
        <v>-4.1097720157032044E-2</v>
      </c>
      <c r="D19" s="206">
        <v>5</v>
      </c>
      <c r="P19" s="283" t="s">
        <v>337</v>
      </c>
      <c r="Q19" s="284">
        <v>-0.47194241629879347</v>
      </c>
      <c r="R19" s="284">
        <v>-5.7009175861415073E-2</v>
      </c>
      <c r="S19" s="288">
        <v>2</v>
      </c>
      <c r="AE19" s="293" t="s">
        <v>273</v>
      </c>
      <c r="AF19" s="295">
        <v>1.2150067041600144E-2</v>
      </c>
      <c r="AG19" s="295">
        <v>0.24194645938294049</v>
      </c>
      <c r="AH19" s="296">
        <v>2</v>
      </c>
      <c r="AT19" s="293" t="s">
        <v>276</v>
      </c>
      <c r="AU19" s="295">
        <v>-1.6078402545490693E-2</v>
      </c>
      <c r="AV19" s="295">
        <v>0.61365064390561352</v>
      </c>
      <c r="AW19" s="296">
        <v>2</v>
      </c>
    </row>
    <row r="20" spans="1:49">
      <c r="A20" s="268" t="s">
        <v>288</v>
      </c>
      <c r="B20" s="269">
        <v>-1.4449780679126303</v>
      </c>
      <c r="C20" s="269">
        <v>9.2604128562096821E-2</v>
      </c>
      <c r="D20" s="206">
        <v>6</v>
      </c>
      <c r="P20" s="283" t="s">
        <v>346</v>
      </c>
      <c r="Q20" s="284">
        <v>-0.16850937742986946</v>
      </c>
      <c r="R20" s="284">
        <v>-0.16601203416391094</v>
      </c>
      <c r="S20" s="288">
        <v>2</v>
      </c>
      <c r="AE20" s="293" t="s">
        <v>281</v>
      </c>
      <c r="AF20" s="295">
        <v>-0.48532664482316235</v>
      </c>
      <c r="AG20" s="295">
        <v>1.8963777182999793</v>
      </c>
      <c r="AH20" s="296">
        <v>2</v>
      </c>
      <c r="AT20" s="293" t="s">
        <v>277</v>
      </c>
      <c r="AU20" s="295">
        <v>0.33820098691855244</v>
      </c>
      <c r="AV20" s="295">
        <v>0.49600666943754734</v>
      </c>
      <c r="AW20" s="296">
        <v>2</v>
      </c>
    </row>
    <row r="21" spans="1:49">
      <c r="A21" s="268" t="s">
        <v>289</v>
      </c>
      <c r="B21" s="269">
        <v>1.729940374128673</v>
      </c>
      <c r="C21" s="269">
        <v>-0.49850143467973385</v>
      </c>
      <c r="D21" s="206">
        <v>7</v>
      </c>
      <c r="P21" s="283" t="s">
        <v>348</v>
      </c>
      <c r="Q21" s="284">
        <v>-0.41174067825606686</v>
      </c>
      <c r="R21" s="284">
        <v>7.8671901897058472E-2</v>
      </c>
      <c r="S21" s="288">
        <v>2</v>
      </c>
      <c r="AE21" s="293" t="s">
        <v>282</v>
      </c>
      <c r="AF21" s="295">
        <v>-0.52924279581934619</v>
      </c>
      <c r="AG21" s="295">
        <v>0.93210280997852146</v>
      </c>
      <c r="AH21" s="296">
        <v>2</v>
      </c>
      <c r="AT21" s="293" t="s">
        <v>290</v>
      </c>
      <c r="AU21" s="295">
        <v>5.4112778576927596E-2</v>
      </c>
      <c r="AV21" s="295">
        <v>0.54066044290843662</v>
      </c>
      <c r="AW21" s="296">
        <v>2</v>
      </c>
    </row>
    <row r="22" spans="1:49">
      <c r="A22" s="268" t="s">
        <v>290</v>
      </c>
      <c r="B22" s="269">
        <v>5.4112778576927596E-2</v>
      </c>
      <c r="C22" s="269">
        <v>0.54066044290843662</v>
      </c>
      <c r="D22" s="206">
        <v>7</v>
      </c>
      <c r="P22" s="283" t="s">
        <v>352</v>
      </c>
      <c r="Q22" s="284">
        <v>0.12703220156745973</v>
      </c>
      <c r="R22" s="284">
        <v>-0.39426694099348869</v>
      </c>
      <c r="S22" s="288">
        <v>2</v>
      </c>
      <c r="AE22" s="293" t="s">
        <v>283</v>
      </c>
      <c r="AF22" s="295">
        <v>-0.35104936105338225</v>
      </c>
      <c r="AG22" s="295">
        <v>0.80032821154494027</v>
      </c>
      <c r="AH22" s="296">
        <v>2</v>
      </c>
      <c r="AT22" s="293" t="s">
        <v>294</v>
      </c>
      <c r="AU22" s="295">
        <v>-0.1854355341492282</v>
      </c>
      <c r="AV22" s="295">
        <v>0.17904171901853597</v>
      </c>
      <c r="AW22" s="296">
        <v>2</v>
      </c>
    </row>
    <row r="23" spans="1:49">
      <c r="A23" s="268" t="s">
        <v>291</v>
      </c>
      <c r="B23" s="269">
        <v>-0.68467341977940421</v>
      </c>
      <c r="C23" s="269">
        <v>0.96444080885915162</v>
      </c>
      <c r="D23" s="206">
        <v>4</v>
      </c>
      <c r="P23" s="283" t="s">
        <v>270</v>
      </c>
      <c r="Q23" s="284">
        <v>-0.68302336053045276</v>
      </c>
      <c r="R23" s="284">
        <v>0.71050364226684515</v>
      </c>
      <c r="S23" s="288">
        <v>3</v>
      </c>
      <c r="AE23" s="293" t="s">
        <v>291</v>
      </c>
      <c r="AF23" s="295">
        <v>-0.68467341977940421</v>
      </c>
      <c r="AG23" s="295">
        <v>0.96444080885915162</v>
      </c>
      <c r="AH23" s="296">
        <v>2</v>
      </c>
      <c r="AT23" s="293" t="s">
        <v>310</v>
      </c>
      <c r="AU23" s="295">
        <v>0.16443121958165952</v>
      </c>
      <c r="AV23" s="295">
        <v>0.64391023856106</v>
      </c>
      <c r="AW23" s="296">
        <v>2</v>
      </c>
    </row>
    <row r="24" spans="1:49">
      <c r="A24" s="268" t="s">
        <v>292</v>
      </c>
      <c r="B24" s="269">
        <v>-0.16729151751754429</v>
      </c>
      <c r="C24" s="269">
        <v>1.2610593447827485</v>
      </c>
      <c r="D24" s="206">
        <v>4</v>
      </c>
      <c r="P24" s="283" t="s">
        <v>271</v>
      </c>
      <c r="Q24" s="284">
        <v>-0.92614254749908309</v>
      </c>
      <c r="R24" s="284">
        <v>0.77680176065732853</v>
      </c>
      <c r="S24" s="288">
        <v>3</v>
      </c>
      <c r="AE24" s="293" t="s">
        <v>292</v>
      </c>
      <c r="AF24" s="295">
        <v>-0.16729151751754429</v>
      </c>
      <c r="AG24" s="295">
        <v>1.2610593447827485</v>
      </c>
      <c r="AH24" s="296">
        <v>2</v>
      </c>
      <c r="AT24" s="293" t="s">
        <v>313</v>
      </c>
      <c r="AU24" s="295">
        <v>0.36891789994640045</v>
      </c>
      <c r="AV24" s="295">
        <v>0.92496213008077244</v>
      </c>
      <c r="AW24" s="296">
        <v>2</v>
      </c>
    </row>
    <row r="25" spans="1:49">
      <c r="A25" s="268" t="s">
        <v>293</v>
      </c>
      <c r="B25" s="269">
        <v>0.57679327393605218</v>
      </c>
      <c r="C25" s="269">
        <v>-0.30231808885321471</v>
      </c>
      <c r="D25" s="206">
        <v>7</v>
      </c>
      <c r="P25" s="283" t="s">
        <v>281</v>
      </c>
      <c r="Q25" s="284">
        <v>-0.48532664482316235</v>
      </c>
      <c r="R25" s="284">
        <v>1.8963777182999793</v>
      </c>
      <c r="S25" s="288">
        <v>3</v>
      </c>
      <c r="AE25" s="293" t="s">
        <v>304</v>
      </c>
      <c r="AF25" s="295">
        <v>-0.65945593580130513</v>
      </c>
      <c r="AG25" s="295">
        <v>0.53319119340522758</v>
      </c>
      <c r="AH25" s="296">
        <v>2</v>
      </c>
      <c r="AT25" s="293" t="s">
        <v>315</v>
      </c>
      <c r="AU25" s="295">
        <v>0.31842677389158502</v>
      </c>
      <c r="AV25" s="295">
        <v>1.3568222239238188</v>
      </c>
      <c r="AW25" s="296">
        <v>2</v>
      </c>
    </row>
    <row r="26" spans="1:49">
      <c r="A26" s="268" t="s">
        <v>294</v>
      </c>
      <c r="B26" s="269">
        <v>-0.1854355341492282</v>
      </c>
      <c r="C26" s="269">
        <v>0.17904171901853597</v>
      </c>
      <c r="D26" s="206">
        <v>5</v>
      </c>
      <c r="P26" s="283" t="s">
        <v>282</v>
      </c>
      <c r="Q26" s="284">
        <v>-0.52924279581934619</v>
      </c>
      <c r="R26" s="284">
        <v>0.93210280997852146</v>
      </c>
      <c r="S26" s="288">
        <v>3</v>
      </c>
      <c r="AE26" s="293" t="s">
        <v>305</v>
      </c>
      <c r="AF26" s="295">
        <v>-0.32426004968955108</v>
      </c>
      <c r="AG26" s="295">
        <v>0.81512009778660988</v>
      </c>
      <c r="AH26" s="296">
        <v>2</v>
      </c>
      <c r="AT26" s="293" t="s">
        <v>317</v>
      </c>
      <c r="AU26" s="295">
        <v>0.26247666877664366</v>
      </c>
      <c r="AV26" s="295">
        <v>1.0498866289616577</v>
      </c>
      <c r="AW26" s="296">
        <v>2</v>
      </c>
    </row>
    <row r="27" spans="1:49">
      <c r="A27" s="268" t="s">
        <v>295</v>
      </c>
      <c r="B27" s="269">
        <v>-0.34986602269780964</v>
      </c>
      <c r="C27" s="269">
        <v>1.1177608079990411</v>
      </c>
      <c r="D27" s="206">
        <v>5</v>
      </c>
      <c r="P27" s="283" t="s">
        <v>283</v>
      </c>
      <c r="Q27" s="284">
        <v>-0.35104936105338225</v>
      </c>
      <c r="R27" s="284">
        <v>0.80032821154494027</v>
      </c>
      <c r="S27" s="288">
        <v>3</v>
      </c>
      <c r="AE27" s="293" t="s">
        <v>307</v>
      </c>
      <c r="AF27" s="295">
        <v>-0.41375132862549491</v>
      </c>
      <c r="AG27" s="295">
        <v>1.1658020576053612</v>
      </c>
      <c r="AH27" s="296">
        <v>2</v>
      </c>
      <c r="AT27" s="293" t="s">
        <v>320</v>
      </c>
      <c r="AU27" s="295">
        <v>1.2449821091177646</v>
      </c>
      <c r="AV27" s="295">
        <v>1.2500740127821388</v>
      </c>
      <c r="AW27" s="296">
        <v>2</v>
      </c>
    </row>
    <row r="28" spans="1:49">
      <c r="A28" s="268" t="s">
        <v>296</v>
      </c>
      <c r="B28" s="269">
        <v>0.97493628898955165</v>
      </c>
      <c r="C28" s="269">
        <v>-0.52676090862852065</v>
      </c>
      <c r="D28" s="206">
        <v>7</v>
      </c>
      <c r="P28" s="283" t="s">
        <v>291</v>
      </c>
      <c r="Q28" s="284">
        <v>-0.68467341977940421</v>
      </c>
      <c r="R28" s="284">
        <v>0.96444080885915162</v>
      </c>
      <c r="S28" s="288">
        <v>3</v>
      </c>
      <c r="AE28" s="293" t="s">
        <v>310</v>
      </c>
      <c r="AF28" s="295">
        <v>0.16443121958165952</v>
      </c>
      <c r="AG28" s="295">
        <v>0.64391023856106</v>
      </c>
      <c r="AH28" s="296">
        <v>2</v>
      </c>
      <c r="AT28" s="293" t="s">
        <v>324</v>
      </c>
      <c r="AU28" s="295">
        <v>0.49726383204057012</v>
      </c>
      <c r="AV28" s="295">
        <v>0.34363529892959965</v>
      </c>
      <c r="AW28" s="296">
        <v>2</v>
      </c>
    </row>
    <row r="29" spans="1:49">
      <c r="A29" s="268" t="s">
        <v>297</v>
      </c>
      <c r="B29" s="269">
        <v>1.4395658363140249</v>
      </c>
      <c r="C29" s="269">
        <v>-0.30848258554336028</v>
      </c>
      <c r="D29" s="206">
        <v>7</v>
      </c>
      <c r="P29" s="283" t="s">
        <v>292</v>
      </c>
      <c r="Q29" s="284">
        <v>-0.16729151751754429</v>
      </c>
      <c r="R29" s="284">
        <v>1.2610593447827485</v>
      </c>
      <c r="S29" s="288">
        <v>3</v>
      </c>
      <c r="AE29" s="293" t="s">
        <v>312</v>
      </c>
      <c r="AF29" s="295">
        <v>-1.0605544616470557</v>
      </c>
      <c r="AG29" s="295">
        <v>0.72872141224169495</v>
      </c>
      <c r="AH29" s="296">
        <v>2</v>
      </c>
      <c r="AT29" s="293" t="s">
        <v>330</v>
      </c>
      <c r="AU29" s="295">
        <v>0.41894522895485448</v>
      </c>
      <c r="AV29" s="295">
        <v>0.26928079732523602</v>
      </c>
      <c r="AW29" s="296">
        <v>2</v>
      </c>
    </row>
    <row r="30" spans="1:49">
      <c r="A30" s="268" t="s">
        <v>298</v>
      </c>
      <c r="B30" s="269">
        <v>0.89348547526359789</v>
      </c>
      <c r="C30" s="269">
        <v>2.704492275511363E-2</v>
      </c>
      <c r="D30" s="206">
        <v>7</v>
      </c>
      <c r="P30" s="283" t="s">
        <v>295</v>
      </c>
      <c r="Q30" s="284">
        <v>-0.34986602269780964</v>
      </c>
      <c r="R30" s="284">
        <v>1.1177608079990411</v>
      </c>
      <c r="S30" s="288">
        <v>3</v>
      </c>
      <c r="AE30" s="293" t="s">
        <v>313</v>
      </c>
      <c r="AF30" s="295">
        <v>0.36891789994640045</v>
      </c>
      <c r="AG30" s="295">
        <v>0.92496213008077244</v>
      </c>
      <c r="AH30" s="296">
        <v>2</v>
      </c>
      <c r="AT30" s="293" t="s">
        <v>332</v>
      </c>
      <c r="AU30" s="295">
        <v>-0.19496999628164027</v>
      </c>
      <c r="AV30" s="295">
        <v>0.48796129978427788</v>
      </c>
      <c r="AW30" s="296">
        <v>2</v>
      </c>
    </row>
    <row r="31" spans="1:49">
      <c r="A31" s="268" t="s">
        <v>299</v>
      </c>
      <c r="B31" s="269">
        <v>-0.88911062369306804</v>
      </c>
      <c r="C31" s="269">
        <v>-0.54877663704302182</v>
      </c>
      <c r="D31" s="206">
        <v>6</v>
      </c>
      <c r="P31" s="283" t="s">
        <v>304</v>
      </c>
      <c r="Q31" s="284">
        <v>-0.65945593580130513</v>
      </c>
      <c r="R31" s="284">
        <v>0.53319119340522758</v>
      </c>
      <c r="S31" s="288">
        <v>3</v>
      </c>
      <c r="AE31" s="293" t="s">
        <v>315</v>
      </c>
      <c r="AF31" s="295">
        <v>0.31842677389158502</v>
      </c>
      <c r="AG31" s="295">
        <v>1.3568222239238188</v>
      </c>
      <c r="AH31" s="296">
        <v>2</v>
      </c>
      <c r="AT31" s="293" t="s">
        <v>335</v>
      </c>
      <c r="AU31" s="295">
        <v>0.29698020447087331</v>
      </c>
      <c r="AV31" s="295">
        <v>0.27968024922970758</v>
      </c>
      <c r="AW31" s="296">
        <v>2</v>
      </c>
    </row>
    <row r="32" spans="1:49">
      <c r="A32" s="268" t="s">
        <v>300</v>
      </c>
      <c r="B32" s="269">
        <v>1.2934335741622118</v>
      </c>
      <c r="C32" s="269">
        <v>-1.7339610608620482</v>
      </c>
      <c r="D32" s="206">
        <v>7</v>
      </c>
      <c r="P32" s="283" t="s">
        <v>305</v>
      </c>
      <c r="Q32" s="284">
        <v>-0.32426004968955108</v>
      </c>
      <c r="R32" s="284">
        <v>0.81512009778660988</v>
      </c>
      <c r="S32" s="288">
        <v>3</v>
      </c>
      <c r="AE32" s="293" t="s">
        <v>317</v>
      </c>
      <c r="AF32" s="295">
        <v>0.26247666877664366</v>
      </c>
      <c r="AG32" s="295">
        <v>1.0498866289616577</v>
      </c>
      <c r="AH32" s="296">
        <v>2</v>
      </c>
      <c r="AT32" s="293" t="s">
        <v>339</v>
      </c>
      <c r="AU32" s="295">
        <v>-0.16317693096208374</v>
      </c>
      <c r="AV32" s="295">
        <v>0.39977989433818162</v>
      </c>
      <c r="AW32" s="296">
        <v>2</v>
      </c>
    </row>
    <row r="33" spans="1:49">
      <c r="A33" s="268" t="s">
        <v>301</v>
      </c>
      <c r="B33" s="269">
        <v>-0.9231846783284714</v>
      </c>
      <c r="C33" s="269">
        <v>-0.1568985565660376</v>
      </c>
      <c r="D33" s="206">
        <v>6</v>
      </c>
      <c r="P33" s="283" t="s">
        <v>307</v>
      </c>
      <c r="Q33" s="284">
        <v>-0.41375132862549491</v>
      </c>
      <c r="R33" s="284">
        <v>1.1658020576053612</v>
      </c>
      <c r="S33" s="288">
        <v>3</v>
      </c>
      <c r="AE33" s="293" t="s">
        <v>320</v>
      </c>
      <c r="AF33" s="295">
        <v>1.2449821091177646</v>
      </c>
      <c r="AG33" s="295">
        <v>1.2500740127821388</v>
      </c>
      <c r="AH33" s="296">
        <v>2</v>
      </c>
      <c r="AT33" s="293" t="s">
        <v>344</v>
      </c>
      <c r="AU33" s="295">
        <v>0.32025018871457267</v>
      </c>
      <c r="AV33" s="295">
        <v>0.4606849685317011</v>
      </c>
      <c r="AW33" s="296">
        <v>2</v>
      </c>
    </row>
    <row r="34" spans="1:49">
      <c r="A34" s="268" t="s">
        <v>302</v>
      </c>
      <c r="B34" s="269">
        <v>-1.4555521054958924</v>
      </c>
      <c r="C34" s="269">
        <v>-1.6099056437636912</v>
      </c>
      <c r="D34" s="206">
        <v>3</v>
      </c>
      <c r="P34" s="283" t="s">
        <v>312</v>
      </c>
      <c r="Q34" s="284">
        <v>-1.0605544616470557</v>
      </c>
      <c r="R34" s="284">
        <v>0.72872141224169495</v>
      </c>
      <c r="S34" s="288">
        <v>3</v>
      </c>
      <c r="AE34" s="293" t="s">
        <v>322</v>
      </c>
      <c r="AF34" s="295">
        <v>-1.1585940839303204</v>
      </c>
      <c r="AG34" s="295">
        <v>0.52081779384099725</v>
      </c>
      <c r="AH34" s="296">
        <v>2</v>
      </c>
      <c r="AT34" s="293" t="s">
        <v>345</v>
      </c>
      <c r="AU34" s="295">
        <v>0.12979954898566595</v>
      </c>
      <c r="AV34" s="295">
        <v>0.80747881613885342</v>
      </c>
      <c r="AW34" s="296">
        <v>2</v>
      </c>
    </row>
    <row r="35" spans="1:49">
      <c r="A35" s="268" t="s">
        <v>304</v>
      </c>
      <c r="B35" s="269">
        <v>-0.65945593580130513</v>
      </c>
      <c r="C35" s="269">
        <v>0.53319119340522758</v>
      </c>
      <c r="D35" s="206">
        <v>4</v>
      </c>
      <c r="P35" s="283" t="s">
        <v>322</v>
      </c>
      <c r="Q35" s="284">
        <v>-1.1585940839303204</v>
      </c>
      <c r="R35" s="284">
        <v>0.52081779384099725</v>
      </c>
      <c r="S35" s="288">
        <v>3</v>
      </c>
      <c r="AE35" s="293" t="s">
        <v>329</v>
      </c>
      <c r="AF35" s="295">
        <v>7.375141447159872E-2</v>
      </c>
      <c r="AG35" s="295">
        <v>1.4939118607635409</v>
      </c>
      <c r="AH35" s="296">
        <v>2</v>
      </c>
      <c r="AT35" s="293" t="s">
        <v>347</v>
      </c>
      <c r="AU35" s="295">
        <v>0.12634343449439428</v>
      </c>
      <c r="AV35" s="295">
        <v>0.51442995585066453</v>
      </c>
      <c r="AW35" s="296">
        <v>2</v>
      </c>
    </row>
    <row r="36" spans="1:49">
      <c r="A36" s="268" t="s">
        <v>305</v>
      </c>
      <c r="B36" s="269">
        <v>-0.32426004968955108</v>
      </c>
      <c r="C36" s="269">
        <v>0.81512009778660988</v>
      </c>
      <c r="D36" s="206">
        <v>4</v>
      </c>
      <c r="P36" s="283" t="s">
        <v>355</v>
      </c>
      <c r="Q36" s="284">
        <v>-0.62558043335484814</v>
      </c>
      <c r="R36" s="284">
        <v>0.43587121206339352</v>
      </c>
      <c r="S36" s="288">
        <v>3</v>
      </c>
      <c r="AE36" s="293" t="s">
        <v>332</v>
      </c>
      <c r="AF36" s="295">
        <v>-0.19496999628164027</v>
      </c>
      <c r="AG36" s="295">
        <v>0.48796129978427788</v>
      </c>
      <c r="AH36" s="296">
        <v>2</v>
      </c>
      <c r="AT36" s="293" t="s">
        <v>350</v>
      </c>
      <c r="AU36" s="295">
        <v>0.22345815276371622</v>
      </c>
      <c r="AV36" s="295">
        <v>0.17463465513735948</v>
      </c>
      <c r="AW36" s="296">
        <v>2</v>
      </c>
    </row>
    <row r="37" spans="1:49">
      <c r="A37" s="268" t="s">
        <v>306</v>
      </c>
      <c r="B37" s="269">
        <v>-0.36269751175821474</v>
      </c>
      <c r="C37" s="269">
        <v>-5.6497923201090594E-2</v>
      </c>
      <c r="D37" s="206">
        <v>5</v>
      </c>
      <c r="P37" s="283" t="s">
        <v>272</v>
      </c>
      <c r="Q37" s="284">
        <v>-1.2270999878536024</v>
      </c>
      <c r="R37" s="284">
        <v>-5.7894323128173497E-2</v>
      </c>
      <c r="S37" s="288">
        <v>4</v>
      </c>
      <c r="AE37" s="293" t="s">
        <v>339</v>
      </c>
      <c r="AF37" s="295">
        <v>-0.16317693096208374</v>
      </c>
      <c r="AG37" s="295">
        <v>0.39977989433818162</v>
      </c>
      <c r="AH37" s="296">
        <v>2</v>
      </c>
      <c r="AT37" s="293" t="s">
        <v>270</v>
      </c>
      <c r="AU37" s="295">
        <v>-0.68302336053045276</v>
      </c>
      <c r="AV37" s="295">
        <v>0.71050364226684515</v>
      </c>
      <c r="AW37" s="296">
        <v>3</v>
      </c>
    </row>
    <row r="38" spans="1:49">
      <c r="A38" s="268" t="s">
        <v>307</v>
      </c>
      <c r="B38" s="269">
        <v>-0.41375132862549491</v>
      </c>
      <c r="C38" s="269">
        <v>1.1658020576053612</v>
      </c>
      <c r="D38" s="206">
        <v>4</v>
      </c>
      <c r="P38" s="283" t="s">
        <v>288</v>
      </c>
      <c r="Q38" s="284">
        <v>-1.4449780679126303</v>
      </c>
      <c r="R38" s="284">
        <v>9.2604128562096821E-2</v>
      </c>
      <c r="S38" s="288">
        <v>4</v>
      </c>
      <c r="AE38" s="293" t="s">
        <v>342</v>
      </c>
      <c r="AF38" s="295">
        <v>-0.28672534970712132</v>
      </c>
      <c r="AG38" s="295">
        <v>0.56269526972261086</v>
      </c>
      <c r="AH38" s="296">
        <v>2</v>
      </c>
      <c r="AT38" s="293" t="s">
        <v>271</v>
      </c>
      <c r="AU38" s="295">
        <v>-0.92614254749908309</v>
      </c>
      <c r="AV38" s="295">
        <v>0.77680176065732853</v>
      </c>
      <c r="AW38" s="296">
        <v>3</v>
      </c>
    </row>
    <row r="39" spans="1:49">
      <c r="A39" s="268" t="s">
        <v>308</v>
      </c>
      <c r="B39" s="269">
        <v>0.25722699652217695</v>
      </c>
      <c r="C39" s="269">
        <v>-0.20484082621392849</v>
      </c>
      <c r="D39" s="206">
        <v>7</v>
      </c>
      <c r="P39" s="283" t="s">
        <v>299</v>
      </c>
      <c r="Q39" s="284">
        <v>-0.88911062369306804</v>
      </c>
      <c r="R39" s="284">
        <v>-0.54877663704302182</v>
      </c>
      <c r="S39" s="288">
        <v>4</v>
      </c>
      <c r="AE39" s="293" t="s">
        <v>344</v>
      </c>
      <c r="AF39" s="295">
        <v>0.32025018871457267</v>
      </c>
      <c r="AG39" s="295">
        <v>0.4606849685317011</v>
      </c>
      <c r="AH39" s="296">
        <v>2</v>
      </c>
      <c r="AT39" s="293" t="s">
        <v>278</v>
      </c>
      <c r="AU39" s="295">
        <v>-0.23684745505431254</v>
      </c>
      <c r="AV39" s="295">
        <v>0.7046265835101243</v>
      </c>
      <c r="AW39" s="296">
        <v>3</v>
      </c>
    </row>
    <row r="40" spans="1:49">
      <c r="A40" s="268" t="s">
        <v>309</v>
      </c>
      <c r="B40" s="269">
        <v>-0.39168033809985148</v>
      </c>
      <c r="C40" s="269">
        <v>-3.4587405710614152E-2</v>
      </c>
      <c r="D40" s="206">
        <v>4</v>
      </c>
      <c r="P40" s="283" t="s">
        <v>301</v>
      </c>
      <c r="Q40" s="284">
        <v>-0.9231846783284714</v>
      </c>
      <c r="R40" s="284">
        <v>-0.1568985565660376</v>
      </c>
      <c r="S40" s="288">
        <v>4</v>
      </c>
      <c r="AE40" s="293" t="s">
        <v>355</v>
      </c>
      <c r="AF40" s="295">
        <v>-0.62558043335484814</v>
      </c>
      <c r="AG40" s="295">
        <v>0.43587121206339352</v>
      </c>
      <c r="AH40" s="296">
        <v>2</v>
      </c>
      <c r="AT40" s="293" t="s">
        <v>281</v>
      </c>
      <c r="AU40" s="295">
        <v>-0.48532664482316235</v>
      </c>
      <c r="AV40" s="295">
        <v>1.8963777182999793</v>
      </c>
      <c r="AW40" s="296">
        <v>3</v>
      </c>
    </row>
    <row r="41" spans="1:49">
      <c r="A41" s="268" t="s">
        <v>310</v>
      </c>
      <c r="B41" s="269">
        <v>0.16443121958165952</v>
      </c>
      <c r="C41" s="269">
        <v>0.64391023856106</v>
      </c>
      <c r="D41" s="206">
        <v>4</v>
      </c>
      <c r="P41" s="283" t="s">
        <v>321</v>
      </c>
      <c r="Q41" s="284">
        <v>-1.7465284351683674</v>
      </c>
      <c r="R41" s="284">
        <v>0.19250875829998629</v>
      </c>
      <c r="S41" s="288">
        <v>4</v>
      </c>
      <c r="AE41" s="293" t="s">
        <v>270</v>
      </c>
      <c r="AF41" s="295">
        <v>-0.68302336053045276</v>
      </c>
      <c r="AG41" s="295">
        <v>0.71050364226684515</v>
      </c>
      <c r="AH41" s="296">
        <v>3</v>
      </c>
      <c r="AT41" s="293" t="s">
        <v>282</v>
      </c>
      <c r="AU41" s="295">
        <v>-0.52924279581934619</v>
      </c>
      <c r="AV41" s="295">
        <v>0.93210280997852146</v>
      </c>
      <c r="AW41" s="296">
        <v>3</v>
      </c>
    </row>
    <row r="42" spans="1:49">
      <c r="A42" s="268" t="s">
        <v>311</v>
      </c>
      <c r="B42" s="269">
        <v>-0.21063761047768614</v>
      </c>
      <c r="C42" s="269">
        <v>-3.7812234363291536E-2</v>
      </c>
      <c r="D42" s="206">
        <v>5</v>
      </c>
      <c r="P42" s="283" t="s">
        <v>326</v>
      </c>
      <c r="Q42" s="284">
        <v>-0.74395023330978849</v>
      </c>
      <c r="R42" s="284">
        <v>-0.58694886640448163</v>
      </c>
      <c r="S42" s="288">
        <v>4</v>
      </c>
      <c r="AE42" s="293" t="s">
        <v>276</v>
      </c>
      <c r="AF42" s="295">
        <v>-1.6078402545490693E-2</v>
      </c>
      <c r="AG42" s="295">
        <v>0.61365064390561352</v>
      </c>
      <c r="AH42" s="296">
        <v>3</v>
      </c>
      <c r="AT42" s="293" t="s">
        <v>283</v>
      </c>
      <c r="AU42" s="295">
        <v>-0.35104936105338225</v>
      </c>
      <c r="AV42" s="295">
        <v>0.80032821154494027</v>
      </c>
      <c r="AW42" s="296">
        <v>3</v>
      </c>
    </row>
    <row r="43" spans="1:49">
      <c r="A43" s="268" t="s">
        <v>312</v>
      </c>
      <c r="B43" s="269">
        <v>-1.0605544616470557</v>
      </c>
      <c r="C43" s="269">
        <v>0.72872141224169495</v>
      </c>
      <c r="D43" s="206">
        <v>4</v>
      </c>
      <c r="P43" s="283" t="s">
        <v>336</v>
      </c>
      <c r="Q43" s="284">
        <v>-1.5669879891515488</v>
      </c>
      <c r="R43" s="284">
        <v>-0.24929968874400013</v>
      </c>
      <c r="S43" s="288">
        <v>4</v>
      </c>
      <c r="AE43" s="293" t="s">
        <v>277</v>
      </c>
      <c r="AF43" s="295">
        <v>0.33820098691855244</v>
      </c>
      <c r="AG43" s="295">
        <v>0.49600666943754734</v>
      </c>
      <c r="AH43" s="296">
        <v>3</v>
      </c>
      <c r="AT43" s="293" t="s">
        <v>284</v>
      </c>
      <c r="AU43" s="295">
        <v>-0.38826955751306025</v>
      </c>
      <c r="AV43" s="295">
        <v>0.45112113830844014</v>
      </c>
      <c r="AW43" s="296">
        <v>3</v>
      </c>
    </row>
    <row r="44" spans="1:49">
      <c r="A44" s="268" t="s">
        <v>313</v>
      </c>
      <c r="B44" s="269">
        <v>0.36891789994640045</v>
      </c>
      <c r="C44" s="269">
        <v>0.92496213008077244</v>
      </c>
      <c r="D44" s="206">
        <v>4</v>
      </c>
      <c r="P44" s="283" t="s">
        <v>343</v>
      </c>
      <c r="Q44" s="284">
        <v>-0.65369065560722028</v>
      </c>
      <c r="R44" s="284">
        <v>-0.25339290950272947</v>
      </c>
      <c r="S44" s="288">
        <v>4</v>
      </c>
      <c r="AE44" s="293" t="s">
        <v>278</v>
      </c>
      <c r="AF44" s="295">
        <v>-0.23684745505431254</v>
      </c>
      <c r="AG44" s="295">
        <v>0.7046265835101243</v>
      </c>
      <c r="AH44" s="296">
        <v>3</v>
      </c>
      <c r="AT44" s="293" t="s">
        <v>291</v>
      </c>
      <c r="AU44" s="295">
        <v>-0.68467341977940421</v>
      </c>
      <c r="AV44" s="295">
        <v>0.96444080885915162</v>
      </c>
      <c r="AW44" s="296">
        <v>3</v>
      </c>
    </row>
    <row r="45" spans="1:49">
      <c r="A45" s="268" t="s">
        <v>314</v>
      </c>
      <c r="B45" s="269">
        <v>1.8832580965494981</v>
      </c>
      <c r="C45" s="269">
        <v>-0.61657227555087213</v>
      </c>
      <c r="D45" s="206">
        <v>7</v>
      </c>
      <c r="P45" s="283" t="s">
        <v>349</v>
      </c>
      <c r="Q45" s="284">
        <v>-0.65843908115097327</v>
      </c>
      <c r="R45" s="284">
        <v>-0.75454987332689494</v>
      </c>
      <c r="S45" s="288">
        <v>4</v>
      </c>
      <c r="AE45" s="293" t="s">
        <v>284</v>
      </c>
      <c r="AF45" s="295">
        <v>-0.38826955751306025</v>
      </c>
      <c r="AG45" s="295">
        <v>0.45112113830844014</v>
      </c>
      <c r="AH45" s="296">
        <v>3</v>
      </c>
      <c r="AT45" s="293" t="s">
        <v>292</v>
      </c>
      <c r="AU45" s="295">
        <v>-0.16729151751754429</v>
      </c>
      <c r="AV45" s="295">
        <v>1.2610593447827485</v>
      </c>
      <c r="AW45" s="296">
        <v>3</v>
      </c>
    </row>
    <row r="46" spans="1:49">
      <c r="A46" s="268" t="s">
        <v>315</v>
      </c>
      <c r="B46" s="269">
        <v>0.31842677389158502</v>
      </c>
      <c r="C46" s="269">
        <v>1.3568222239238188</v>
      </c>
      <c r="D46" s="206">
        <v>4</v>
      </c>
      <c r="P46" s="283" t="s">
        <v>274</v>
      </c>
      <c r="Q46" s="284">
        <v>0.95419538499667966</v>
      </c>
      <c r="R46" s="284">
        <v>-0.8035224435647651</v>
      </c>
      <c r="S46" s="288">
        <v>5</v>
      </c>
      <c r="AE46" s="293" t="s">
        <v>286</v>
      </c>
      <c r="AF46" s="295">
        <v>0.29307343975629818</v>
      </c>
      <c r="AG46" s="295">
        <v>-0.17038645980682604</v>
      </c>
      <c r="AH46" s="296">
        <v>3</v>
      </c>
      <c r="AT46" s="293" t="s">
        <v>295</v>
      </c>
      <c r="AU46" s="295">
        <v>-0.34986602269780964</v>
      </c>
      <c r="AV46" s="295">
        <v>1.1177608079990411</v>
      </c>
      <c r="AW46" s="296">
        <v>3</v>
      </c>
    </row>
    <row r="47" spans="1:49">
      <c r="A47" s="268" t="s">
        <v>316</v>
      </c>
      <c r="B47" s="269">
        <v>1.3010984636579551E-2</v>
      </c>
      <c r="C47" s="269">
        <v>-7.1492088820078431E-2</v>
      </c>
      <c r="D47" s="206">
        <v>5</v>
      </c>
      <c r="P47" s="283" t="s">
        <v>275</v>
      </c>
      <c r="Q47" s="284">
        <v>0.64016186034313138</v>
      </c>
      <c r="R47" s="284">
        <v>-0.37488435258881508</v>
      </c>
      <c r="S47" s="288">
        <v>5</v>
      </c>
      <c r="AE47" s="293" t="s">
        <v>287</v>
      </c>
      <c r="AF47" s="295">
        <v>-0.318374362849288</v>
      </c>
      <c r="AG47" s="295">
        <v>-4.1097720157032044E-2</v>
      </c>
      <c r="AH47" s="296">
        <v>3</v>
      </c>
      <c r="AT47" s="293" t="s">
        <v>304</v>
      </c>
      <c r="AU47" s="295">
        <v>-0.65945593580130513</v>
      </c>
      <c r="AV47" s="295">
        <v>0.53319119340522758</v>
      </c>
      <c r="AW47" s="296">
        <v>3</v>
      </c>
    </row>
    <row r="48" spans="1:49">
      <c r="A48" s="268" t="s">
        <v>317</v>
      </c>
      <c r="B48" s="269">
        <v>0.26247666877664366</v>
      </c>
      <c r="C48" s="269">
        <v>1.0498866289616577</v>
      </c>
      <c r="D48" s="206">
        <v>4</v>
      </c>
      <c r="P48" s="283" t="s">
        <v>279</v>
      </c>
      <c r="Q48" s="284">
        <v>0.51170261896111424</v>
      </c>
      <c r="R48" s="284">
        <v>-0.10498910077533605</v>
      </c>
      <c r="S48" s="288">
        <v>5</v>
      </c>
      <c r="AE48" s="293" t="s">
        <v>290</v>
      </c>
      <c r="AF48" s="295">
        <v>5.4112778576927596E-2</v>
      </c>
      <c r="AG48" s="295">
        <v>0.54066044290843662</v>
      </c>
      <c r="AH48" s="296">
        <v>3</v>
      </c>
      <c r="AT48" s="293" t="s">
        <v>305</v>
      </c>
      <c r="AU48" s="295">
        <v>-0.32426004968955108</v>
      </c>
      <c r="AV48" s="295">
        <v>0.81512009778660988</v>
      </c>
      <c r="AW48" s="296">
        <v>3</v>
      </c>
    </row>
    <row r="49" spans="1:49">
      <c r="A49" s="268" t="s">
        <v>318</v>
      </c>
      <c r="B49" s="269">
        <v>1.5900207776688355</v>
      </c>
      <c r="C49" s="269">
        <v>-0.16828258056050027</v>
      </c>
      <c r="D49" s="206">
        <v>1</v>
      </c>
      <c r="P49" s="283" t="s">
        <v>293</v>
      </c>
      <c r="Q49" s="284">
        <v>0.57679327393605218</v>
      </c>
      <c r="R49" s="284">
        <v>-0.30231808885321471</v>
      </c>
      <c r="S49" s="288">
        <v>5</v>
      </c>
      <c r="AE49" s="293" t="s">
        <v>294</v>
      </c>
      <c r="AF49" s="295">
        <v>-0.1854355341492282</v>
      </c>
      <c r="AG49" s="295">
        <v>0.17904171901853597</v>
      </c>
      <c r="AH49" s="296">
        <v>3</v>
      </c>
      <c r="AT49" s="293" t="s">
        <v>307</v>
      </c>
      <c r="AU49" s="295">
        <v>-0.41375132862549491</v>
      </c>
      <c r="AV49" s="295">
        <v>1.1658020576053612</v>
      </c>
      <c r="AW49" s="296">
        <v>3</v>
      </c>
    </row>
    <row r="50" spans="1:49">
      <c r="A50" s="268" t="s">
        <v>320</v>
      </c>
      <c r="B50" s="269">
        <v>1.2449821091177646</v>
      </c>
      <c r="C50" s="269">
        <v>1.2500740127821388</v>
      </c>
      <c r="D50" s="206">
        <v>6</v>
      </c>
      <c r="P50" s="283" t="s">
        <v>296</v>
      </c>
      <c r="Q50" s="284">
        <v>0.97493628898955165</v>
      </c>
      <c r="R50" s="284">
        <v>-0.52676090862852065</v>
      </c>
      <c r="S50" s="288">
        <v>5</v>
      </c>
      <c r="AE50" s="293" t="s">
        <v>295</v>
      </c>
      <c r="AF50" s="295">
        <v>-0.34986602269780964</v>
      </c>
      <c r="AG50" s="295">
        <v>1.1177608079990411</v>
      </c>
      <c r="AH50" s="296">
        <v>3</v>
      </c>
      <c r="AT50" s="293" t="s">
        <v>312</v>
      </c>
      <c r="AU50" s="295">
        <v>-1.0605544616470557</v>
      </c>
      <c r="AV50" s="295">
        <v>0.72872141224169495</v>
      </c>
      <c r="AW50" s="296">
        <v>3</v>
      </c>
    </row>
    <row r="51" spans="1:49">
      <c r="A51" s="268" t="s">
        <v>321</v>
      </c>
      <c r="B51" s="269">
        <v>-1.7465284351683674</v>
      </c>
      <c r="C51" s="269">
        <v>0.19250875829998629</v>
      </c>
      <c r="D51" s="206">
        <v>5</v>
      </c>
      <c r="P51" s="283" t="s">
        <v>298</v>
      </c>
      <c r="Q51" s="284">
        <v>0.89348547526359789</v>
      </c>
      <c r="R51" s="284">
        <v>2.704492275511363E-2</v>
      </c>
      <c r="S51" s="288">
        <v>5</v>
      </c>
      <c r="AE51" s="293" t="s">
        <v>306</v>
      </c>
      <c r="AF51" s="295">
        <v>-0.36269751175821474</v>
      </c>
      <c r="AG51" s="295">
        <v>-5.6497923201090594E-2</v>
      </c>
      <c r="AH51" s="296">
        <v>3</v>
      </c>
      <c r="AT51" s="293" t="s">
        <v>322</v>
      </c>
      <c r="AU51" s="295">
        <v>-1.1585940839303204</v>
      </c>
      <c r="AV51" s="295">
        <v>0.52081779384099725</v>
      </c>
      <c r="AW51" s="296">
        <v>3</v>
      </c>
    </row>
    <row r="52" spans="1:49">
      <c r="A52" s="268" t="s">
        <v>322</v>
      </c>
      <c r="B52" s="269">
        <v>-1.1585940839303204</v>
      </c>
      <c r="C52" s="269">
        <v>0.52081779384099725</v>
      </c>
      <c r="D52" s="206">
        <v>5</v>
      </c>
      <c r="P52" s="283" t="s">
        <v>300</v>
      </c>
      <c r="Q52" s="284">
        <v>1.2934335741622118</v>
      </c>
      <c r="R52" s="284">
        <v>-1.7339610608620482</v>
      </c>
      <c r="S52" s="288">
        <v>5</v>
      </c>
      <c r="AE52" s="293" t="s">
        <v>308</v>
      </c>
      <c r="AF52" s="295">
        <v>0.25722699652217695</v>
      </c>
      <c r="AG52" s="295">
        <v>-0.20484082621392849</v>
      </c>
      <c r="AH52" s="296">
        <v>3</v>
      </c>
      <c r="AT52" s="293" t="s">
        <v>329</v>
      </c>
      <c r="AU52" s="295">
        <v>7.375141447159872E-2</v>
      </c>
      <c r="AV52" s="295">
        <v>1.4939118607635409</v>
      </c>
      <c r="AW52" s="296">
        <v>3</v>
      </c>
    </row>
    <row r="53" spans="1:49">
      <c r="A53" s="268" t="s">
        <v>323</v>
      </c>
      <c r="B53" s="269">
        <v>0.92312929691281453</v>
      </c>
      <c r="C53" s="269">
        <v>-9.8501531737235887E-2</v>
      </c>
      <c r="D53" s="206">
        <v>7</v>
      </c>
      <c r="P53" s="283" t="s">
        <v>323</v>
      </c>
      <c r="Q53" s="284">
        <v>0.92312929691281453</v>
      </c>
      <c r="R53" s="284">
        <v>-9.8501531737235887E-2</v>
      </c>
      <c r="S53" s="288">
        <v>5</v>
      </c>
      <c r="AE53" s="293" t="s">
        <v>309</v>
      </c>
      <c r="AF53" s="295">
        <v>-0.39168033809985148</v>
      </c>
      <c r="AG53" s="295">
        <v>-3.4587405710614152E-2</v>
      </c>
      <c r="AH53" s="296">
        <v>3</v>
      </c>
      <c r="AT53" s="293" t="s">
        <v>342</v>
      </c>
      <c r="AU53" s="295">
        <v>-0.28672534970712132</v>
      </c>
      <c r="AV53" s="295">
        <v>0.56269526972261086</v>
      </c>
      <c r="AW53" s="296">
        <v>3</v>
      </c>
    </row>
    <row r="54" spans="1:49">
      <c r="A54" s="268" t="s">
        <v>324</v>
      </c>
      <c r="B54" s="269">
        <v>0.49726383204057012</v>
      </c>
      <c r="C54" s="269">
        <v>0.34363529892959965</v>
      </c>
      <c r="D54" s="206">
        <v>5</v>
      </c>
      <c r="P54" s="283" t="s">
        <v>325</v>
      </c>
      <c r="Q54" s="284">
        <v>0.89689255044671046</v>
      </c>
      <c r="R54" s="284">
        <v>-0.5564981783703693</v>
      </c>
      <c r="S54" s="288">
        <v>5</v>
      </c>
      <c r="AE54" s="293" t="s">
        <v>311</v>
      </c>
      <c r="AF54" s="295">
        <v>-0.21063761047768614</v>
      </c>
      <c r="AG54" s="295">
        <v>-3.7812234363291536E-2</v>
      </c>
      <c r="AH54" s="296">
        <v>3</v>
      </c>
      <c r="AT54" s="293" t="s">
        <v>355</v>
      </c>
      <c r="AU54" s="295">
        <v>-0.62558043335484814</v>
      </c>
      <c r="AV54" s="295">
        <v>0.43587121206339352</v>
      </c>
      <c r="AW54" s="296">
        <v>3</v>
      </c>
    </row>
    <row r="55" spans="1:49">
      <c r="A55" s="268" t="s">
        <v>325</v>
      </c>
      <c r="B55" s="269">
        <v>0.89689255044671046</v>
      </c>
      <c r="C55" s="269">
        <v>-0.5564981783703693</v>
      </c>
      <c r="D55" s="206">
        <v>7</v>
      </c>
      <c r="P55" s="283" t="s">
        <v>327</v>
      </c>
      <c r="Q55" s="284">
        <v>0.79789907308724883</v>
      </c>
      <c r="R55" s="284">
        <v>0.16747489543875849</v>
      </c>
      <c r="S55" s="288">
        <v>5</v>
      </c>
      <c r="AE55" s="293" t="s">
        <v>316</v>
      </c>
      <c r="AF55" s="295">
        <v>1.3010984636579551E-2</v>
      </c>
      <c r="AG55" s="295">
        <v>-7.1492088820078431E-2</v>
      </c>
      <c r="AH55" s="296">
        <v>3</v>
      </c>
      <c r="AT55" s="293" t="s">
        <v>274</v>
      </c>
      <c r="AU55" s="295">
        <v>0.95419538499667966</v>
      </c>
      <c r="AV55" s="295">
        <v>-0.8035224435647651</v>
      </c>
      <c r="AW55" s="296">
        <v>4</v>
      </c>
    </row>
    <row r="56" spans="1:49">
      <c r="A56" s="268" t="s">
        <v>326</v>
      </c>
      <c r="B56" s="269">
        <v>-0.74395023330978849</v>
      </c>
      <c r="C56" s="269">
        <v>-0.58694886640448163</v>
      </c>
      <c r="D56" s="206">
        <v>5</v>
      </c>
      <c r="P56" s="283" t="s">
        <v>328</v>
      </c>
      <c r="Q56" s="284">
        <v>0.72322600461361142</v>
      </c>
      <c r="R56" s="284">
        <v>-0.8604536477137229</v>
      </c>
      <c r="S56" s="288">
        <v>5</v>
      </c>
      <c r="AE56" s="293" t="s">
        <v>324</v>
      </c>
      <c r="AF56" s="295">
        <v>0.49726383204057012</v>
      </c>
      <c r="AG56" s="295">
        <v>0.34363529892959965</v>
      </c>
      <c r="AH56" s="296">
        <v>3</v>
      </c>
      <c r="AT56" s="293" t="s">
        <v>275</v>
      </c>
      <c r="AU56" s="295">
        <v>0.64016186034313138</v>
      </c>
      <c r="AV56" s="295">
        <v>-0.37488435258881508</v>
      </c>
      <c r="AW56" s="296">
        <v>4</v>
      </c>
    </row>
    <row r="57" spans="1:49">
      <c r="A57" s="268" t="s">
        <v>327</v>
      </c>
      <c r="B57" s="269">
        <v>0.79789907308724883</v>
      </c>
      <c r="C57" s="269">
        <v>0.16747489543875849</v>
      </c>
      <c r="D57" s="206">
        <v>6</v>
      </c>
      <c r="P57" s="283" t="s">
        <v>331</v>
      </c>
      <c r="Q57" s="284">
        <v>0.64770436317676972</v>
      </c>
      <c r="R57" s="284">
        <v>-0.17144126170212115</v>
      </c>
      <c r="S57" s="288">
        <v>5</v>
      </c>
      <c r="AE57" s="293" t="s">
        <v>330</v>
      </c>
      <c r="AF57" s="295">
        <v>0.41894522895485448</v>
      </c>
      <c r="AG57" s="295">
        <v>0.26928079732523602</v>
      </c>
      <c r="AH57" s="296">
        <v>3</v>
      </c>
      <c r="AT57" s="293" t="s">
        <v>279</v>
      </c>
      <c r="AU57" s="295">
        <v>0.51170261896111424</v>
      </c>
      <c r="AV57" s="295">
        <v>-0.10498910077533605</v>
      </c>
      <c r="AW57" s="296">
        <v>4</v>
      </c>
    </row>
    <row r="58" spans="1:49">
      <c r="A58" s="268" t="s">
        <v>328</v>
      </c>
      <c r="B58" s="269">
        <v>0.72322600461361142</v>
      </c>
      <c r="C58" s="269">
        <v>-0.8604536477137229</v>
      </c>
      <c r="D58" s="206">
        <v>7</v>
      </c>
      <c r="P58" s="283" t="s">
        <v>341</v>
      </c>
      <c r="Q58" s="284">
        <v>0.8086103429632151</v>
      </c>
      <c r="R58" s="284">
        <v>0.1112933883260542</v>
      </c>
      <c r="S58" s="288">
        <v>5</v>
      </c>
      <c r="AE58" s="293" t="s">
        <v>333</v>
      </c>
      <c r="AF58" s="295">
        <v>6.2759846586646545E-2</v>
      </c>
      <c r="AG58" s="295">
        <v>-0.30337973464224988</v>
      </c>
      <c r="AH58" s="296">
        <v>3</v>
      </c>
      <c r="AT58" s="293" t="s">
        <v>286</v>
      </c>
      <c r="AU58" s="295">
        <v>0.29307343975629818</v>
      </c>
      <c r="AV58" s="295">
        <v>-0.17038645980682604</v>
      </c>
      <c r="AW58" s="296">
        <v>4</v>
      </c>
    </row>
    <row r="59" spans="1:49">
      <c r="A59" s="268" t="s">
        <v>329</v>
      </c>
      <c r="B59" s="269">
        <v>7.375141447159872E-2</v>
      </c>
      <c r="C59" s="269">
        <v>1.4939118607635409</v>
      </c>
      <c r="D59" s="206">
        <v>4</v>
      </c>
      <c r="P59" s="283" t="s">
        <v>276</v>
      </c>
      <c r="Q59" s="284">
        <v>-1.6078402545490693E-2</v>
      </c>
      <c r="R59" s="284">
        <v>0.61365064390561352</v>
      </c>
      <c r="S59" s="288">
        <v>6</v>
      </c>
      <c r="AE59" s="293" t="s">
        <v>335</v>
      </c>
      <c r="AF59" s="295">
        <v>0.29698020447087331</v>
      </c>
      <c r="AG59" s="295">
        <v>0.27968024922970758</v>
      </c>
      <c r="AH59" s="296">
        <v>3</v>
      </c>
      <c r="AT59" s="293" t="s">
        <v>293</v>
      </c>
      <c r="AU59" s="295">
        <v>0.57679327393605218</v>
      </c>
      <c r="AV59" s="295">
        <v>-0.30231808885321471</v>
      </c>
      <c r="AW59" s="296">
        <v>4</v>
      </c>
    </row>
    <row r="60" spans="1:49">
      <c r="A60" s="268" t="s">
        <v>330</v>
      </c>
      <c r="B60" s="269">
        <v>0.41894522895485448</v>
      </c>
      <c r="C60" s="269">
        <v>0.26928079732523602</v>
      </c>
      <c r="D60" s="206">
        <v>7</v>
      </c>
      <c r="P60" s="283" t="s">
        <v>277</v>
      </c>
      <c r="Q60" s="284">
        <v>0.33820098691855244</v>
      </c>
      <c r="R60" s="284">
        <v>0.49600666943754734</v>
      </c>
      <c r="S60" s="288">
        <v>6</v>
      </c>
      <c r="AE60" s="293" t="s">
        <v>337</v>
      </c>
      <c r="AF60" s="295">
        <v>-0.47194241629879347</v>
      </c>
      <c r="AG60" s="295">
        <v>-5.7009175861415073E-2</v>
      </c>
      <c r="AH60" s="296">
        <v>3</v>
      </c>
      <c r="AT60" s="293" t="s">
        <v>296</v>
      </c>
      <c r="AU60" s="295">
        <v>0.97493628898955165</v>
      </c>
      <c r="AV60" s="295">
        <v>-0.52676090862852065</v>
      </c>
      <c r="AW60" s="296">
        <v>4</v>
      </c>
    </row>
    <row r="61" spans="1:49">
      <c r="A61" s="268" t="s">
        <v>331</v>
      </c>
      <c r="B61" s="269">
        <v>0.64770436317676972</v>
      </c>
      <c r="C61" s="269">
        <v>-0.17144126170212115</v>
      </c>
      <c r="D61" s="206">
        <v>7</v>
      </c>
      <c r="P61" s="283" t="s">
        <v>278</v>
      </c>
      <c r="Q61" s="284">
        <v>-0.23684745505431254</v>
      </c>
      <c r="R61" s="284">
        <v>0.7046265835101243</v>
      </c>
      <c r="S61" s="288">
        <v>6</v>
      </c>
      <c r="AE61" s="293" t="s">
        <v>340</v>
      </c>
      <c r="AF61" s="295">
        <v>0.37367298193518822</v>
      </c>
      <c r="AG61" s="295">
        <v>0.12927702304242647</v>
      </c>
      <c r="AH61" s="296">
        <v>3</v>
      </c>
      <c r="AT61" s="293" t="s">
        <v>298</v>
      </c>
      <c r="AU61" s="295">
        <v>0.89348547526359789</v>
      </c>
      <c r="AV61" s="295">
        <v>2.704492275511363E-2</v>
      </c>
      <c r="AW61" s="296">
        <v>4</v>
      </c>
    </row>
    <row r="62" spans="1:49">
      <c r="A62" s="268" t="s">
        <v>332</v>
      </c>
      <c r="B62" s="269">
        <v>-0.19496999628164027</v>
      </c>
      <c r="C62" s="269">
        <v>0.48796129978427788</v>
      </c>
      <c r="D62" s="206">
        <v>4</v>
      </c>
      <c r="P62" s="283" t="s">
        <v>284</v>
      </c>
      <c r="Q62" s="284">
        <v>-0.38826955751306025</v>
      </c>
      <c r="R62" s="284">
        <v>0.45112113830844014</v>
      </c>
      <c r="S62" s="288">
        <v>6</v>
      </c>
      <c r="AE62" s="293" t="s">
        <v>343</v>
      </c>
      <c r="AF62" s="295">
        <v>-0.65369065560722028</v>
      </c>
      <c r="AG62" s="295">
        <v>-0.25339290950272947</v>
      </c>
      <c r="AH62" s="296">
        <v>3</v>
      </c>
      <c r="AT62" s="293" t="s">
        <v>308</v>
      </c>
      <c r="AU62" s="295">
        <v>0.25722699652217695</v>
      </c>
      <c r="AV62" s="295">
        <v>-0.20484082621392849</v>
      </c>
      <c r="AW62" s="296">
        <v>4</v>
      </c>
    </row>
    <row r="63" spans="1:49">
      <c r="A63" s="268" t="s">
        <v>333</v>
      </c>
      <c r="B63" s="269">
        <v>6.2759846586646545E-2</v>
      </c>
      <c r="C63" s="269">
        <v>-0.30337973464224988</v>
      </c>
      <c r="D63" s="206">
        <v>5</v>
      </c>
      <c r="P63" s="283" t="s">
        <v>290</v>
      </c>
      <c r="Q63" s="284">
        <v>5.4112778576927596E-2</v>
      </c>
      <c r="R63" s="284">
        <v>0.54066044290843662</v>
      </c>
      <c r="S63" s="288">
        <v>6</v>
      </c>
      <c r="AE63" s="293" t="s">
        <v>346</v>
      </c>
      <c r="AF63" s="295">
        <v>-0.16850937742986946</v>
      </c>
      <c r="AG63" s="295">
        <v>-0.16601203416391094</v>
      </c>
      <c r="AH63" s="296">
        <v>3</v>
      </c>
      <c r="AT63" s="293" t="s">
        <v>316</v>
      </c>
      <c r="AU63" s="295">
        <v>1.3010984636579551E-2</v>
      </c>
      <c r="AV63" s="295">
        <v>-7.1492088820078431E-2</v>
      </c>
      <c r="AW63" s="296">
        <v>4</v>
      </c>
    </row>
    <row r="64" spans="1:49">
      <c r="A64" s="268" t="s">
        <v>334</v>
      </c>
      <c r="B64" s="269">
        <v>-0.88250914196138452</v>
      </c>
      <c r="C64" s="269">
        <v>-3.6558757888959916</v>
      </c>
      <c r="D64" s="206">
        <v>2</v>
      </c>
      <c r="P64" s="283" t="s">
        <v>310</v>
      </c>
      <c r="Q64" s="284">
        <v>0.16443121958165952</v>
      </c>
      <c r="R64" s="284">
        <v>0.64391023856106</v>
      </c>
      <c r="S64" s="288">
        <v>6</v>
      </c>
      <c r="AE64" s="293" t="s">
        <v>347</v>
      </c>
      <c r="AF64" s="295">
        <v>0.12634343449439428</v>
      </c>
      <c r="AG64" s="295">
        <v>0.51442995585066453</v>
      </c>
      <c r="AH64" s="296">
        <v>3</v>
      </c>
      <c r="AT64" s="293" t="s">
        <v>323</v>
      </c>
      <c r="AU64" s="295">
        <v>0.92312929691281453</v>
      </c>
      <c r="AV64" s="295">
        <v>-9.8501531737235887E-2</v>
      </c>
      <c r="AW64" s="296">
        <v>4</v>
      </c>
    </row>
    <row r="65" spans="1:49">
      <c r="A65" s="268" t="s">
        <v>335</v>
      </c>
      <c r="B65" s="269">
        <v>0.29698020447087331</v>
      </c>
      <c r="C65" s="269">
        <v>0.27968024922970758</v>
      </c>
      <c r="D65" s="206">
        <v>7</v>
      </c>
      <c r="P65" s="283" t="s">
        <v>313</v>
      </c>
      <c r="Q65" s="284">
        <v>0.36891789994640045</v>
      </c>
      <c r="R65" s="284">
        <v>0.92496213008077244</v>
      </c>
      <c r="S65" s="288">
        <v>6</v>
      </c>
      <c r="AE65" s="293" t="s">
        <v>348</v>
      </c>
      <c r="AF65" s="295">
        <v>-0.41174067825606686</v>
      </c>
      <c r="AG65" s="295">
        <v>7.8671901897058472E-2</v>
      </c>
      <c r="AH65" s="296">
        <v>3</v>
      </c>
      <c r="AT65" s="293" t="s">
        <v>325</v>
      </c>
      <c r="AU65" s="295">
        <v>0.89689255044671046</v>
      </c>
      <c r="AV65" s="295">
        <v>-0.5564981783703693</v>
      </c>
      <c r="AW65" s="296">
        <v>4</v>
      </c>
    </row>
    <row r="66" spans="1:49">
      <c r="A66" s="268" t="s">
        <v>336</v>
      </c>
      <c r="B66" s="269">
        <v>-1.5669879891515488</v>
      </c>
      <c r="C66" s="269">
        <v>-0.24929968874400013</v>
      </c>
      <c r="D66" s="206">
        <v>6</v>
      </c>
      <c r="P66" s="283" t="s">
        <v>315</v>
      </c>
      <c r="Q66" s="284">
        <v>0.31842677389158502</v>
      </c>
      <c r="R66" s="284">
        <v>1.3568222239238188</v>
      </c>
      <c r="S66" s="288">
        <v>6</v>
      </c>
      <c r="AE66" s="293" t="s">
        <v>349</v>
      </c>
      <c r="AF66" s="295">
        <v>-0.65843908115097327</v>
      </c>
      <c r="AG66" s="295">
        <v>-0.75454987332689494</v>
      </c>
      <c r="AH66" s="296">
        <v>3</v>
      </c>
      <c r="AT66" s="293" t="s">
        <v>327</v>
      </c>
      <c r="AU66" s="295">
        <v>0.79789907308724883</v>
      </c>
      <c r="AV66" s="295">
        <v>0.16747489543875849</v>
      </c>
      <c r="AW66" s="296">
        <v>4</v>
      </c>
    </row>
    <row r="67" spans="1:49">
      <c r="A67" s="268" t="s">
        <v>337</v>
      </c>
      <c r="B67" s="269">
        <v>-0.47194241629879347</v>
      </c>
      <c r="C67" s="269">
        <v>-5.7009175861415073E-2</v>
      </c>
      <c r="D67" s="206">
        <v>5</v>
      </c>
      <c r="P67" s="283" t="s">
        <v>317</v>
      </c>
      <c r="Q67" s="284">
        <v>0.26247666877664366</v>
      </c>
      <c r="R67" s="284">
        <v>1.0498866289616577</v>
      </c>
      <c r="S67" s="288">
        <v>6</v>
      </c>
      <c r="AE67" s="293" t="s">
        <v>350</v>
      </c>
      <c r="AF67" s="295">
        <v>0.22345815276371622</v>
      </c>
      <c r="AG67" s="295">
        <v>0.17463465513735948</v>
      </c>
      <c r="AH67" s="296">
        <v>3</v>
      </c>
      <c r="AT67" s="293" t="s">
        <v>328</v>
      </c>
      <c r="AU67" s="295">
        <v>0.72322600461361142</v>
      </c>
      <c r="AV67" s="295">
        <v>-0.8604536477137229</v>
      </c>
      <c r="AW67" s="296">
        <v>4</v>
      </c>
    </row>
    <row r="68" spans="1:49">
      <c r="A68" s="268" t="s">
        <v>338</v>
      </c>
      <c r="B68" s="269">
        <v>1.6056705170788306</v>
      </c>
      <c r="C68" s="269">
        <v>-0.90518136094967316</v>
      </c>
      <c r="D68" s="206">
        <v>7</v>
      </c>
      <c r="P68" s="283" t="s">
        <v>320</v>
      </c>
      <c r="Q68" s="284">
        <v>1.2449821091177646</v>
      </c>
      <c r="R68" s="284">
        <v>1.2500740127821388</v>
      </c>
      <c r="S68" s="288">
        <v>6</v>
      </c>
      <c r="AE68" s="293" t="s">
        <v>352</v>
      </c>
      <c r="AF68" s="295">
        <v>0.12703220156745973</v>
      </c>
      <c r="AG68" s="295">
        <v>-0.39426694099348869</v>
      </c>
      <c r="AH68" s="296">
        <v>3</v>
      </c>
      <c r="AT68" s="293" t="s">
        <v>331</v>
      </c>
      <c r="AU68" s="295">
        <v>0.64770436317676972</v>
      </c>
      <c r="AV68" s="295">
        <v>-0.17144126170212115</v>
      </c>
      <c r="AW68" s="296">
        <v>4</v>
      </c>
    </row>
    <row r="69" spans="1:49">
      <c r="A69" s="268" t="s">
        <v>339</v>
      </c>
      <c r="B69" s="269">
        <v>-0.16317693096208374</v>
      </c>
      <c r="C69" s="269">
        <v>0.39977989433818162</v>
      </c>
      <c r="D69" s="206">
        <v>4</v>
      </c>
      <c r="P69" s="283" t="s">
        <v>324</v>
      </c>
      <c r="Q69" s="284">
        <v>0.49726383204057012</v>
      </c>
      <c r="R69" s="284">
        <v>0.34363529892959965</v>
      </c>
      <c r="S69" s="288">
        <v>6</v>
      </c>
      <c r="AE69" s="293" t="s">
        <v>272</v>
      </c>
      <c r="AF69" s="295">
        <v>-1.2270999878536024</v>
      </c>
      <c r="AG69" s="295">
        <v>-5.7894323128173497E-2</v>
      </c>
      <c r="AH69" s="296">
        <v>4</v>
      </c>
      <c r="AT69" s="293" t="s">
        <v>333</v>
      </c>
      <c r="AU69" s="295">
        <v>6.2759846586646545E-2</v>
      </c>
      <c r="AV69" s="295">
        <v>-0.30337973464224988</v>
      </c>
      <c r="AW69" s="296">
        <v>4</v>
      </c>
    </row>
    <row r="70" spans="1:49">
      <c r="A70" s="268" t="s">
        <v>340</v>
      </c>
      <c r="B70" s="269">
        <v>0.37367298193518822</v>
      </c>
      <c r="C70" s="269">
        <v>0.12927702304242647</v>
      </c>
      <c r="D70" s="206">
        <v>5</v>
      </c>
      <c r="P70" s="283" t="s">
        <v>329</v>
      </c>
      <c r="Q70" s="284">
        <v>7.375141447159872E-2</v>
      </c>
      <c r="R70" s="284">
        <v>1.4939118607635409</v>
      </c>
      <c r="S70" s="288">
        <v>6</v>
      </c>
      <c r="AE70" s="293" t="s">
        <v>302</v>
      </c>
      <c r="AF70" s="295">
        <v>-1.4555521054958924</v>
      </c>
      <c r="AG70" s="295">
        <v>-1.6099056437636912</v>
      </c>
      <c r="AH70" s="296">
        <v>4</v>
      </c>
      <c r="AT70" s="293" t="s">
        <v>340</v>
      </c>
      <c r="AU70" s="295">
        <v>0.37367298193518822</v>
      </c>
      <c r="AV70" s="295">
        <v>0.12927702304242647</v>
      </c>
      <c r="AW70" s="296">
        <v>4</v>
      </c>
    </row>
    <row r="71" spans="1:49">
      <c r="A71" s="268" t="s">
        <v>341</v>
      </c>
      <c r="B71" s="269">
        <v>0.8086103429632151</v>
      </c>
      <c r="C71" s="269">
        <v>0.1112933883260542</v>
      </c>
      <c r="D71" s="206">
        <v>7</v>
      </c>
      <c r="P71" s="283" t="s">
        <v>330</v>
      </c>
      <c r="Q71" s="284">
        <v>0.41894522895485448</v>
      </c>
      <c r="R71" s="284">
        <v>0.26928079732523602</v>
      </c>
      <c r="S71" s="288">
        <v>6</v>
      </c>
      <c r="AE71" s="293" t="s">
        <v>321</v>
      </c>
      <c r="AF71" s="295">
        <v>-1.7465284351683674</v>
      </c>
      <c r="AG71" s="295">
        <v>0.19250875829998629</v>
      </c>
      <c r="AH71" s="296">
        <v>4</v>
      </c>
      <c r="AT71" s="293" t="s">
        <v>341</v>
      </c>
      <c r="AU71" s="295">
        <v>0.8086103429632151</v>
      </c>
      <c r="AV71" s="295">
        <v>0.1112933883260542</v>
      </c>
      <c r="AW71" s="296">
        <v>4</v>
      </c>
    </row>
    <row r="72" spans="1:49">
      <c r="A72" s="268" t="s">
        <v>342</v>
      </c>
      <c r="B72" s="269">
        <v>-0.28672534970712132</v>
      </c>
      <c r="C72" s="269">
        <v>0.56269526972261086</v>
      </c>
      <c r="D72" s="206">
        <v>4</v>
      </c>
      <c r="P72" s="283" t="s">
        <v>332</v>
      </c>
      <c r="Q72" s="284">
        <v>-0.19496999628164027</v>
      </c>
      <c r="R72" s="284">
        <v>0.48796129978427788</v>
      </c>
      <c r="S72" s="288">
        <v>6</v>
      </c>
      <c r="AE72" s="293" t="s">
        <v>326</v>
      </c>
      <c r="AF72" s="295">
        <v>-0.74395023330978849</v>
      </c>
      <c r="AG72" s="295">
        <v>-0.58694886640448163</v>
      </c>
      <c r="AH72" s="296">
        <v>4</v>
      </c>
      <c r="AT72" s="293" t="s">
        <v>352</v>
      </c>
      <c r="AU72" s="295">
        <v>0.12703220156745973</v>
      </c>
      <c r="AV72" s="295">
        <v>-0.39426694099348869</v>
      </c>
      <c r="AW72" s="296">
        <v>4</v>
      </c>
    </row>
    <row r="73" spans="1:49">
      <c r="A73" s="268" t="s">
        <v>343</v>
      </c>
      <c r="B73" s="269">
        <v>-0.65369065560722028</v>
      </c>
      <c r="C73" s="269">
        <v>-0.25339290950272947</v>
      </c>
      <c r="D73" s="206">
        <v>5</v>
      </c>
      <c r="P73" s="283" t="s">
        <v>335</v>
      </c>
      <c r="Q73" s="284">
        <v>0.29698020447087331</v>
      </c>
      <c r="R73" s="284">
        <v>0.27968024922970758</v>
      </c>
      <c r="S73" s="288">
        <v>6</v>
      </c>
      <c r="AE73" s="293" t="s">
        <v>353</v>
      </c>
      <c r="AF73" s="295">
        <v>-3.9924950647161506</v>
      </c>
      <c r="AG73" s="295">
        <v>-1.8635103694499162</v>
      </c>
      <c r="AH73" s="296">
        <v>4</v>
      </c>
      <c r="AT73" s="293" t="s">
        <v>302</v>
      </c>
      <c r="AU73" s="295">
        <v>-1.4555521054958924</v>
      </c>
      <c r="AV73" s="295">
        <v>-1.6099056437636912</v>
      </c>
      <c r="AW73" s="296">
        <v>5</v>
      </c>
    </row>
    <row r="74" spans="1:49">
      <c r="A74" s="268" t="s">
        <v>344</v>
      </c>
      <c r="B74" s="269">
        <v>0.32025018871457267</v>
      </c>
      <c r="C74" s="269">
        <v>0.4606849685317011</v>
      </c>
      <c r="D74" s="206">
        <v>4</v>
      </c>
      <c r="P74" s="283" t="s">
        <v>339</v>
      </c>
      <c r="Q74" s="284">
        <v>-0.16317693096208374</v>
      </c>
      <c r="R74" s="284">
        <v>0.39977989433818162</v>
      </c>
      <c r="S74" s="288">
        <v>6</v>
      </c>
      <c r="AE74" s="293" t="s">
        <v>354</v>
      </c>
      <c r="AF74" s="295">
        <v>-2.3297418952120257</v>
      </c>
      <c r="AG74" s="295">
        <v>-2.5343694858075905</v>
      </c>
      <c r="AH74" s="296">
        <v>4</v>
      </c>
      <c r="AT74" s="293" t="s">
        <v>353</v>
      </c>
      <c r="AU74" s="295">
        <v>-3.9924950647161506</v>
      </c>
      <c r="AV74" s="295">
        <v>-1.8635103694499162</v>
      </c>
      <c r="AW74" s="296">
        <v>5</v>
      </c>
    </row>
    <row r="75" spans="1:49">
      <c r="A75" s="268" t="s">
        <v>345</v>
      </c>
      <c r="B75" s="269">
        <v>0.12979954898566595</v>
      </c>
      <c r="C75" s="269">
        <v>0.80747881613885342</v>
      </c>
      <c r="D75" s="206">
        <v>6</v>
      </c>
      <c r="P75" s="283" t="s">
        <v>340</v>
      </c>
      <c r="Q75" s="284">
        <v>0.37367298193518822</v>
      </c>
      <c r="R75" s="284">
        <v>0.12927702304242647</v>
      </c>
      <c r="S75" s="288">
        <v>6</v>
      </c>
      <c r="AE75" s="293" t="s">
        <v>288</v>
      </c>
      <c r="AF75" s="295">
        <v>-1.4449780679126303</v>
      </c>
      <c r="AG75" s="295">
        <v>9.2604128562096821E-2</v>
      </c>
      <c r="AH75" s="296">
        <v>5</v>
      </c>
      <c r="AT75" s="293" t="s">
        <v>354</v>
      </c>
      <c r="AU75" s="295">
        <v>-2.3297418952120257</v>
      </c>
      <c r="AV75" s="295">
        <v>-2.5343694858075905</v>
      </c>
      <c r="AW75" s="296">
        <v>5</v>
      </c>
    </row>
    <row r="76" spans="1:49">
      <c r="A76" s="268" t="s">
        <v>346</v>
      </c>
      <c r="B76" s="269">
        <v>-0.16850937742986946</v>
      </c>
      <c r="C76" s="269">
        <v>-0.16601203416391094</v>
      </c>
      <c r="D76" s="206">
        <v>5</v>
      </c>
      <c r="P76" s="283" t="s">
        <v>342</v>
      </c>
      <c r="Q76" s="284">
        <v>-0.28672534970712132</v>
      </c>
      <c r="R76" s="284">
        <v>0.56269526972261086</v>
      </c>
      <c r="S76" s="288">
        <v>6</v>
      </c>
      <c r="AE76" s="293" t="s">
        <v>299</v>
      </c>
      <c r="AF76" s="295">
        <v>-0.88911062369306804</v>
      </c>
      <c r="AG76" s="295">
        <v>-0.54877663704302182</v>
      </c>
      <c r="AH76" s="296">
        <v>5</v>
      </c>
      <c r="AT76" s="293" t="s">
        <v>280</v>
      </c>
      <c r="AU76" s="295">
        <v>0.96281979262049577</v>
      </c>
      <c r="AV76" s="295">
        <v>-4.7553611002280141</v>
      </c>
      <c r="AW76" s="296">
        <v>6</v>
      </c>
    </row>
    <row r="77" spans="1:49">
      <c r="A77" s="268" t="s">
        <v>347</v>
      </c>
      <c r="B77" s="269">
        <v>0.12634343449439428</v>
      </c>
      <c r="C77" s="269">
        <v>0.51442995585066453</v>
      </c>
      <c r="D77" s="206">
        <v>4</v>
      </c>
      <c r="P77" s="283" t="s">
        <v>344</v>
      </c>
      <c r="Q77" s="284">
        <v>0.32025018871457267</v>
      </c>
      <c r="R77" s="284">
        <v>0.4606849685317011</v>
      </c>
      <c r="S77" s="288">
        <v>6</v>
      </c>
      <c r="AE77" s="293" t="s">
        <v>301</v>
      </c>
      <c r="AF77" s="295">
        <v>-0.9231846783284714</v>
      </c>
      <c r="AG77" s="295">
        <v>-0.1568985565660376</v>
      </c>
      <c r="AH77" s="296">
        <v>5</v>
      </c>
      <c r="AT77" s="293" t="s">
        <v>334</v>
      </c>
      <c r="AU77" s="295">
        <v>-0.88250914196138452</v>
      </c>
      <c r="AV77" s="295">
        <v>-3.6558757888959916</v>
      </c>
      <c r="AW77" s="296">
        <v>6</v>
      </c>
    </row>
    <row r="78" spans="1:49">
      <c r="A78" s="268" t="s">
        <v>348</v>
      </c>
      <c r="B78" s="269">
        <v>-0.41174067825606686</v>
      </c>
      <c r="C78" s="269">
        <v>7.8671901897058472E-2</v>
      </c>
      <c r="D78" s="206">
        <v>5</v>
      </c>
      <c r="P78" s="283" t="s">
        <v>345</v>
      </c>
      <c r="Q78" s="284">
        <v>0.12979954898566595</v>
      </c>
      <c r="R78" s="284">
        <v>0.80747881613885342</v>
      </c>
      <c r="S78" s="288">
        <v>6</v>
      </c>
      <c r="AE78" s="293" t="s">
        <v>327</v>
      </c>
      <c r="AF78" s="295">
        <v>0.79789907308724883</v>
      </c>
      <c r="AG78" s="295">
        <v>0.16747489543875849</v>
      </c>
      <c r="AH78" s="296">
        <v>5</v>
      </c>
      <c r="AT78" s="293" t="s">
        <v>285</v>
      </c>
      <c r="AU78" s="295">
        <v>2.1016928005327316</v>
      </c>
      <c r="AV78" s="295">
        <v>-0.32784773230137498</v>
      </c>
      <c r="AW78" s="296">
        <v>7</v>
      </c>
    </row>
    <row r="79" spans="1:49">
      <c r="A79" s="268" t="s">
        <v>349</v>
      </c>
      <c r="B79" s="269">
        <v>-0.65843908115097327</v>
      </c>
      <c r="C79" s="269">
        <v>-0.75454987332689494</v>
      </c>
      <c r="D79" s="206">
        <v>5</v>
      </c>
      <c r="P79" s="283" t="s">
        <v>347</v>
      </c>
      <c r="Q79" s="284">
        <v>0.12634343449439428</v>
      </c>
      <c r="R79" s="284">
        <v>0.51442995585066453</v>
      </c>
      <c r="S79" s="288">
        <v>6</v>
      </c>
      <c r="AE79" s="293" t="s">
        <v>336</v>
      </c>
      <c r="AF79" s="295">
        <v>-1.5669879891515488</v>
      </c>
      <c r="AG79" s="295">
        <v>-0.24929968874400013</v>
      </c>
      <c r="AH79" s="296">
        <v>5</v>
      </c>
      <c r="AT79" s="293" t="s">
        <v>289</v>
      </c>
      <c r="AU79" s="295">
        <v>1.729940374128673</v>
      </c>
      <c r="AV79" s="295">
        <v>-0.49850143467973385</v>
      </c>
      <c r="AW79" s="296">
        <v>7</v>
      </c>
    </row>
    <row r="80" spans="1:49">
      <c r="A80" s="268" t="s">
        <v>350</v>
      </c>
      <c r="B80" s="269">
        <v>0.22345815276371622</v>
      </c>
      <c r="C80" s="269">
        <v>0.17463465513735948</v>
      </c>
      <c r="D80" s="206">
        <v>5</v>
      </c>
      <c r="P80" s="283" t="s">
        <v>350</v>
      </c>
      <c r="Q80" s="284">
        <v>0.22345815276371622</v>
      </c>
      <c r="R80" s="284">
        <v>0.17463465513735948</v>
      </c>
      <c r="S80" s="288">
        <v>6</v>
      </c>
      <c r="AE80" s="293" t="s">
        <v>345</v>
      </c>
      <c r="AF80" s="295">
        <v>0.12979954898566595</v>
      </c>
      <c r="AG80" s="295">
        <v>0.80747881613885342</v>
      </c>
      <c r="AH80" s="296">
        <v>5</v>
      </c>
      <c r="AT80" s="293" t="s">
        <v>297</v>
      </c>
      <c r="AU80" s="295">
        <v>1.4395658363140249</v>
      </c>
      <c r="AV80" s="295">
        <v>-0.30848258554336028</v>
      </c>
      <c r="AW80" s="296">
        <v>7</v>
      </c>
    </row>
    <row r="81" spans="1:49">
      <c r="A81" s="268" t="s">
        <v>351</v>
      </c>
      <c r="B81" s="269">
        <v>2.8077601812150634</v>
      </c>
      <c r="C81" s="269">
        <v>-0.78229151501002225</v>
      </c>
      <c r="D81" s="206">
        <v>1</v>
      </c>
      <c r="P81" s="283" t="s">
        <v>280</v>
      </c>
      <c r="Q81" s="284">
        <v>0.96281979262049577</v>
      </c>
      <c r="R81" s="284">
        <v>-4.7553611002280141</v>
      </c>
      <c r="S81" s="288">
        <v>7</v>
      </c>
      <c r="AE81" s="293" t="s">
        <v>280</v>
      </c>
      <c r="AF81" s="295">
        <v>0.96281979262049577</v>
      </c>
      <c r="AG81" s="295">
        <v>-4.7553611002280141</v>
      </c>
      <c r="AH81" s="296">
        <v>6</v>
      </c>
      <c r="AT81" s="293" t="s">
        <v>300</v>
      </c>
      <c r="AU81" s="295">
        <v>1.2934335741622118</v>
      </c>
      <c r="AV81" s="295">
        <v>-1.7339610608620482</v>
      </c>
      <c r="AW81" s="296">
        <v>7</v>
      </c>
    </row>
    <row r="82" spans="1:49">
      <c r="A82" s="268" t="s">
        <v>352</v>
      </c>
      <c r="B82" s="269">
        <v>0.12703220156745973</v>
      </c>
      <c r="C82" s="269">
        <v>-0.39426694099348869</v>
      </c>
      <c r="D82" s="206">
        <v>7</v>
      </c>
      <c r="P82" s="283" t="s">
        <v>302</v>
      </c>
      <c r="Q82" s="284">
        <v>-1.4555521054958924</v>
      </c>
      <c r="R82" s="284">
        <v>-1.6099056437636912</v>
      </c>
      <c r="S82" s="288">
        <v>7</v>
      </c>
      <c r="AE82" s="293" t="s">
        <v>334</v>
      </c>
      <c r="AF82" s="295">
        <v>-0.88250914196138452</v>
      </c>
      <c r="AG82" s="295">
        <v>-3.6558757888959916</v>
      </c>
      <c r="AH82" s="296">
        <v>6</v>
      </c>
      <c r="AT82" s="293" t="s">
        <v>314</v>
      </c>
      <c r="AU82" s="295">
        <v>1.8832580965494981</v>
      </c>
      <c r="AV82" s="295">
        <v>-0.61657227555087213</v>
      </c>
      <c r="AW82" s="296">
        <v>7</v>
      </c>
    </row>
    <row r="83" spans="1:49">
      <c r="A83" s="268" t="s">
        <v>353</v>
      </c>
      <c r="B83" s="269">
        <v>-3.9924950647161506</v>
      </c>
      <c r="C83" s="269">
        <v>-1.8635103694499162</v>
      </c>
      <c r="D83" s="206">
        <v>3</v>
      </c>
      <c r="P83" s="283" t="s">
        <v>334</v>
      </c>
      <c r="Q83" s="284">
        <v>-0.88250914196138452</v>
      </c>
      <c r="R83" s="284">
        <v>-3.6558757888959916</v>
      </c>
      <c r="S83" s="288">
        <v>7</v>
      </c>
      <c r="AE83" s="293" t="s">
        <v>285</v>
      </c>
      <c r="AF83" s="295">
        <v>2.1016928005327316</v>
      </c>
      <c r="AG83" s="295">
        <v>-0.32784773230137498</v>
      </c>
      <c r="AH83" s="296">
        <v>7</v>
      </c>
      <c r="AT83" s="293" t="s">
        <v>318</v>
      </c>
      <c r="AU83" s="295">
        <v>1.5900207776688355</v>
      </c>
      <c r="AV83" s="295">
        <v>-0.16828258056050027</v>
      </c>
      <c r="AW83" s="296">
        <v>7</v>
      </c>
    </row>
    <row r="84" spans="1:49">
      <c r="A84" s="268" t="s">
        <v>354</v>
      </c>
      <c r="B84" s="269">
        <v>-2.3297418952120257</v>
      </c>
      <c r="C84" s="269">
        <v>-2.5343694858075905</v>
      </c>
      <c r="D84" s="206">
        <v>3</v>
      </c>
      <c r="P84" s="283" t="s">
        <v>353</v>
      </c>
      <c r="Q84" s="284">
        <v>-3.9924950647161506</v>
      </c>
      <c r="R84" s="284">
        <v>-1.8635103694499162</v>
      </c>
      <c r="S84" s="288">
        <v>7</v>
      </c>
      <c r="AE84" s="293" t="s">
        <v>318</v>
      </c>
      <c r="AF84" s="295">
        <v>1.5900207776688355</v>
      </c>
      <c r="AG84" s="295">
        <v>-0.16828258056050027</v>
      </c>
      <c r="AH84" s="296">
        <v>7</v>
      </c>
      <c r="AT84" s="293" t="s">
        <v>338</v>
      </c>
      <c r="AU84" s="295">
        <v>1.6056705170788306</v>
      </c>
      <c r="AV84" s="295">
        <v>-0.90518136094967316</v>
      </c>
      <c r="AW84" s="296">
        <v>7</v>
      </c>
    </row>
    <row r="85" spans="1:49">
      <c r="A85" s="268" t="s">
        <v>355</v>
      </c>
      <c r="B85" s="269">
        <v>-0.62558043335484814</v>
      </c>
      <c r="C85" s="269">
        <v>0.43587121206339352</v>
      </c>
      <c r="D85" s="206">
        <v>4</v>
      </c>
      <c r="P85" s="285" t="s">
        <v>354</v>
      </c>
      <c r="Q85" s="286">
        <v>-2.3297418952120257</v>
      </c>
      <c r="R85" s="286">
        <v>-2.5343694858075905</v>
      </c>
      <c r="S85" s="289">
        <v>7</v>
      </c>
      <c r="AE85" s="294" t="s">
        <v>351</v>
      </c>
      <c r="AF85" s="297">
        <v>2.8077601812150634</v>
      </c>
      <c r="AG85" s="297">
        <v>-0.78229151501002225</v>
      </c>
      <c r="AH85" s="298">
        <v>7</v>
      </c>
      <c r="AT85" s="294" t="s">
        <v>351</v>
      </c>
      <c r="AU85" s="297">
        <v>2.8077601812150634</v>
      </c>
      <c r="AV85" s="297">
        <v>-0.78229151501002225</v>
      </c>
      <c r="AW85" s="298">
        <v>7</v>
      </c>
    </row>
  </sheetData>
  <autoFilter ref="AT1:AW1" xr:uid="{6A5E8E84-3026-4719-AD84-69F9B498A398}">
    <sortState xmlns:xlrd2="http://schemas.microsoft.com/office/spreadsheetml/2017/richdata2" ref="AT2:AW85">
      <sortCondition ref="AW1"/>
    </sortState>
  </autoFilter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5560-166E-4D5F-A001-BDB1485B3E8B}">
  <sheetPr>
    <outlinePr summaryBelow="0" summaryRight="0"/>
  </sheetPr>
  <dimension ref="A1:L86"/>
  <sheetViews>
    <sheetView workbookViewId="0">
      <pane xSplit="1" topLeftCell="B1" activePane="topRight" state="frozen"/>
      <selection pane="topRight" activeCell="M18" sqref="M18"/>
    </sheetView>
  </sheetViews>
  <sheetFormatPr defaultColWidth="12.77734375" defaultRowHeight="15" customHeight="1"/>
  <cols>
    <col min="1" max="1" width="47.77734375" bestFit="1" customWidth="1"/>
    <col min="2" max="2" width="12.5546875" customWidth="1"/>
    <col min="3" max="3" width="11.77734375" customWidth="1"/>
    <col min="4" max="5" width="12.21875" customWidth="1"/>
    <col min="6" max="6" width="12.77734375" customWidth="1"/>
    <col min="7" max="7" width="11.77734375" customWidth="1"/>
    <col min="8" max="8" width="12.109375" customWidth="1"/>
    <col min="9" max="9" width="11.77734375" customWidth="1"/>
    <col min="10" max="10" width="16.77734375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2555</v>
      </c>
      <c r="L1" s="174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91">
        <v>3</v>
      </c>
      <c r="L2">
        <f>SUMXMY2(Таблица5[[#This Row],[X1]:[X9]],Таблица5[[#Totals],[X1]:[X9]])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91">
        <v>2</v>
      </c>
      <c r="L3">
        <f>SUMXMY2(Таблица5[[#This Row],[X1]:[X9]],Таблица5[[#Totals],[X1]:[X9]])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91">
        <v>4</v>
      </c>
      <c r="L4">
        <f>SUMXMY2(Таблица5[[#This Row],[X1]:[X9]],Таблица5[[#Totals],[X1]:[X9]])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91">
        <v>2</v>
      </c>
      <c r="L5">
        <f>SUMXMY2(Таблица5[[#This Row],[X1]:[X9]],Таблица5[[#Totals],[X1]:[X9]])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91">
        <v>1</v>
      </c>
      <c r="L6">
        <f>SUMXMY2(Таблица5[[#This Row],[X1]:[X9]],Таблица5[[#Totals],[X1]:[X9]])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91">
        <v>1</v>
      </c>
      <c r="L7">
        <f>SUMXMY2(Таблица5[[#This Row],[X1]:[X9]],Таблица5[[#Totals],[X1]:[X9]])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91">
        <v>3</v>
      </c>
      <c r="L8">
        <f>SUMXMY2(Таблица5[[#This Row],[X1]:[X9]],Таблица5[[#Totals],[X1]:[X9]])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91">
        <v>3</v>
      </c>
      <c r="L9">
        <f>SUMXMY2(Таблица5[[#This Row],[X1]:[X9]],Таблица5[[#Totals],[X1]:[X9]])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91">
        <v>3</v>
      </c>
      <c r="L10">
        <f>SUMXMY2(Таблица5[[#This Row],[X1]:[X9]],Таблица5[[#Totals],[X1]:[X9]])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91">
        <v>1</v>
      </c>
      <c r="L11">
        <f>SUMXMY2(Таблица5[[#This Row],[X1]:[X9]],Таблица5[[#Totals],[X1]:[X9]])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91">
        <v>6</v>
      </c>
      <c r="L12">
        <f>SUMXMY2(Таблица5[[#This Row],[X1]:[X9]],Таблица5[[#Totals],[X1]:[X9]])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91">
        <v>2</v>
      </c>
      <c r="L13">
        <f>SUMXMY2(Таблица5[[#This Row],[X1]:[X9]],Таблица5[[#Totals],[X1]:[X9]])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91">
        <v>2</v>
      </c>
      <c r="L14">
        <f>SUMXMY2(Таблица5[[#This Row],[X1]:[X9]],Таблица5[[#Totals],[X1]:[X9]])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91">
        <v>2</v>
      </c>
      <c r="L15">
        <f>SUMXMY2(Таблица5[[#This Row],[X1]:[X9]],Таблица5[[#Totals],[X1]:[X9]])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91">
        <v>3</v>
      </c>
      <c r="L16">
        <f>SUMXMY2(Таблица5[[#This Row],[X1]:[X9]],Таблица5[[#Totals],[X1]:[X9]])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91">
        <v>7</v>
      </c>
      <c r="L17">
        <f>SUMXMY2(Таблица5[[#This Row],[X1]:[X9]],Таблица5[[#Totals],[X1]:[X9]])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91">
        <v>3</v>
      </c>
      <c r="L18">
        <f>SUMXMY2(Таблица5[[#This Row],[X1]:[X9]],Таблица5[[#Totals],[X1]:[X9]])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91">
        <v>3</v>
      </c>
      <c r="L19">
        <f>SUMXMY2(Таблица5[[#This Row],[X1]:[X9]],Таблица5[[#Totals],[X1]:[X9]])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91">
        <v>5</v>
      </c>
      <c r="L20">
        <f>SUMXMY2(Таблица5[[#This Row],[X1]:[X9]],Таблица5[[#Totals],[X1]:[X9]])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91">
        <v>1</v>
      </c>
      <c r="L21">
        <f>SUMXMY2(Таблица5[[#This Row],[X1]:[X9]],Таблица5[[#Totals],[X1]:[X9]])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91">
        <v>3</v>
      </c>
      <c r="L22">
        <f>SUMXMY2(Таблица5[[#This Row],[X1]:[X9]],Таблица5[[#Totals],[X1]:[X9]])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91">
        <v>2</v>
      </c>
      <c r="L23">
        <f>SUMXMY2(Таблица5[[#This Row],[X1]:[X9]],Таблица5[[#Totals],[X1]:[X9]])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91">
        <v>2</v>
      </c>
      <c r="L24">
        <f>SUMXMY2(Таблица5[[#This Row],[X1]:[X9]],Таблица5[[#Totals],[X1]:[X9]])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91">
        <v>1</v>
      </c>
      <c r="L25">
        <f>SUMXMY2(Таблица5[[#This Row],[X1]:[X9]],Таблица5[[#Totals],[X1]:[X9]])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91">
        <v>3</v>
      </c>
      <c r="L26">
        <f>SUMXMY2(Таблица5[[#This Row],[X1]:[X9]],Таблица5[[#Totals],[X1]:[X9]])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91">
        <v>3</v>
      </c>
      <c r="L27">
        <f>SUMXMY2(Таблица5[[#This Row],[X1]:[X9]],Таблица5[[#Totals],[X1]:[X9]])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91">
        <v>1</v>
      </c>
      <c r="L28">
        <f>SUMXMY2(Таблица5[[#This Row],[X1]:[X9]],Таблица5[[#Totals],[X1]:[X9]])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91">
        <v>1</v>
      </c>
      <c r="L29">
        <f>SUMXMY2(Таблица5[[#This Row],[X1]:[X9]],Таблица5[[#Totals],[X1]:[X9]])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91">
        <v>1</v>
      </c>
      <c r="L30">
        <f>SUMXMY2(Таблица5[[#This Row],[X1]:[X9]],Таблица5[[#Totals],[X1]:[X9]])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91">
        <v>5</v>
      </c>
      <c r="L31">
        <f>SUMXMY2(Таблица5[[#This Row],[X1]:[X9]],Таблица5[[#Totals],[X1]:[X9]])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91">
        <v>1</v>
      </c>
      <c r="L32">
        <f>SUMXMY2(Таблица5[[#This Row],[X1]:[X9]],Таблица5[[#Totals],[X1]:[X9]])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91">
        <v>5</v>
      </c>
      <c r="L33">
        <f>SUMXMY2(Таблица5[[#This Row],[X1]:[X9]],Таблица5[[#Totals],[X1]:[X9]])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91">
        <v>4</v>
      </c>
      <c r="L34">
        <f>SUMXMY2(Таблица5[[#This Row],[X1]:[X9]],Таблица5[[#Totals],[X1]:[X9]])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91">
        <v>2</v>
      </c>
      <c r="L35">
        <f>SUMXMY2(Таблица5[[#This Row],[X1]:[X9]],Таблица5[[#Totals],[X1]:[X9]])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91">
        <v>2</v>
      </c>
      <c r="L36">
        <f>SUMXMY2(Таблица5[[#This Row],[X1]:[X9]],Таблица5[[#Totals],[X1]:[X9]])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91">
        <v>3</v>
      </c>
      <c r="L37">
        <f>SUMXMY2(Таблица5[[#This Row],[X1]:[X9]],Таблица5[[#Totals],[X1]:[X9]])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91">
        <v>2</v>
      </c>
      <c r="L38">
        <f>SUMXMY2(Таблица5[[#This Row],[X1]:[X9]],Таблица5[[#Totals],[X1]:[X9]])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91">
        <v>3</v>
      </c>
      <c r="L39">
        <f>SUMXMY2(Таблица5[[#This Row],[X1]:[X9]],Таблица5[[#Totals],[X1]:[X9]])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91">
        <v>3</v>
      </c>
      <c r="L40">
        <f>SUMXMY2(Таблица5[[#This Row],[X1]:[X9]],Таблица5[[#Totals],[X1]:[X9]])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91">
        <v>2</v>
      </c>
      <c r="L41">
        <f>SUMXMY2(Таблица5[[#This Row],[X1]:[X9]],Таблица5[[#Totals],[X1]:[X9]])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91">
        <v>3</v>
      </c>
      <c r="L42">
        <f>SUMXMY2(Таблица5[[#This Row],[X1]:[X9]],Таблица5[[#Totals],[X1]:[X9]])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91">
        <v>2</v>
      </c>
      <c r="L43">
        <f>SUMXMY2(Таблица5[[#This Row],[X1]:[X9]],Таблица5[[#Totals],[X1]:[X9]])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91">
        <v>2</v>
      </c>
      <c r="L44">
        <f>SUMXMY2(Таблица5[[#This Row],[X1]:[X9]],Таблица5[[#Totals],[X1]:[X9]])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91">
        <v>1</v>
      </c>
      <c r="L45">
        <f>SUMXMY2(Таблица5[[#This Row],[X1]:[X9]],Таблица5[[#Totals],[X1]:[X9]])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91">
        <v>2</v>
      </c>
      <c r="L46">
        <f>SUMXMY2(Таблица5[[#This Row],[X1]:[X9]],Таблица5[[#Totals],[X1]:[X9]])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91">
        <v>3</v>
      </c>
      <c r="L47">
        <f>SUMXMY2(Таблица5[[#This Row],[X1]:[X9]],Таблица5[[#Totals],[X1]:[X9]])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91">
        <v>2</v>
      </c>
      <c r="L48">
        <f>SUMXMY2(Таблица5[[#This Row],[X1]:[X9]],Таблица5[[#Totals],[X1]:[X9]])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91">
        <v>7</v>
      </c>
      <c r="L49">
        <f>SUMXMY2(Таблица5[[#This Row],[X1]:[X9]],Таблица5[[#Totals],[X1]:[X9]])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91">
        <v>2</v>
      </c>
      <c r="L50">
        <f>SUMXMY2(Таблица5[[#This Row],[X1]:[X9]],Таблица5[[#Totals],[X1]:[X9]])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91">
        <v>4</v>
      </c>
      <c r="L51">
        <f>SUMXMY2(Таблица5[[#This Row],[X1]:[X9]],Таблица5[[#Totals],[X1]:[X9]])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91">
        <v>2</v>
      </c>
      <c r="L52">
        <f>SUMXMY2(Таблица5[[#This Row],[X1]:[X9]],Таблица5[[#Totals],[X1]:[X9]])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91">
        <v>1</v>
      </c>
      <c r="L53">
        <f>SUMXMY2(Таблица5[[#This Row],[X1]:[X9]],Таблица5[[#Totals],[X1]:[X9]])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91">
        <v>3</v>
      </c>
      <c r="L54">
        <f>SUMXMY2(Таблица5[[#This Row],[X1]:[X9]],Таблица5[[#Totals],[X1]:[X9]])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91">
        <v>1</v>
      </c>
      <c r="L55">
        <f>SUMXMY2(Таблица5[[#This Row],[X1]:[X9]],Таблица5[[#Totals],[X1]:[X9]])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91">
        <v>4</v>
      </c>
      <c r="L56">
        <f>SUMXMY2(Таблица5[[#This Row],[X1]:[X9]],Таблица5[[#Totals],[X1]:[X9]])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91">
        <v>5</v>
      </c>
      <c r="L57">
        <f>SUMXMY2(Таблица5[[#This Row],[X1]:[X9]],Таблица5[[#Totals],[X1]:[X9]])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91">
        <v>1</v>
      </c>
      <c r="L58">
        <f>SUMXMY2(Таблица5[[#This Row],[X1]:[X9]],Таблица5[[#Totals],[X1]:[X9]])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91">
        <v>2</v>
      </c>
      <c r="L59">
        <f>SUMXMY2(Таблица5[[#This Row],[X1]:[X9]],Таблица5[[#Totals],[X1]:[X9]])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91">
        <v>3</v>
      </c>
      <c r="L60">
        <f>SUMXMY2(Таблица5[[#This Row],[X1]:[X9]],Таблица5[[#Totals],[X1]:[X9]])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91">
        <v>1</v>
      </c>
      <c r="L61">
        <f>SUMXMY2(Таблица5[[#This Row],[X1]:[X9]],Таблица5[[#Totals],[X1]:[X9]])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91">
        <v>2</v>
      </c>
      <c r="L62">
        <f>SUMXMY2(Таблица5[[#This Row],[X1]:[X9]],Таблица5[[#Totals],[X1]:[X9]])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91">
        <v>3</v>
      </c>
      <c r="L63">
        <f>SUMXMY2(Таблица5[[#This Row],[X1]:[X9]],Таблица5[[#Totals],[X1]:[X9]])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91">
        <v>6</v>
      </c>
      <c r="L64">
        <f>SUMXMY2(Таблица5[[#This Row],[X1]:[X9]],Таблица5[[#Totals],[X1]:[X9]])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91">
        <v>3</v>
      </c>
      <c r="L65">
        <f>SUMXMY2(Таблица5[[#This Row],[X1]:[X9]],Таблица5[[#Totals],[X1]:[X9]])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91">
        <v>5</v>
      </c>
      <c r="L66">
        <f>SUMXMY2(Таблица5[[#This Row],[X1]:[X9]],Таблица5[[#Totals],[X1]:[X9]])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91">
        <v>3</v>
      </c>
      <c r="L67">
        <f>SUMXMY2(Таблица5[[#This Row],[X1]:[X9]],Таблица5[[#Totals],[X1]:[X9]])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91">
        <v>1</v>
      </c>
      <c r="L68">
        <f>SUMXMY2(Таблица5[[#This Row],[X1]:[X9]],Таблица5[[#Totals],[X1]:[X9]])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91">
        <v>2</v>
      </c>
      <c r="L69">
        <f>SUMXMY2(Таблица5[[#This Row],[X1]:[X9]],Таблица5[[#Totals],[X1]:[X9]])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91">
        <v>3</v>
      </c>
      <c r="L70">
        <f>SUMXMY2(Таблица5[[#This Row],[X1]:[X9]],Таблица5[[#Totals],[X1]:[X9]])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91">
        <v>1</v>
      </c>
      <c r="L71">
        <f>SUMXMY2(Таблица5[[#This Row],[X1]:[X9]],Таблица5[[#Totals],[X1]:[X9]])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91">
        <v>2</v>
      </c>
      <c r="L72">
        <f>SUMXMY2(Таблица5[[#This Row],[X1]:[X9]],Таблица5[[#Totals],[X1]:[X9]])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91">
        <v>3</v>
      </c>
      <c r="L73">
        <f>SUMXMY2(Таблица5[[#This Row],[X1]:[X9]],Таблица5[[#Totals],[X1]:[X9]])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91">
        <v>2</v>
      </c>
      <c r="L74">
        <f>SUMXMY2(Таблица5[[#This Row],[X1]:[X9]],Таблица5[[#Totals],[X1]:[X9]])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91">
        <v>5</v>
      </c>
      <c r="L75">
        <f>SUMXMY2(Таблица5[[#This Row],[X1]:[X9]],Таблица5[[#Totals],[X1]:[X9]])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91">
        <v>3</v>
      </c>
      <c r="L76">
        <f>SUMXMY2(Таблица5[[#This Row],[X1]:[X9]],Таблица5[[#Totals],[X1]:[X9]])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91">
        <v>3</v>
      </c>
      <c r="L77">
        <f>SUMXMY2(Таблица5[[#This Row],[X1]:[X9]],Таблица5[[#Totals],[X1]:[X9]])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91">
        <v>3</v>
      </c>
      <c r="L78">
        <f>SUMXMY2(Таблица5[[#This Row],[X1]:[X9]],Таблица5[[#Totals],[X1]:[X9]])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91">
        <v>3</v>
      </c>
      <c r="L79">
        <f>SUMXMY2(Таблица5[[#This Row],[X1]:[X9]],Таблица5[[#Totals],[X1]:[X9]])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91">
        <v>3</v>
      </c>
      <c r="L80">
        <f>SUMXMY2(Таблица5[[#This Row],[X1]:[X9]],Таблица5[[#Totals],[X1]:[X9]])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91">
        <v>7</v>
      </c>
      <c r="L81">
        <f>SUMXMY2(Таблица5[[#This Row],[X1]:[X9]],Таблица5[[#Totals],[X1]:[X9]])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91">
        <v>3</v>
      </c>
      <c r="L82">
        <f>SUMXMY2(Таблица5[[#This Row],[X1]:[X9]],Таблица5[[#Totals],[X1]:[X9]])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91">
        <v>4</v>
      </c>
      <c r="L83">
        <f>SUMXMY2(Таблица5[[#This Row],[X1]:[X9]],Таблица5[[#Totals],[X1]:[X9]])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91">
        <v>4</v>
      </c>
      <c r="L84">
        <f>SUMXMY2(Таблица5[[#This Row],[X1]:[X9]],Таблица5[[#Totals],[X1]:[X9]])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91">
        <v>2</v>
      </c>
      <c r="L85">
        <f>SUMXMY2(Таблица5[[#This Row],[X1]:[X9]],Таблица5[[#Totals],[X1]:[X9]])</f>
        <v>1.9368550920811685</v>
      </c>
    </row>
    <row r="86" spans="1:12" ht="15" customHeight="1">
      <c r="A86" s="165"/>
      <c r="B86" s="181">
        <f>SUBTOTAL(101,Таблица5[X1])</f>
        <v>-4.9827866700438574E-16</v>
      </c>
      <c r="C86" s="181">
        <f>SUBTOTAL(101,Таблица5[X2])</f>
        <v>7.4130516540075553E-16</v>
      </c>
      <c r="D86" s="181">
        <f>SUBTOTAL(101,Таблица5[X3])</f>
        <v>-2.9077269692563624E-16</v>
      </c>
      <c r="E86" s="181">
        <f>SUBTOTAL(101,Таблица5[X4])</f>
        <v>-1.1895246692412391E-15</v>
      </c>
      <c r="F86" s="181">
        <f>SUBTOTAL(101,Таблица5[X5])</f>
        <v>-1.0659462730478438E-15</v>
      </c>
      <c r="G86" s="181">
        <f>SUBTOTAL(101,Таблица5[X6])</f>
        <v>-1.5662074811676317E-16</v>
      </c>
      <c r="H86" s="181">
        <f>SUBTOTAL(101,Таблица5[X7])</f>
        <v>2.9820722610839397E-17</v>
      </c>
      <c r="I86" s="181">
        <f>SUBTOTAL(101,Таблица5[X8])</f>
        <v>-1.0071308866242491E-15</v>
      </c>
      <c r="J86" s="181">
        <f>SUBTOTAL(101,Таблица5[X9])</f>
        <v>2.7887745023322384E-16</v>
      </c>
      <c r="K86" s="182"/>
      <c r="L86">
        <f>SUBTOTAL(109,Таблица5[MSW])</f>
        <v>747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7212C-6661-46B3-9EE0-005F54D6E5AD}">
  <sheetPr>
    <outlinePr summaryBelow="0" summaryRight="0"/>
  </sheetPr>
  <dimension ref="A1:J87"/>
  <sheetViews>
    <sheetView topLeftCell="E1" workbookViewId="0">
      <pane ySplit="1" topLeftCell="A2" activePane="bottomLeft" state="frozen"/>
      <selection pane="bottomLeft" activeCell="A2" sqref="A2"/>
    </sheetView>
  </sheetViews>
  <sheetFormatPr defaultColWidth="12.77734375" defaultRowHeight="15" customHeight="1"/>
  <cols>
    <col min="1" max="1" width="47.77734375" bestFit="1" customWidth="1"/>
    <col min="2" max="2" width="20.21875" customWidth="1"/>
    <col min="3" max="3" width="26.109375" customWidth="1"/>
    <col min="4" max="4" width="31.5546875" customWidth="1"/>
    <col min="5" max="5" width="32.5546875" customWidth="1"/>
    <col min="6" max="6" width="31.77734375" customWidth="1"/>
    <col min="7" max="7" width="33.44140625" customWidth="1"/>
    <col min="8" max="8" width="23.5546875" customWidth="1"/>
    <col min="9" max="9" width="26.44140625" customWidth="1"/>
    <col min="10" max="10" width="30.77734375" customWidth="1"/>
  </cols>
  <sheetData>
    <row r="1" spans="1:10" ht="15" customHeight="1">
      <c r="B1" s="240" t="s">
        <v>2532</v>
      </c>
      <c r="C1" s="240" t="s">
        <v>2533</v>
      </c>
      <c r="D1" s="240" t="s">
        <v>2534</v>
      </c>
      <c r="E1" s="240" t="s">
        <v>2535</v>
      </c>
      <c r="F1" s="240" t="s">
        <v>2536</v>
      </c>
      <c r="G1" s="240" t="s">
        <v>2537</v>
      </c>
      <c r="H1" s="240" t="s">
        <v>2538</v>
      </c>
      <c r="I1" s="240" t="s">
        <v>2539</v>
      </c>
      <c r="J1" s="240" t="s">
        <v>2540</v>
      </c>
    </row>
    <row r="2" spans="1:10" ht="69">
      <c r="A2" s="161" t="s">
        <v>239</v>
      </c>
      <c r="B2" s="161" t="s">
        <v>81</v>
      </c>
      <c r="C2" s="161" t="s">
        <v>82</v>
      </c>
      <c r="D2" s="161" t="s">
        <v>89</v>
      </c>
      <c r="E2" s="161" t="s">
        <v>2675</v>
      </c>
      <c r="F2" s="161" t="s">
        <v>2676</v>
      </c>
      <c r="G2" s="161" t="s">
        <v>2677</v>
      </c>
      <c r="H2" s="161" t="s">
        <v>2678</v>
      </c>
      <c r="I2" s="161" t="s">
        <v>2679</v>
      </c>
      <c r="J2" s="161" t="s">
        <v>2680</v>
      </c>
    </row>
    <row r="3" spans="1:10" ht="15" customHeight="1">
      <c r="A3" s="164" t="s">
        <v>270</v>
      </c>
      <c r="B3" s="228">
        <v>36431</v>
      </c>
      <c r="C3" s="241">
        <v>3.4</v>
      </c>
      <c r="D3" s="229">
        <v>12.2</v>
      </c>
      <c r="E3" s="230">
        <v>104.4</v>
      </c>
      <c r="F3" s="228">
        <v>45.75</v>
      </c>
      <c r="G3" s="231">
        <v>1041.5</v>
      </c>
      <c r="H3" s="232">
        <v>200</v>
      </c>
      <c r="I3" s="232">
        <v>79</v>
      </c>
      <c r="J3" s="228">
        <v>105.9</v>
      </c>
    </row>
    <row r="4" spans="1:10" ht="15" customHeight="1">
      <c r="A4" s="165" t="s">
        <v>271</v>
      </c>
      <c r="B4" s="228">
        <v>54055</v>
      </c>
      <c r="C4" s="241">
        <v>2.4</v>
      </c>
      <c r="D4" s="229">
        <v>14.8</v>
      </c>
      <c r="E4" s="230">
        <v>107.5</v>
      </c>
      <c r="F4" s="228">
        <v>56.91</v>
      </c>
      <c r="G4" s="231">
        <v>885.8</v>
      </c>
      <c r="H4" s="232">
        <v>37</v>
      </c>
      <c r="I4" s="232">
        <v>96</v>
      </c>
      <c r="J4" s="228">
        <v>152.80000000000001</v>
      </c>
    </row>
    <row r="5" spans="1:10" ht="15" customHeight="1">
      <c r="A5" s="165" t="s">
        <v>272</v>
      </c>
      <c r="B5" s="228">
        <v>55952</v>
      </c>
      <c r="C5" s="241">
        <v>5.5</v>
      </c>
      <c r="D5" s="229">
        <v>12.5</v>
      </c>
      <c r="E5" s="230">
        <v>108.8</v>
      </c>
      <c r="F5" s="228">
        <v>62.34</v>
      </c>
      <c r="G5" s="231">
        <v>1127.0999999999999</v>
      </c>
      <c r="H5" s="232">
        <v>30</v>
      </c>
      <c r="I5" s="232">
        <v>87</v>
      </c>
      <c r="J5" s="228">
        <v>79.900000000000006</v>
      </c>
    </row>
    <row r="6" spans="1:10" ht="15" customHeight="1">
      <c r="A6" s="165" t="s">
        <v>273</v>
      </c>
      <c r="B6" s="228">
        <v>36593</v>
      </c>
      <c r="C6" s="241">
        <v>4.4000000000000004</v>
      </c>
      <c r="D6" s="229">
        <v>18.899999999999999</v>
      </c>
      <c r="E6" s="230">
        <v>119</v>
      </c>
      <c r="F6" s="228">
        <v>61.34</v>
      </c>
      <c r="G6" s="231">
        <v>702.1</v>
      </c>
      <c r="H6" s="232">
        <v>85</v>
      </c>
      <c r="I6" s="232">
        <v>122</v>
      </c>
      <c r="J6" s="228">
        <v>95.2</v>
      </c>
    </row>
    <row r="7" spans="1:10" ht="15" customHeight="1">
      <c r="A7" s="165" t="s">
        <v>274</v>
      </c>
      <c r="B7" s="228">
        <v>47257</v>
      </c>
      <c r="C7" s="241">
        <v>3.6</v>
      </c>
      <c r="D7" s="229">
        <v>26.4</v>
      </c>
      <c r="E7" s="230">
        <v>140</v>
      </c>
      <c r="F7" s="228">
        <v>44.68</v>
      </c>
      <c r="G7" s="231">
        <v>766.2</v>
      </c>
      <c r="H7" s="232">
        <v>732</v>
      </c>
      <c r="I7" s="232">
        <v>94</v>
      </c>
      <c r="J7" s="228">
        <v>73.400000000000006</v>
      </c>
    </row>
    <row r="8" spans="1:10" ht="15" customHeight="1">
      <c r="A8" s="165" t="s">
        <v>275</v>
      </c>
      <c r="B8" s="228">
        <v>40927</v>
      </c>
      <c r="C8" s="241">
        <v>2.6</v>
      </c>
      <c r="D8" s="229">
        <v>24.9</v>
      </c>
      <c r="E8" s="230">
        <v>133.30000000000001</v>
      </c>
      <c r="F8" s="228">
        <v>40.4</v>
      </c>
      <c r="G8" s="231">
        <v>839.3</v>
      </c>
      <c r="H8" s="232">
        <v>331</v>
      </c>
      <c r="I8" s="232">
        <v>119</v>
      </c>
      <c r="J8" s="228">
        <v>54.7</v>
      </c>
    </row>
    <row r="9" spans="1:10" ht="15" customHeight="1">
      <c r="A9" s="165" t="s">
        <v>276</v>
      </c>
      <c r="B9" s="228">
        <v>38649</v>
      </c>
      <c r="C9" s="241">
        <v>2</v>
      </c>
      <c r="D9" s="229">
        <v>20.8</v>
      </c>
      <c r="E9" s="230">
        <v>119.6</v>
      </c>
      <c r="F9" s="228">
        <v>37.99</v>
      </c>
      <c r="G9" s="231">
        <v>1015.3</v>
      </c>
      <c r="H9" s="232">
        <v>394</v>
      </c>
      <c r="I9" s="232">
        <v>80</v>
      </c>
      <c r="J9" s="228">
        <v>139.19999999999999</v>
      </c>
    </row>
    <row r="10" spans="1:10" ht="15" customHeight="1">
      <c r="A10" s="165" t="s">
        <v>277</v>
      </c>
      <c r="B10" s="228">
        <v>35575</v>
      </c>
      <c r="C10" s="241">
        <v>2.9</v>
      </c>
      <c r="D10" s="229">
        <v>19.600000000000001</v>
      </c>
      <c r="E10" s="230">
        <v>115.6</v>
      </c>
      <c r="F10" s="228">
        <v>45.84</v>
      </c>
      <c r="G10" s="231">
        <v>650.5</v>
      </c>
      <c r="H10" s="232">
        <v>153</v>
      </c>
      <c r="I10" s="232">
        <v>86</v>
      </c>
      <c r="J10" s="228">
        <v>99.1</v>
      </c>
    </row>
    <row r="11" spans="1:10" ht="15" customHeight="1">
      <c r="A11" s="165" t="s">
        <v>278</v>
      </c>
      <c r="B11" s="228">
        <v>42708</v>
      </c>
      <c r="C11" s="241">
        <v>3.1</v>
      </c>
      <c r="D11" s="229">
        <v>12.6</v>
      </c>
      <c r="E11" s="230">
        <v>131.9</v>
      </c>
      <c r="F11" s="228">
        <v>36.43</v>
      </c>
      <c r="G11" s="231">
        <v>1066.5</v>
      </c>
      <c r="H11" s="232">
        <v>111</v>
      </c>
      <c r="I11" s="232">
        <v>72</v>
      </c>
      <c r="J11" s="228">
        <v>114.7</v>
      </c>
    </row>
    <row r="12" spans="1:10" ht="15" customHeight="1">
      <c r="A12" s="165" t="s">
        <v>279</v>
      </c>
      <c r="B12" s="228">
        <v>45087</v>
      </c>
      <c r="C12" s="241">
        <v>3.2</v>
      </c>
      <c r="D12" s="229">
        <v>22.4</v>
      </c>
      <c r="E12" s="230">
        <v>128.9</v>
      </c>
      <c r="F12" s="228">
        <v>56.1</v>
      </c>
      <c r="G12" s="231">
        <v>590.6</v>
      </c>
      <c r="H12" s="232">
        <v>429</v>
      </c>
      <c r="I12" s="232">
        <v>104</v>
      </c>
      <c r="J12" s="228">
        <v>112.2</v>
      </c>
    </row>
    <row r="13" spans="1:10" ht="15" customHeight="1">
      <c r="A13" s="165" t="s">
        <v>280</v>
      </c>
      <c r="B13" s="228">
        <v>117103</v>
      </c>
      <c r="C13" s="241">
        <v>1.8</v>
      </c>
      <c r="D13" s="229">
        <v>35.200000000000003</v>
      </c>
      <c r="E13" s="230">
        <v>173.2</v>
      </c>
      <c r="F13" s="228">
        <v>75.25</v>
      </c>
      <c r="G13" s="231">
        <v>693.6</v>
      </c>
      <c r="H13" s="232">
        <v>2522</v>
      </c>
      <c r="I13" s="232">
        <v>78</v>
      </c>
      <c r="J13" s="228">
        <v>61.8</v>
      </c>
    </row>
    <row r="14" spans="1:10" ht="15" customHeight="1">
      <c r="A14" s="165" t="s">
        <v>281</v>
      </c>
      <c r="B14" s="228">
        <v>43479</v>
      </c>
      <c r="C14" s="241">
        <v>3.7</v>
      </c>
      <c r="D14" s="229">
        <v>7.5</v>
      </c>
      <c r="E14" s="230">
        <v>85.8</v>
      </c>
      <c r="F14" s="228">
        <v>35.049999999999997</v>
      </c>
      <c r="G14" s="231">
        <v>708.3</v>
      </c>
      <c r="H14" s="232">
        <v>71</v>
      </c>
      <c r="I14" s="232">
        <v>86</v>
      </c>
      <c r="J14" s="228">
        <v>148.69999999999999</v>
      </c>
    </row>
    <row r="15" spans="1:10" ht="15" customHeight="1">
      <c r="A15" s="165" t="s">
        <v>282</v>
      </c>
      <c r="B15" s="228">
        <v>42758</v>
      </c>
      <c r="C15" s="241">
        <v>6.9</v>
      </c>
      <c r="D15" s="229">
        <v>6.2</v>
      </c>
      <c r="E15" s="230">
        <v>104.7</v>
      </c>
      <c r="F15" s="228">
        <v>52.22</v>
      </c>
      <c r="G15" s="231">
        <v>808.5</v>
      </c>
      <c r="H15" s="232">
        <v>35</v>
      </c>
      <c r="I15" s="232">
        <v>81</v>
      </c>
      <c r="J15" s="228">
        <v>98.3</v>
      </c>
    </row>
    <row r="16" spans="1:10" ht="15" customHeight="1">
      <c r="A16" s="165" t="s">
        <v>283</v>
      </c>
      <c r="B16" s="228">
        <v>41108</v>
      </c>
      <c r="C16" s="241">
        <v>3.1</v>
      </c>
      <c r="D16" s="229">
        <v>9.9</v>
      </c>
      <c r="E16" s="230">
        <v>108.3</v>
      </c>
      <c r="F16" s="228">
        <v>47.67</v>
      </c>
      <c r="G16" s="231">
        <v>778.2</v>
      </c>
      <c r="H16" s="232">
        <v>338</v>
      </c>
      <c r="I16" s="232">
        <v>119</v>
      </c>
      <c r="J16" s="228">
        <v>116</v>
      </c>
    </row>
    <row r="17" spans="1:10" ht="15" customHeight="1">
      <c r="A17" s="165" t="s">
        <v>284</v>
      </c>
      <c r="B17" s="228">
        <v>42483</v>
      </c>
      <c r="C17" s="241">
        <v>3.7</v>
      </c>
      <c r="D17" s="229">
        <v>17.899999999999999</v>
      </c>
      <c r="E17" s="230">
        <v>114.6</v>
      </c>
      <c r="F17" s="228">
        <v>49.47</v>
      </c>
      <c r="G17" s="231">
        <v>965.1</v>
      </c>
      <c r="H17" s="232">
        <v>33</v>
      </c>
      <c r="I17" s="232">
        <v>109</v>
      </c>
      <c r="J17" s="228">
        <v>98.6</v>
      </c>
    </row>
    <row r="18" spans="1:10" ht="15" customHeight="1">
      <c r="A18" s="165" t="s">
        <v>285</v>
      </c>
      <c r="B18" s="228">
        <v>38948</v>
      </c>
      <c r="C18" s="241">
        <v>9.1</v>
      </c>
      <c r="D18" s="229">
        <v>31.1</v>
      </c>
      <c r="E18" s="230">
        <v>139</v>
      </c>
      <c r="F18" s="228">
        <v>45.8</v>
      </c>
      <c r="G18" s="231">
        <v>449.4</v>
      </c>
      <c r="H18" s="232">
        <v>666</v>
      </c>
      <c r="I18" s="232">
        <v>153</v>
      </c>
      <c r="J18" s="228">
        <v>70.7</v>
      </c>
    </row>
    <row r="19" spans="1:10" ht="15" customHeight="1">
      <c r="A19" s="165" t="s">
        <v>286</v>
      </c>
      <c r="B19" s="228">
        <v>43543</v>
      </c>
      <c r="C19" s="241">
        <v>3</v>
      </c>
      <c r="D19" s="229">
        <v>21</v>
      </c>
      <c r="E19" s="230">
        <v>125.6</v>
      </c>
      <c r="F19" s="228">
        <v>50.15</v>
      </c>
      <c r="G19" s="231">
        <v>781.1</v>
      </c>
      <c r="H19" s="232">
        <v>519</v>
      </c>
      <c r="I19" s="232">
        <v>106</v>
      </c>
      <c r="J19" s="228">
        <v>96.9</v>
      </c>
    </row>
    <row r="20" spans="1:10" ht="15" customHeight="1">
      <c r="A20" s="165" t="s">
        <v>287</v>
      </c>
      <c r="B20" s="233">
        <v>67747</v>
      </c>
      <c r="C20" s="241">
        <v>2.4</v>
      </c>
      <c r="D20" s="229">
        <v>10</v>
      </c>
      <c r="E20" s="230">
        <v>151.9</v>
      </c>
      <c r="F20" s="228">
        <v>40.5</v>
      </c>
      <c r="G20" s="231">
        <v>1042.7</v>
      </c>
      <c r="H20" s="232">
        <v>365</v>
      </c>
      <c r="I20" s="232">
        <v>114</v>
      </c>
      <c r="J20" s="228">
        <v>108.2</v>
      </c>
    </row>
    <row r="21" spans="1:10" ht="15" customHeight="1">
      <c r="A21" s="165" t="s">
        <v>288</v>
      </c>
      <c r="B21" s="228">
        <v>87054</v>
      </c>
      <c r="C21" s="241">
        <v>2.1</v>
      </c>
      <c r="D21" s="229">
        <v>22.4</v>
      </c>
      <c r="E21" s="230">
        <v>86.8</v>
      </c>
      <c r="F21" s="228">
        <v>63.02</v>
      </c>
      <c r="G21" s="231">
        <v>873.4</v>
      </c>
      <c r="H21" s="232">
        <v>4.4000000000000004</v>
      </c>
      <c r="I21" s="232">
        <v>153</v>
      </c>
      <c r="J21" s="228">
        <v>130.19999999999999</v>
      </c>
    </row>
    <row r="22" spans="1:10" ht="15" customHeight="1">
      <c r="A22" s="165" t="s">
        <v>289</v>
      </c>
      <c r="B22" s="228">
        <v>25619</v>
      </c>
      <c r="C22" s="241">
        <v>7.4</v>
      </c>
      <c r="D22" s="229">
        <v>36.700000000000003</v>
      </c>
      <c r="E22" s="230">
        <v>157.1</v>
      </c>
      <c r="F22" s="228">
        <v>44.58</v>
      </c>
      <c r="G22" s="231">
        <v>901.6</v>
      </c>
      <c r="H22" s="232">
        <v>365</v>
      </c>
      <c r="I22" s="232">
        <v>56</v>
      </c>
      <c r="J22" s="228">
        <v>88.2</v>
      </c>
    </row>
    <row r="23" spans="1:10" ht="15" customHeight="1">
      <c r="A23" s="165" t="s">
        <v>290</v>
      </c>
      <c r="B23" s="228">
        <v>39408</v>
      </c>
      <c r="C23" s="241">
        <v>3.4</v>
      </c>
      <c r="D23" s="229">
        <v>17.399999999999999</v>
      </c>
      <c r="E23" s="230">
        <v>112.1</v>
      </c>
      <c r="F23" s="228">
        <v>43.74</v>
      </c>
      <c r="G23" s="231">
        <v>780.5</v>
      </c>
      <c r="H23" s="232">
        <v>183</v>
      </c>
      <c r="I23" s="232">
        <v>89</v>
      </c>
      <c r="J23" s="228">
        <v>97.9</v>
      </c>
    </row>
    <row r="24" spans="1:10" ht="15" customHeight="1">
      <c r="A24" s="165" t="s">
        <v>291</v>
      </c>
      <c r="B24" s="228">
        <v>38277</v>
      </c>
      <c r="C24" s="241">
        <v>3.2</v>
      </c>
      <c r="D24" s="229">
        <v>13.3</v>
      </c>
      <c r="E24" s="230">
        <v>102.4</v>
      </c>
      <c r="F24" s="228">
        <v>54.23</v>
      </c>
      <c r="G24" s="231">
        <v>869.2</v>
      </c>
      <c r="H24" s="232">
        <v>116</v>
      </c>
      <c r="I24" s="232">
        <v>90</v>
      </c>
      <c r="J24" s="228">
        <v>139.4</v>
      </c>
    </row>
    <row r="25" spans="1:10" ht="15" customHeight="1">
      <c r="A25" s="165" t="s">
        <v>292</v>
      </c>
      <c r="B25" s="228">
        <v>43668</v>
      </c>
      <c r="C25" s="241">
        <v>3.1</v>
      </c>
      <c r="D25" s="229">
        <v>18.8</v>
      </c>
      <c r="E25" s="230">
        <v>99.8</v>
      </c>
      <c r="F25" s="228">
        <v>40</v>
      </c>
      <c r="G25" s="231">
        <v>821</v>
      </c>
      <c r="H25" s="232">
        <v>139</v>
      </c>
      <c r="I25" s="232">
        <v>150</v>
      </c>
      <c r="J25" s="228">
        <v>140.4</v>
      </c>
    </row>
    <row r="26" spans="1:10" ht="15" customHeight="1">
      <c r="A26" s="165" t="s">
        <v>293</v>
      </c>
      <c r="B26" s="228">
        <v>54627</v>
      </c>
      <c r="C26" s="241">
        <v>2</v>
      </c>
      <c r="D26" s="229">
        <v>23.1</v>
      </c>
      <c r="E26" s="230">
        <v>137.6</v>
      </c>
      <c r="F26" s="228">
        <v>45.6</v>
      </c>
      <c r="G26" s="231">
        <v>683.7</v>
      </c>
      <c r="H26" s="232">
        <v>481</v>
      </c>
      <c r="I26" s="232">
        <v>93</v>
      </c>
      <c r="J26" s="228">
        <v>105.6</v>
      </c>
    </row>
    <row r="27" spans="1:10" ht="15" customHeight="1">
      <c r="A27" s="165" t="s">
        <v>294</v>
      </c>
      <c r="B27" s="228">
        <v>50380</v>
      </c>
      <c r="C27" s="241">
        <v>2</v>
      </c>
      <c r="D27" s="229">
        <v>19</v>
      </c>
      <c r="E27" s="230">
        <v>129.30000000000001</v>
      </c>
      <c r="F27" s="228">
        <v>49.92</v>
      </c>
      <c r="G27" s="231">
        <v>844.1</v>
      </c>
      <c r="H27" s="232">
        <v>12</v>
      </c>
      <c r="I27" s="232">
        <v>99</v>
      </c>
      <c r="J27" s="228">
        <v>104</v>
      </c>
    </row>
    <row r="28" spans="1:10" ht="15" customHeight="1">
      <c r="A28" s="165" t="s">
        <v>295</v>
      </c>
      <c r="B28" s="228">
        <v>34812</v>
      </c>
      <c r="C28" s="241">
        <v>4.7</v>
      </c>
      <c r="D28" s="229">
        <v>11.4</v>
      </c>
      <c r="E28" s="230">
        <v>112.4</v>
      </c>
      <c r="F28" s="228">
        <v>31.67</v>
      </c>
      <c r="G28" s="231">
        <v>1144.9000000000001</v>
      </c>
      <c r="H28" s="232">
        <v>137</v>
      </c>
      <c r="I28" s="232">
        <v>81</v>
      </c>
      <c r="J28" s="228">
        <v>107.6</v>
      </c>
    </row>
    <row r="29" spans="1:10" ht="15" customHeight="1">
      <c r="A29" s="165" t="s">
        <v>296</v>
      </c>
      <c r="B29" s="228">
        <v>43719</v>
      </c>
      <c r="C29" s="241">
        <v>2.4</v>
      </c>
      <c r="D29" s="229">
        <v>36.6</v>
      </c>
      <c r="E29" s="230">
        <v>125</v>
      </c>
      <c r="F29" s="228">
        <v>53.52</v>
      </c>
      <c r="G29" s="231">
        <v>595.5</v>
      </c>
      <c r="H29" s="232">
        <v>384</v>
      </c>
      <c r="I29" s="232">
        <v>114</v>
      </c>
      <c r="J29" s="228">
        <v>97.4</v>
      </c>
    </row>
    <row r="30" spans="1:10" ht="15" customHeight="1">
      <c r="A30" s="165" t="s">
        <v>297</v>
      </c>
      <c r="B30" s="228">
        <v>45989</v>
      </c>
      <c r="C30" s="241">
        <v>2.8</v>
      </c>
      <c r="D30" s="229">
        <v>22.1</v>
      </c>
      <c r="E30" s="230">
        <v>181.7</v>
      </c>
      <c r="F30" s="228">
        <v>36.380000000000003</v>
      </c>
      <c r="G30" s="231">
        <v>693.4</v>
      </c>
      <c r="H30" s="232">
        <v>222</v>
      </c>
      <c r="I30" s="232">
        <v>77</v>
      </c>
      <c r="J30" s="228">
        <v>90.8</v>
      </c>
    </row>
    <row r="31" spans="1:10" ht="15" customHeight="1">
      <c r="A31" s="165" t="s">
        <v>298</v>
      </c>
      <c r="B31" s="228">
        <v>45458</v>
      </c>
      <c r="C31" s="241">
        <v>2.9</v>
      </c>
      <c r="D31" s="229">
        <v>27.1</v>
      </c>
      <c r="E31" s="230">
        <v>122.3</v>
      </c>
      <c r="F31" s="228">
        <v>40.22</v>
      </c>
      <c r="G31" s="231">
        <v>646.70000000000005</v>
      </c>
      <c r="H31" s="232">
        <v>567</v>
      </c>
      <c r="I31" s="232">
        <v>113</v>
      </c>
      <c r="J31" s="228">
        <v>106.9</v>
      </c>
    </row>
    <row r="32" spans="1:10" ht="15" customHeight="1">
      <c r="A32" s="165" t="s">
        <v>299</v>
      </c>
      <c r="B32" s="228">
        <v>111157</v>
      </c>
      <c r="C32" s="241">
        <v>3.4</v>
      </c>
      <c r="D32" s="229">
        <v>29.2</v>
      </c>
      <c r="E32" s="230">
        <v>102.8</v>
      </c>
      <c r="F32" s="228">
        <v>62.75</v>
      </c>
      <c r="G32" s="231">
        <v>716.8</v>
      </c>
      <c r="H32" s="232">
        <v>5.6</v>
      </c>
      <c r="I32" s="232">
        <v>111</v>
      </c>
      <c r="J32" s="228">
        <v>132.19999999999999</v>
      </c>
    </row>
    <row r="33" spans="1:10" ht="15" customHeight="1">
      <c r="A33" s="165" t="s">
        <v>300</v>
      </c>
      <c r="B33" s="228">
        <v>64870</v>
      </c>
      <c r="C33" s="241">
        <v>2.6</v>
      </c>
      <c r="D33" s="229">
        <v>32</v>
      </c>
      <c r="E33" s="230">
        <v>156.1</v>
      </c>
      <c r="F33" s="228">
        <v>44.7</v>
      </c>
      <c r="G33" s="231">
        <v>701</v>
      </c>
      <c r="H33" s="232">
        <v>849</v>
      </c>
      <c r="I33" s="232">
        <v>105</v>
      </c>
      <c r="J33" s="228">
        <v>45.9</v>
      </c>
    </row>
    <row r="34" spans="1:10" ht="13.8">
      <c r="A34" s="165" t="s">
        <v>301</v>
      </c>
      <c r="B34" s="228">
        <v>75786</v>
      </c>
      <c r="C34" s="241">
        <v>3.4</v>
      </c>
      <c r="D34" s="229">
        <v>23.6</v>
      </c>
      <c r="E34" s="230">
        <v>97.3</v>
      </c>
      <c r="F34" s="228">
        <v>56.58</v>
      </c>
      <c r="G34" s="231">
        <v>922.7</v>
      </c>
      <c r="H34" s="232">
        <v>24</v>
      </c>
      <c r="I34" s="232">
        <v>119</v>
      </c>
      <c r="J34" s="228">
        <v>96</v>
      </c>
    </row>
    <row r="35" spans="1:10" ht="13.8">
      <c r="A35" s="165" t="s">
        <v>302</v>
      </c>
      <c r="B35" s="228">
        <v>128204</v>
      </c>
      <c r="C35" s="241">
        <v>6.3</v>
      </c>
      <c r="D35" s="229">
        <v>10.1</v>
      </c>
      <c r="E35" s="230">
        <v>153</v>
      </c>
      <c r="F35" s="228">
        <v>52.81</v>
      </c>
      <c r="G35" s="231">
        <v>1297.7</v>
      </c>
      <c r="H35" s="232">
        <v>1.9</v>
      </c>
      <c r="I35" s="232">
        <v>95</v>
      </c>
      <c r="J35" s="228">
        <v>33.5</v>
      </c>
    </row>
    <row r="36" spans="1:10" ht="13.8">
      <c r="A36" s="165" t="s">
        <v>304</v>
      </c>
      <c r="B36" s="228">
        <v>50601</v>
      </c>
      <c r="C36" s="241">
        <v>1.9</v>
      </c>
      <c r="D36" s="229">
        <v>19.899999999999999</v>
      </c>
      <c r="E36" s="230">
        <v>109.1</v>
      </c>
      <c r="F36" s="228">
        <v>50.35</v>
      </c>
      <c r="G36" s="231">
        <v>1012.6</v>
      </c>
      <c r="H36" s="232">
        <v>315</v>
      </c>
      <c r="I36" s="232">
        <v>103</v>
      </c>
      <c r="J36" s="228">
        <v>152</v>
      </c>
    </row>
    <row r="37" spans="1:10" ht="13.8">
      <c r="A37" s="165" t="s">
        <v>305</v>
      </c>
      <c r="B37" s="228">
        <v>38903</v>
      </c>
      <c r="C37" s="241">
        <v>2.2999999999999998</v>
      </c>
      <c r="D37" s="229">
        <v>9.6</v>
      </c>
      <c r="E37" s="230">
        <v>116.7</v>
      </c>
      <c r="F37" s="228">
        <v>45.88</v>
      </c>
      <c r="G37" s="231">
        <v>795.3</v>
      </c>
      <c r="H37" s="232">
        <v>201</v>
      </c>
      <c r="I37" s="232">
        <v>92</v>
      </c>
      <c r="J37" s="228">
        <v>116.8</v>
      </c>
    </row>
    <row r="38" spans="1:10" ht="13.8">
      <c r="A38" s="165" t="s">
        <v>306</v>
      </c>
      <c r="B38" s="228">
        <v>49936</v>
      </c>
      <c r="C38" s="241">
        <v>3.4</v>
      </c>
      <c r="D38" s="229">
        <v>21</v>
      </c>
      <c r="E38" s="230">
        <v>111.5</v>
      </c>
      <c r="F38" s="228">
        <v>58.89</v>
      </c>
      <c r="G38" s="231">
        <v>810.4</v>
      </c>
      <c r="H38" s="232">
        <v>113</v>
      </c>
      <c r="I38" s="232">
        <v>86</v>
      </c>
      <c r="J38" s="228">
        <v>95.3</v>
      </c>
    </row>
    <row r="39" spans="1:10" ht="13.8">
      <c r="A39" s="165" t="s">
        <v>307</v>
      </c>
      <c r="B39" s="228">
        <v>40804</v>
      </c>
      <c r="C39" s="241">
        <v>3.6</v>
      </c>
      <c r="D39" s="229">
        <v>9.1999999999999993</v>
      </c>
      <c r="E39" s="230">
        <v>121.6</v>
      </c>
      <c r="F39" s="228">
        <v>52.34</v>
      </c>
      <c r="G39" s="231">
        <v>802.9</v>
      </c>
      <c r="H39" s="232">
        <v>100</v>
      </c>
      <c r="I39" s="232">
        <v>123</v>
      </c>
      <c r="J39" s="228">
        <v>150.80000000000001</v>
      </c>
    </row>
    <row r="40" spans="1:10" ht="13.8">
      <c r="A40" s="165" t="s">
        <v>308</v>
      </c>
      <c r="B40" s="228">
        <v>36756</v>
      </c>
      <c r="C40" s="241">
        <v>2.6</v>
      </c>
      <c r="D40" s="229">
        <v>24.9</v>
      </c>
      <c r="E40" s="230">
        <v>131.19999999999999</v>
      </c>
      <c r="F40" s="228">
        <v>47.43</v>
      </c>
      <c r="G40" s="231">
        <v>934.6</v>
      </c>
      <c r="H40" s="232">
        <v>165</v>
      </c>
      <c r="I40" s="232">
        <v>106</v>
      </c>
      <c r="J40" s="228">
        <v>73.3</v>
      </c>
    </row>
    <row r="41" spans="1:10" ht="13.8">
      <c r="A41" s="165" t="s">
        <v>309</v>
      </c>
      <c r="B41" s="228">
        <v>43730</v>
      </c>
      <c r="C41" s="241">
        <v>3.3</v>
      </c>
      <c r="D41" s="229">
        <v>20.3</v>
      </c>
      <c r="E41" s="230">
        <v>116.3</v>
      </c>
      <c r="F41" s="228">
        <v>46.31</v>
      </c>
      <c r="G41" s="231">
        <v>1146.2</v>
      </c>
      <c r="H41" s="232">
        <v>409</v>
      </c>
      <c r="I41" s="232">
        <v>97</v>
      </c>
      <c r="J41" s="228">
        <v>94.9</v>
      </c>
    </row>
    <row r="42" spans="1:10" ht="13.8">
      <c r="A42" s="165" t="s">
        <v>310</v>
      </c>
      <c r="B42" s="228">
        <v>36429</v>
      </c>
      <c r="C42" s="241">
        <v>2.9</v>
      </c>
      <c r="D42" s="229">
        <v>17.7</v>
      </c>
      <c r="E42" s="230">
        <v>121.8</v>
      </c>
      <c r="F42" s="228">
        <v>47.33</v>
      </c>
      <c r="G42" s="231">
        <v>763.5</v>
      </c>
      <c r="H42" s="232">
        <v>279</v>
      </c>
      <c r="I42" s="232">
        <v>114</v>
      </c>
      <c r="J42" s="228">
        <v>125.3</v>
      </c>
    </row>
    <row r="43" spans="1:10" ht="13.8">
      <c r="A43" s="165" t="s">
        <v>311</v>
      </c>
      <c r="B43" s="228">
        <v>45639</v>
      </c>
      <c r="C43" s="241">
        <v>2.8</v>
      </c>
      <c r="D43" s="229">
        <v>15.4</v>
      </c>
      <c r="E43" s="230">
        <v>132</v>
      </c>
      <c r="F43" s="228">
        <v>49.64</v>
      </c>
      <c r="G43" s="231">
        <v>921.5</v>
      </c>
      <c r="H43" s="232">
        <v>147</v>
      </c>
      <c r="I43" s="232">
        <v>86</v>
      </c>
      <c r="J43" s="228">
        <v>82.2</v>
      </c>
    </row>
    <row r="44" spans="1:10" ht="13.8">
      <c r="A44" s="165" t="s">
        <v>312</v>
      </c>
      <c r="B44" s="228">
        <v>54494</v>
      </c>
      <c r="C44" s="241">
        <v>2.6</v>
      </c>
      <c r="D44" s="229">
        <v>7.1</v>
      </c>
      <c r="E44" s="230">
        <v>108.8</v>
      </c>
      <c r="F44" s="228">
        <v>53.54</v>
      </c>
      <c r="G44" s="231">
        <v>888.1</v>
      </c>
      <c r="H44" s="232">
        <v>94</v>
      </c>
      <c r="I44" s="232">
        <v>85</v>
      </c>
      <c r="J44" s="228">
        <v>127.1</v>
      </c>
    </row>
    <row r="45" spans="1:10" ht="13.8">
      <c r="A45" s="165" t="s">
        <v>313</v>
      </c>
      <c r="B45" s="228">
        <v>39898</v>
      </c>
      <c r="C45" s="241">
        <v>2.9</v>
      </c>
      <c r="D45" s="229">
        <v>21</v>
      </c>
      <c r="E45" s="230">
        <v>107.3</v>
      </c>
      <c r="F45" s="228">
        <v>34.5</v>
      </c>
      <c r="G45" s="231">
        <v>755.1</v>
      </c>
      <c r="H45" s="232">
        <v>313</v>
      </c>
      <c r="I45" s="232">
        <v>144</v>
      </c>
      <c r="J45" s="228">
        <v>117.5</v>
      </c>
    </row>
    <row r="46" spans="1:10" ht="13.8">
      <c r="A46" s="165" t="s">
        <v>314</v>
      </c>
      <c r="B46" s="228">
        <v>42684</v>
      </c>
      <c r="C46" s="241">
        <v>4</v>
      </c>
      <c r="D46" s="229">
        <v>33.6</v>
      </c>
      <c r="E46" s="230">
        <v>157.1</v>
      </c>
      <c r="F46" s="228">
        <v>36.840000000000003</v>
      </c>
      <c r="G46" s="231">
        <v>620.79999999999995</v>
      </c>
      <c r="H46" s="232">
        <v>579</v>
      </c>
      <c r="I46" s="232">
        <v>79</v>
      </c>
      <c r="J46" s="228">
        <v>87.9</v>
      </c>
    </row>
    <row r="47" spans="1:10" ht="13.8">
      <c r="A47" s="165" t="s">
        <v>315</v>
      </c>
      <c r="B47" s="228">
        <v>34817</v>
      </c>
      <c r="C47" s="241">
        <v>8.9</v>
      </c>
      <c r="D47" s="229">
        <v>13.6</v>
      </c>
      <c r="E47" s="230">
        <v>133.69999999999999</v>
      </c>
      <c r="F47" s="228">
        <v>45.74</v>
      </c>
      <c r="G47" s="231">
        <v>921.1</v>
      </c>
      <c r="H47" s="232">
        <v>50</v>
      </c>
      <c r="I47" s="232">
        <v>74</v>
      </c>
      <c r="J47" s="228">
        <v>159.4</v>
      </c>
    </row>
    <row r="48" spans="1:10" ht="13.8">
      <c r="A48" s="165" t="s">
        <v>316</v>
      </c>
      <c r="B48" s="228">
        <v>40022</v>
      </c>
      <c r="C48" s="241">
        <v>2.2999999999999998</v>
      </c>
      <c r="D48" s="229">
        <v>18.8</v>
      </c>
      <c r="E48" s="230">
        <v>135.5</v>
      </c>
      <c r="F48" s="228">
        <v>44.37</v>
      </c>
      <c r="G48" s="231">
        <v>1022.5</v>
      </c>
      <c r="H48" s="232">
        <v>325</v>
      </c>
      <c r="I48" s="232">
        <v>98</v>
      </c>
      <c r="J48" s="228">
        <v>88.8</v>
      </c>
    </row>
    <row r="49" spans="1:10" ht="13.8">
      <c r="A49" s="165" t="s">
        <v>317</v>
      </c>
      <c r="B49" s="228">
        <v>38412</v>
      </c>
      <c r="C49" s="241">
        <v>5.7</v>
      </c>
      <c r="D49" s="229">
        <v>12.7</v>
      </c>
      <c r="E49" s="230">
        <v>123.5</v>
      </c>
      <c r="F49" s="228">
        <v>43.82</v>
      </c>
      <c r="G49" s="231">
        <v>722.5</v>
      </c>
      <c r="H49" s="232">
        <v>27</v>
      </c>
      <c r="I49" s="232">
        <v>127</v>
      </c>
      <c r="J49" s="228">
        <v>110.2</v>
      </c>
    </row>
    <row r="50" spans="1:10" ht="13.8">
      <c r="A50" s="165" t="s">
        <v>318</v>
      </c>
      <c r="B50" s="228">
        <v>39686</v>
      </c>
      <c r="C50" s="241">
        <v>11.9</v>
      </c>
      <c r="D50" s="229">
        <v>18.2</v>
      </c>
      <c r="E50" s="230">
        <v>156.19999999999999</v>
      </c>
      <c r="F50" s="228">
        <v>40.119999999999997</v>
      </c>
      <c r="G50" s="231">
        <v>794.6</v>
      </c>
      <c r="H50" s="232">
        <v>477</v>
      </c>
      <c r="I50" s="232">
        <v>97</v>
      </c>
      <c r="J50" s="228">
        <v>52.1</v>
      </c>
    </row>
    <row r="51" spans="1:10" ht="13.8">
      <c r="A51" s="165" t="s">
        <v>319</v>
      </c>
      <c r="B51" s="228">
        <v>24414</v>
      </c>
      <c r="C51" s="241">
        <v>27.9</v>
      </c>
      <c r="D51" s="229">
        <v>22</v>
      </c>
      <c r="E51" s="230">
        <v>225.6</v>
      </c>
      <c r="F51" s="228">
        <v>47.99</v>
      </c>
      <c r="G51" s="231">
        <v>522</v>
      </c>
      <c r="H51" s="232">
        <v>1024</v>
      </c>
      <c r="I51" s="232">
        <v>22</v>
      </c>
      <c r="J51" s="228">
        <v>37.299999999999997</v>
      </c>
    </row>
    <row r="52" spans="1:10" ht="13.8">
      <c r="A52" s="165" t="s">
        <v>320</v>
      </c>
      <c r="B52" s="228">
        <v>28635</v>
      </c>
      <c r="C52" s="241">
        <v>6.5</v>
      </c>
      <c r="D52" s="229">
        <v>33.6</v>
      </c>
      <c r="E52" s="230">
        <v>133.69999999999999</v>
      </c>
      <c r="F52" s="228">
        <v>48.47</v>
      </c>
      <c r="G52" s="231">
        <v>668.2</v>
      </c>
      <c r="H52" s="232">
        <v>51</v>
      </c>
      <c r="I52" s="232">
        <v>91</v>
      </c>
      <c r="J52" s="228">
        <v>200.7</v>
      </c>
    </row>
    <row r="53" spans="1:10" ht="13.8">
      <c r="A53" s="165" t="s">
        <v>321</v>
      </c>
      <c r="B53" s="228">
        <v>53068</v>
      </c>
      <c r="C53" s="241">
        <v>5.3</v>
      </c>
      <c r="D53" s="229">
        <v>9.6999999999999993</v>
      </c>
      <c r="E53" s="230">
        <v>118.5</v>
      </c>
      <c r="F53" s="228">
        <v>59.9</v>
      </c>
      <c r="G53" s="231">
        <v>1505.9</v>
      </c>
      <c r="H53" s="232">
        <v>48</v>
      </c>
      <c r="I53" s="232">
        <v>91</v>
      </c>
      <c r="J53" s="228">
        <v>109.5</v>
      </c>
    </row>
    <row r="54" spans="1:10" ht="13.8">
      <c r="A54" s="165" t="s">
        <v>322</v>
      </c>
      <c r="B54" s="228">
        <v>56152</v>
      </c>
      <c r="C54" s="241">
        <v>4.7</v>
      </c>
      <c r="D54" s="229">
        <v>17.3</v>
      </c>
      <c r="E54" s="230">
        <v>97.4</v>
      </c>
      <c r="F54" s="228">
        <v>53.73</v>
      </c>
      <c r="G54" s="231">
        <v>1149.3</v>
      </c>
      <c r="H54" s="232">
        <v>17</v>
      </c>
      <c r="I54" s="232">
        <v>96</v>
      </c>
      <c r="J54" s="228">
        <v>118.9</v>
      </c>
    </row>
    <row r="55" spans="1:10" ht="13.8">
      <c r="A55" s="165" t="s">
        <v>323</v>
      </c>
      <c r="B55" s="228">
        <v>32875</v>
      </c>
      <c r="C55" s="241">
        <v>3.6</v>
      </c>
      <c r="D55" s="229">
        <v>25.7</v>
      </c>
      <c r="E55" s="230">
        <v>117.2</v>
      </c>
      <c r="F55" s="228">
        <v>46.78</v>
      </c>
      <c r="G55" s="231">
        <v>584.5</v>
      </c>
      <c r="H55" s="232">
        <v>512</v>
      </c>
      <c r="I55" s="232">
        <v>118</v>
      </c>
      <c r="J55" s="228">
        <v>75.2</v>
      </c>
    </row>
    <row r="56" spans="1:10" ht="13.8">
      <c r="A56" s="165" t="s">
        <v>324</v>
      </c>
      <c r="B56" s="228">
        <v>31013</v>
      </c>
      <c r="C56" s="241">
        <v>3.4</v>
      </c>
      <c r="D56" s="229">
        <v>25.7</v>
      </c>
      <c r="E56" s="230">
        <v>124.9</v>
      </c>
      <c r="F56" s="228">
        <v>36.950000000000003</v>
      </c>
      <c r="G56" s="231">
        <v>971.7</v>
      </c>
      <c r="H56" s="232">
        <v>226</v>
      </c>
      <c r="I56" s="232">
        <v>82</v>
      </c>
      <c r="J56" s="228">
        <v>98.8</v>
      </c>
    </row>
    <row r="57" spans="1:10" ht="13.8">
      <c r="A57" s="165" t="s">
        <v>325</v>
      </c>
      <c r="B57" s="228">
        <v>30647</v>
      </c>
      <c r="C57" s="241">
        <v>2.5</v>
      </c>
      <c r="D57" s="229">
        <v>30.8</v>
      </c>
      <c r="E57" s="230">
        <v>133.5</v>
      </c>
      <c r="F57" s="228">
        <v>54.54</v>
      </c>
      <c r="G57" s="231">
        <v>660.9</v>
      </c>
      <c r="H57" s="232">
        <v>305</v>
      </c>
      <c r="I57" s="232">
        <v>86</v>
      </c>
      <c r="J57" s="228">
        <v>74.3</v>
      </c>
    </row>
    <row r="58" spans="1:10" ht="13.8">
      <c r="A58" s="165" t="s">
        <v>326</v>
      </c>
      <c r="B58" s="228">
        <v>69031</v>
      </c>
      <c r="C58" s="241">
        <v>5.7</v>
      </c>
      <c r="D58" s="229">
        <v>24.4</v>
      </c>
      <c r="E58" s="230">
        <v>116</v>
      </c>
      <c r="F58" s="228">
        <v>60.27</v>
      </c>
      <c r="G58" s="231">
        <v>1099.4000000000001</v>
      </c>
      <c r="H58" s="232">
        <v>4.0999999999999996</v>
      </c>
      <c r="I58" s="232">
        <v>72</v>
      </c>
      <c r="J58" s="228">
        <v>80.599999999999994</v>
      </c>
    </row>
    <row r="59" spans="1:10" ht="13.8">
      <c r="A59" s="165" t="s">
        <v>327</v>
      </c>
      <c r="B59" s="228">
        <v>35276</v>
      </c>
      <c r="C59" s="241">
        <v>10.1</v>
      </c>
      <c r="D59" s="229">
        <v>30.2</v>
      </c>
      <c r="E59" s="230">
        <v>105.8</v>
      </c>
      <c r="F59" s="228">
        <v>71.44</v>
      </c>
      <c r="G59" s="231">
        <v>638.1</v>
      </c>
      <c r="H59" s="232">
        <v>717</v>
      </c>
      <c r="I59" s="232">
        <v>223</v>
      </c>
      <c r="J59" s="228">
        <v>129.69999999999999</v>
      </c>
    </row>
    <row r="60" spans="1:10" ht="13.8">
      <c r="A60" s="165" t="s">
        <v>328</v>
      </c>
      <c r="B60" s="228">
        <v>52524</v>
      </c>
      <c r="C60" s="241">
        <v>2.1</v>
      </c>
      <c r="D60" s="229">
        <v>22.4</v>
      </c>
      <c r="E60" s="232">
        <v>162.30000000000001</v>
      </c>
      <c r="F60" s="228">
        <v>45.26</v>
      </c>
      <c r="G60" s="231">
        <v>828.6</v>
      </c>
      <c r="H60" s="232">
        <v>476</v>
      </c>
      <c r="I60" s="232">
        <v>52</v>
      </c>
      <c r="J60" s="228">
        <v>83.5</v>
      </c>
    </row>
    <row r="61" spans="1:10" ht="13.8">
      <c r="A61" s="165" t="s">
        <v>329</v>
      </c>
      <c r="B61" s="228">
        <v>28934</v>
      </c>
      <c r="C61" s="241">
        <v>6.7</v>
      </c>
      <c r="D61" s="229">
        <v>16.399999999999999</v>
      </c>
      <c r="E61" s="230">
        <v>96.4</v>
      </c>
      <c r="F61" s="228">
        <v>51.25</v>
      </c>
      <c r="G61" s="231">
        <v>658.4</v>
      </c>
      <c r="H61" s="232">
        <v>22</v>
      </c>
      <c r="I61" s="232">
        <v>71</v>
      </c>
      <c r="J61" s="228">
        <v>150</v>
      </c>
    </row>
    <row r="62" spans="1:10" ht="13.8">
      <c r="A62" s="165" t="s">
        <v>330</v>
      </c>
      <c r="B62" s="228">
        <v>34999</v>
      </c>
      <c r="C62" s="241">
        <v>2.1</v>
      </c>
      <c r="D62" s="229">
        <v>14.7</v>
      </c>
      <c r="E62" s="230">
        <v>156.19999999999999</v>
      </c>
      <c r="F62" s="228">
        <v>40.06</v>
      </c>
      <c r="G62" s="231">
        <v>884.4</v>
      </c>
      <c r="H62" s="232">
        <v>95</v>
      </c>
      <c r="I62" s="232">
        <v>64</v>
      </c>
      <c r="J62" s="228">
        <v>98.8</v>
      </c>
    </row>
    <row r="63" spans="1:10" ht="13.8">
      <c r="A63" s="165" t="s">
        <v>331</v>
      </c>
      <c r="B63" s="228">
        <v>46840</v>
      </c>
      <c r="C63" s="241">
        <v>3.1</v>
      </c>
      <c r="D63" s="229">
        <v>25.3</v>
      </c>
      <c r="E63" s="230">
        <v>124.7</v>
      </c>
      <c r="F63" s="228">
        <v>38.54</v>
      </c>
      <c r="G63" s="231">
        <v>750.2</v>
      </c>
      <c r="H63" s="232">
        <v>273</v>
      </c>
      <c r="I63" s="232">
        <v>90</v>
      </c>
      <c r="J63" s="228">
        <v>67.8</v>
      </c>
    </row>
    <row r="64" spans="1:10" ht="13.8">
      <c r="A64" s="165" t="s">
        <v>332</v>
      </c>
      <c r="B64" s="228">
        <v>39905</v>
      </c>
      <c r="C64" s="241">
        <v>2.9</v>
      </c>
      <c r="D64" s="229">
        <v>12.5</v>
      </c>
      <c r="E64" s="230">
        <v>132.1</v>
      </c>
      <c r="F64" s="228">
        <v>57.17</v>
      </c>
      <c r="G64" s="231">
        <v>790.1</v>
      </c>
      <c r="H64" s="232">
        <v>285</v>
      </c>
      <c r="I64" s="232">
        <v>99</v>
      </c>
      <c r="J64" s="228">
        <v>137.9</v>
      </c>
    </row>
    <row r="65" spans="1:10" ht="13.8">
      <c r="A65" s="165" t="s">
        <v>333</v>
      </c>
      <c r="B65" s="228">
        <v>42701</v>
      </c>
      <c r="C65" s="241">
        <v>2</v>
      </c>
      <c r="D65" s="229">
        <v>19.899999999999999</v>
      </c>
      <c r="E65" s="230">
        <v>140.1</v>
      </c>
      <c r="F65" s="228">
        <v>50.69</v>
      </c>
      <c r="G65" s="231">
        <v>935.4</v>
      </c>
      <c r="H65" s="232">
        <v>352</v>
      </c>
      <c r="I65" s="232">
        <v>81</v>
      </c>
      <c r="J65" s="228">
        <v>96.7</v>
      </c>
    </row>
    <row r="66" spans="1:10" ht="13.8">
      <c r="A66" s="165" t="s">
        <v>334</v>
      </c>
      <c r="B66" s="228">
        <v>72037</v>
      </c>
      <c r="C66" s="241">
        <v>1.6</v>
      </c>
      <c r="D66" s="229">
        <v>21.8</v>
      </c>
      <c r="E66" s="230">
        <v>118.6</v>
      </c>
      <c r="F66" s="228">
        <v>91.4</v>
      </c>
      <c r="G66" s="231">
        <v>1124</v>
      </c>
      <c r="H66" s="232">
        <v>2542</v>
      </c>
      <c r="I66" s="232">
        <v>97</v>
      </c>
      <c r="J66" s="228">
        <v>71.900000000000006</v>
      </c>
    </row>
    <row r="67" spans="1:10" ht="13.8">
      <c r="A67" s="165" t="s">
        <v>335</v>
      </c>
      <c r="B67" s="228">
        <v>33348</v>
      </c>
      <c r="C67" s="241">
        <v>2.7</v>
      </c>
      <c r="D67" s="229">
        <v>28.2</v>
      </c>
      <c r="E67" s="230">
        <v>107.6</v>
      </c>
      <c r="F67" s="228">
        <v>50.74</v>
      </c>
      <c r="G67" s="231">
        <v>734.8</v>
      </c>
      <c r="H67" s="232">
        <v>182</v>
      </c>
      <c r="I67" s="232">
        <v>80</v>
      </c>
      <c r="J67" s="228">
        <v>110.9</v>
      </c>
    </row>
    <row r="68" spans="1:10" ht="13.8">
      <c r="A68" s="165" t="s">
        <v>336</v>
      </c>
      <c r="B68" s="228">
        <v>87902</v>
      </c>
      <c r="C68" s="241">
        <v>2.8</v>
      </c>
      <c r="D68" s="229">
        <v>15.6</v>
      </c>
      <c r="E68" s="230">
        <v>84.7</v>
      </c>
      <c r="F68" s="228">
        <v>72.930000000000007</v>
      </c>
      <c r="G68" s="231">
        <v>692.4</v>
      </c>
      <c r="H68" s="232">
        <v>33</v>
      </c>
      <c r="I68" s="232">
        <v>158</v>
      </c>
      <c r="J68" s="228">
        <v>93.2</v>
      </c>
    </row>
    <row r="69" spans="1:10" ht="13.8">
      <c r="A69" s="165" t="s">
        <v>337</v>
      </c>
      <c r="B69" s="228">
        <v>53413</v>
      </c>
      <c r="C69" s="241">
        <v>2.4</v>
      </c>
      <c r="D69" s="229">
        <v>15.2</v>
      </c>
      <c r="E69" s="230">
        <v>115.5</v>
      </c>
      <c r="F69" s="228">
        <v>45.37</v>
      </c>
      <c r="G69" s="231">
        <v>921.8</v>
      </c>
      <c r="H69" s="232">
        <v>130</v>
      </c>
      <c r="I69" s="232">
        <v>79</v>
      </c>
      <c r="J69" s="228">
        <v>66.400000000000006</v>
      </c>
    </row>
    <row r="70" spans="1:10" ht="13.8">
      <c r="A70" s="165" t="s">
        <v>338</v>
      </c>
      <c r="B70" s="228">
        <v>39968</v>
      </c>
      <c r="C70" s="241">
        <v>3.3</v>
      </c>
      <c r="D70" s="229">
        <v>22.9</v>
      </c>
      <c r="E70" s="232">
        <v>156.5</v>
      </c>
      <c r="F70" s="228">
        <v>47.13</v>
      </c>
      <c r="G70" s="231">
        <v>543.9</v>
      </c>
      <c r="H70" s="232">
        <v>1213</v>
      </c>
      <c r="I70" s="232">
        <v>116</v>
      </c>
      <c r="J70" s="228">
        <v>92.4</v>
      </c>
    </row>
    <row r="71" spans="1:10" ht="13.8">
      <c r="A71" s="165" t="s">
        <v>339</v>
      </c>
      <c r="B71" s="228">
        <v>42734</v>
      </c>
      <c r="C71" s="241">
        <v>3</v>
      </c>
      <c r="D71" s="229">
        <v>15.4</v>
      </c>
      <c r="E71" s="230">
        <v>106.7</v>
      </c>
      <c r="F71" s="228">
        <v>54.07</v>
      </c>
      <c r="G71" s="231">
        <v>667.6</v>
      </c>
      <c r="H71" s="232">
        <v>337</v>
      </c>
      <c r="I71" s="232">
        <v>107</v>
      </c>
      <c r="J71" s="228">
        <v>108.1</v>
      </c>
    </row>
    <row r="72" spans="1:10" ht="13.8">
      <c r="A72" s="165" t="s">
        <v>340</v>
      </c>
      <c r="B72" s="228">
        <v>32930</v>
      </c>
      <c r="C72" s="241">
        <v>3.8</v>
      </c>
      <c r="D72" s="229">
        <v>21.1</v>
      </c>
      <c r="E72" s="230">
        <v>123.6</v>
      </c>
      <c r="F72" s="228">
        <v>44.8</v>
      </c>
      <c r="G72" s="231">
        <v>846.3</v>
      </c>
      <c r="H72" s="232">
        <v>281</v>
      </c>
      <c r="I72" s="232">
        <v>70</v>
      </c>
      <c r="J72" s="228">
        <v>86.6</v>
      </c>
    </row>
    <row r="73" spans="1:10" ht="13.8">
      <c r="A73" s="165" t="s">
        <v>341</v>
      </c>
      <c r="B73" s="228">
        <v>39229</v>
      </c>
      <c r="C73" s="241">
        <v>3.1</v>
      </c>
      <c r="D73" s="229">
        <v>27.7</v>
      </c>
      <c r="E73" s="230">
        <v>128.69999999999999</v>
      </c>
      <c r="F73" s="228">
        <v>46.09</v>
      </c>
      <c r="G73" s="231">
        <v>667.1</v>
      </c>
      <c r="H73" s="232">
        <v>299</v>
      </c>
      <c r="I73" s="232">
        <v>85</v>
      </c>
      <c r="J73" s="228">
        <v>113.7</v>
      </c>
    </row>
    <row r="74" spans="1:10" ht="13.8">
      <c r="A74" s="165" t="s">
        <v>342</v>
      </c>
      <c r="B74" s="228">
        <v>41274</v>
      </c>
      <c r="C74" s="241">
        <v>3.2</v>
      </c>
      <c r="D74" s="229">
        <v>17.100000000000001</v>
      </c>
      <c r="E74" s="230">
        <v>108</v>
      </c>
      <c r="F74" s="228">
        <v>49.19</v>
      </c>
      <c r="G74" s="231">
        <v>854.1</v>
      </c>
      <c r="H74" s="232">
        <v>258</v>
      </c>
      <c r="I74" s="232">
        <v>87</v>
      </c>
      <c r="J74" s="228">
        <v>120.2</v>
      </c>
    </row>
    <row r="75" spans="1:10" ht="13.8">
      <c r="A75" s="165" t="s">
        <v>343</v>
      </c>
      <c r="B75" s="228">
        <v>41600</v>
      </c>
      <c r="C75" s="241">
        <v>4</v>
      </c>
      <c r="D75" s="229">
        <v>17</v>
      </c>
      <c r="E75" s="230">
        <v>94.5</v>
      </c>
      <c r="F75" s="228">
        <v>63.91</v>
      </c>
      <c r="G75" s="231">
        <v>774.7</v>
      </c>
      <c r="H75" s="232">
        <v>26</v>
      </c>
      <c r="I75" s="232">
        <v>91</v>
      </c>
      <c r="J75" s="228">
        <v>39.1</v>
      </c>
    </row>
    <row r="76" spans="1:10" ht="13.8">
      <c r="A76" s="165" t="s">
        <v>344</v>
      </c>
      <c r="B76" s="228">
        <v>42375</v>
      </c>
      <c r="C76" s="241">
        <v>2.7</v>
      </c>
      <c r="D76" s="229">
        <v>17.399999999999999</v>
      </c>
      <c r="E76" s="230">
        <v>126.3</v>
      </c>
      <c r="F76" s="228">
        <v>41.92</v>
      </c>
      <c r="G76" s="231">
        <v>767</v>
      </c>
      <c r="H76" s="232">
        <v>427</v>
      </c>
      <c r="I76" s="232">
        <v>118</v>
      </c>
      <c r="J76" s="228">
        <v>117.7</v>
      </c>
    </row>
    <row r="77" spans="1:10" ht="13.8">
      <c r="A77" s="165" t="s">
        <v>345</v>
      </c>
      <c r="B77" s="228">
        <v>43350</v>
      </c>
      <c r="C77" s="241">
        <v>3.1</v>
      </c>
      <c r="D77" s="229">
        <v>21.7</v>
      </c>
      <c r="E77" s="230">
        <v>136.6</v>
      </c>
      <c r="F77" s="228">
        <v>59.77</v>
      </c>
      <c r="G77" s="231">
        <v>723.3</v>
      </c>
      <c r="H77" s="232">
        <v>93</v>
      </c>
      <c r="I77" s="232">
        <v>154</v>
      </c>
      <c r="J77" s="228">
        <v>177.2</v>
      </c>
    </row>
    <row r="78" spans="1:10" ht="13.8">
      <c r="A78" s="165" t="s">
        <v>346</v>
      </c>
      <c r="B78" s="228">
        <v>38939</v>
      </c>
      <c r="C78" s="241">
        <v>2.5</v>
      </c>
      <c r="D78" s="229">
        <v>18.899999999999999</v>
      </c>
      <c r="E78" s="230">
        <v>124.2</v>
      </c>
      <c r="F78" s="228">
        <v>53.97</v>
      </c>
      <c r="G78" s="231">
        <v>898.1</v>
      </c>
      <c r="H78" s="232">
        <v>270</v>
      </c>
      <c r="I78" s="232">
        <v>60</v>
      </c>
      <c r="J78" s="228">
        <v>90.5</v>
      </c>
    </row>
    <row r="79" spans="1:10" ht="13.8">
      <c r="A79" s="165" t="s">
        <v>347</v>
      </c>
      <c r="B79" s="228">
        <v>35783</v>
      </c>
      <c r="C79" s="241">
        <v>2.8</v>
      </c>
      <c r="D79" s="229">
        <v>12.4</v>
      </c>
      <c r="E79" s="230">
        <v>121.1</v>
      </c>
      <c r="F79" s="228">
        <v>44.15</v>
      </c>
      <c r="G79" s="231">
        <v>722.7</v>
      </c>
      <c r="H79" s="232">
        <v>263</v>
      </c>
      <c r="I79" s="232">
        <v>111</v>
      </c>
      <c r="J79" s="228">
        <v>87.8</v>
      </c>
    </row>
    <row r="80" spans="1:10" ht="13.8">
      <c r="A80" s="165" t="s">
        <v>348</v>
      </c>
      <c r="B80" s="228">
        <v>58092</v>
      </c>
      <c r="C80" s="241">
        <v>2.1</v>
      </c>
      <c r="D80" s="229">
        <v>17.8</v>
      </c>
      <c r="E80" s="230">
        <v>117.3</v>
      </c>
      <c r="F80" s="228">
        <v>54.99</v>
      </c>
      <c r="G80" s="231">
        <v>726.3</v>
      </c>
      <c r="H80" s="232">
        <v>13</v>
      </c>
      <c r="I80" s="232">
        <v>74</v>
      </c>
      <c r="J80" s="228">
        <v>103.4</v>
      </c>
    </row>
    <row r="81" spans="1:10" ht="13.8">
      <c r="A81" s="165" t="s">
        <v>349</v>
      </c>
      <c r="B81" s="228">
        <v>72634</v>
      </c>
      <c r="C81" s="241">
        <v>1.8</v>
      </c>
      <c r="D81" s="229">
        <v>15.2</v>
      </c>
      <c r="E81" s="230">
        <v>140.30000000000001</v>
      </c>
      <c r="F81" s="228">
        <v>58.22</v>
      </c>
      <c r="G81" s="231">
        <v>878.9</v>
      </c>
      <c r="H81" s="232">
        <v>12</v>
      </c>
      <c r="I81" s="232">
        <v>58</v>
      </c>
      <c r="J81" s="228">
        <v>73.900000000000006</v>
      </c>
    </row>
    <row r="82" spans="1:10" ht="13.8">
      <c r="A82" s="165" t="s">
        <v>350</v>
      </c>
      <c r="B82" s="228">
        <v>39703</v>
      </c>
      <c r="C82" s="241">
        <v>2.4</v>
      </c>
      <c r="D82" s="229">
        <v>20.9</v>
      </c>
      <c r="E82" s="230">
        <v>136.19999999999999</v>
      </c>
      <c r="F82" s="228">
        <v>43.15</v>
      </c>
      <c r="G82" s="231">
        <v>939.3</v>
      </c>
      <c r="H82" s="232">
        <v>249</v>
      </c>
      <c r="I82" s="232">
        <v>89</v>
      </c>
      <c r="J82" s="228">
        <v>108.5</v>
      </c>
    </row>
    <row r="83" spans="1:10" ht="13.8">
      <c r="A83" s="165" t="s">
        <v>351</v>
      </c>
      <c r="B83" s="228">
        <v>35920</v>
      </c>
      <c r="C83" s="241">
        <v>10.7</v>
      </c>
      <c r="D83" s="229">
        <v>20.6</v>
      </c>
      <c r="E83" s="230">
        <v>179</v>
      </c>
      <c r="F83" s="228">
        <v>33.32</v>
      </c>
      <c r="G83" s="231">
        <v>428.3</v>
      </c>
      <c r="H83" s="232">
        <v>652</v>
      </c>
      <c r="I83" s="232">
        <v>81</v>
      </c>
      <c r="J83" s="228">
        <v>10.9</v>
      </c>
    </row>
    <row r="84" spans="1:10" ht="13.8">
      <c r="A84" s="165" t="s">
        <v>352</v>
      </c>
      <c r="B84" s="228">
        <v>34129</v>
      </c>
      <c r="C84" s="241">
        <v>2.4</v>
      </c>
      <c r="D84" s="229">
        <v>21.7</v>
      </c>
      <c r="E84" s="230">
        <v>124.2</v>
      </c>
      <c r="F84" s="228">
        <v>54.64</v>
      </c>
      <c r="G84" s="231">
        <v>861.8</v>
      </c>
      <c r="H84" s="232">
        <v>472</v>
      </c>
      <c r="I84" s="232">
        <v>109</v>
      </c>
      <c r="J84" s="228">
        <v>75.400000000000006</v>
      </c>
    </row>
    <row r="85" spans="1:10" ht="13.8">
      <c r="A85" s="165" t="s">
        <v>353</v>
      </c>
      <c r="B85" s="228">
        <v>156988</v>
      </c>
      <c r="C85" s="241">
        <v>1.7</v>
      </c>
      <c r="D85" s="229">
        <v>3.3</v>
      </c>
      <c r="E85" s="230">
        <v>74.2</v>
      </c>
      <c r="F85" s="228">
        <v>76.41</v>
      </c>
      <c r="G85" s="231">
        <v>1259.0999999999999</v>
      </c>
      <c r="H85" s="232">
        <v>1.3</v>
      </c>
      <c r="I85" s="232">
        <v>94</v>
      </c>
      <c r="J85" s="228">
        <v>27.1</v>
      </c>
    </row>
    <row r="86" spans="1:10" ht="13.8">
      <c r="A86" s="165" t="s">
        <v>354</v>
      </c>
      <c r="B86" s="228">
        <v>139651</v>
      </c>
      <c r="C86" s="241">
        <v>1.5</v>
      </c>
      <c r="D86" s="229">
        <v>27.9</v>
      </c>
      <c r="E86" s="230">
        <v>125.1</v>
      </c>
      <c r="F86" s="228">
        <v>69.849999999999994</v>
      </c>
      <c r="G86" s="231">
        <v>1428.9</v>
      </c>
      <c r="H86" s="232">
        <v>3.7</v>
      </c>
      <c r="I86" s="232">
        <v>76</v>
      </c>
      <c r="J86" s="228">
        <v>51.9</v>
      </c>
    </row>
    <row r="87" spans="1:10" ht="13.8">
      <c r="A87" s="165" t="s">
        <v>355</v>
      </c>
      <c r="B87" s="228">
        <v>46684</v>
      </c>
      <c r="C87" s="241">
        <v>3.8</v>
      </c>
      <c r="D87" s="229">
        <v>14.1</v>
      </c>
      <c r="E87" s="230">
        <v>109.6</v>
      </c>
      <c r="F87" s="228">
        <v>55.47</v>
      </c>
      <c r="G87" s="231">
        <v>922.4</v>
      </c>
      <c r="H87" s="232">
        <v>287</v>
      </c>
      <c r="I87" s="232">
        <v>108</v>
      </c>
      <c r="J87" s="228">
        <v>119.9</v>
      </c>
    </row>
  </sheetData>
  <sortState xmlns:xlrd2="http://schemas.microsoft.com/office/spreadsheetml/2017/richdata2" ref="A4:J87">
    <sortCondition ref="A3:A87"/>
  </sortState>
  <phoneticPr fontId="62" type="noConversion"/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CB65-031E-429E-8720-5A66484CE0DC}">
  <dimension ref="A1:K85"/>
  <sheetViews>
    <sheetView topLeftCell="A49" workbookViewId="0">
      <selection activeCell="B2" sqref="B2:B85"/>
    </sheetView>
  </sheetViews>
  <sheetFormatPr defaultRowHeight="13.2"/>
  <cols>
    <col min="1" max="1" width="45.109375" bestFit="1" customWidth="1"/>
    <col min="2" max="2" width="9" customWidth="1"/>
  </cols>
  <sheetData>
    <row r="1" spans="1:11">
      <c r="A1" s="174" t="s">
        <v>2719</v>
      </c>
      <c r="B1" s="174" t="s">
        <v>2718</v>
      </c>
      <c r="C1" s="174" t="s">
        <v>2532</v>
      </c>
      <c r="D1" s="174" t="s">
        <v>2533</v>
      </c>
      <c r="E1" s="174" t="s">
        <v>2534</v>
      </c>
      <c r="F1" s="174" t="s">
        <v>2535</v>
      </c>
      <c r="G1" s="174" t="s">
        <v>2536</v>
      </c>
      <c r="H1" s="174" t="s">
        <v>2537</v>
      </c>
      <c r="I1" s="174" t="s">
        <v>2538</v>
      </c>
      <c r="J1" s="174" t="s">
        <v>2539</v>
      </c>
      <c r="K1" s="174" t="s">
        <v>2540</v>
      </c>
    </row>
    <row r="2" spans="1:11" ht="13.8">
      <c r="A2" s="164" t="s">
        <v>270</v>
      </c>
      <c r="B2">
        <v>70.77</v>
      </c>
      <c r="C2" s="228">
        <v>36431</v>
      </c>
      <c r="D2" s="241">
        <v>3.4</v>
      </c>
      <c r="E2" s="229">
        <v>12.2</v>
      </c>
      <c r="F2" s="230">
        <v>104.4</v>
      </c>
      <c r="G2" s="228">
        <v>45.75</v>
      </c>
      <c r="H2" s="231">
        <v>1041.5</v>
      </c>
      <c r="I2" s="232">
        <v>200</v>
      </c>
      <c r="J2" s="232">
        <v>79</v>
      </c>
      <c r="K2" s="228">
        <v>105.9</v>
      </c>
    </row>
    <row r="3" spans="1:11" ht="13.8">
      <c r="A3" s="165" t="s">
        <v>271</v>
      </c>
      <c r="B3">
        <v>68.25</v>
      </c>
      <c r="C3" s="228">
        <v>54055</v>
      </c>
      <c r="D3" s="241">
        <v>2.4</v>
      </c>
      <c r="E3" s="229">
        <v>14.8</v>
      </c>
      <c r="F3" s="230">
        <v>107.5</v>
      </c>
      <c r="G3" s="228">
        <v>56.91</v>
      </c>
      <c r="H3" s="231">
        <v>885.8</v>
      </c>
      <c r="I3" s="232">
        <v>37</v>
      </c>
      <c r="J3" s="232">
        <v>96</v>
      </c>
      <c r="K3" s="228">
        <v>152.80000000000001</v>
      </c>
    </row>
    <row r="4" spans="1:11" ht="13.8">
      <c r="A4" s="165" t="s">
        <v>272</v>
      </c>
      <c r="B4">
        <v>71.540000000000006</v>
      </c>
      <c r="C4" s="228">
        <v>55952</v>
      </c>
      <c r="D4" s="241">
        <v>5.5</v>
      </c>
      <c r="E4" s="229">
        <v>12.5</v>
      </c>
      <c r="F4" s="230">
        <v>108.8</v>
      </c>
      <c r="G4" s="228">
        <v>62.34</v>
      </c>
      <c r="H4" s="231">
        <v>1127.0999999999999</v>
      </c>
      <c r="I4" s="232">
        <v>30</v>
      </c>
      <c r="J4" s="232">
        <v>87</v>
      </c>
      <c r="K4" s="228">
        <v>79.900000000000006</v>
      </c>
    </row>
    <row r="5" spans="1:11" ht="13.8">
      <c r="A5" s="165" t="s">
        <v>273</v>
      </c>
      <c r="B5">
        <v>72.2</v>
      </c>
      <c r="C5" s="228">
        <v>36593</v>
      </c>
      <c r="D5" s="241">
        <v>4.4000000000000004</v>
      </c>
      <c r="E5" s="229">
        <v>18.899999999999999</v>
      </c>
      <c r="F5" s="230">
        <v>119</v>
      </c>
      <c r="G5" s="228">
        <v>61.34</v>
      </c>
      <c r="H5" s="231">
        <v>702.1</v>
      </c>
      <c r="I5" s="232">
        <v>85</v>
      </c>
      <c r="J5" s="232">
        <v>122</v>
      </c>
      <c r="K5" s="228">
        <v>95.2</v>
      </c>
    </row>
    <row r="6" spans="1:11" ht="13.8">
      <c r="A6" s="165" t="s">
        <v>274</v>
      </c>
      <c r="B6">
        <v>73.7</v>
      </c>
      <c r="C6" s="228">
        <v>47257</v>
      </c>
      <c r="D6" s="241">
        <v>3.6</v>
      </c>
      <c r="E6" s="229">
        <v>26.4</v>
      </c>
      <c r="F6" s="230">
        <v>140</v>
      </c>
      <c r="G6" s="228">
        <v>44.68</v>
      </c>
      <c r="H6" s="231">
        <v>766.2</v>
      </c>
      <c r="I6" s="232">
        <v>732</v>
      </c>
      <c r="J6" s="232">
        <v>94</v>
      </c>
      <c r="K6" s="228">
        <v>73.400000000000006</v>
      </c>
    </row>
    <row r="7" spans="1:11" ht="13.8">
      <c r="A7" s="165" t="s">
        <v>275</v>
      </c>
      <c r="B7">
        <v>71.98</v>
      </c>
      <c r="C7" s="228">
        <v>40927</v>
      </c>
      <c r="D7" s="241">
        <v>2.6</v>
      </c>
      <c r="E7" s="229">
        <v>24.9</v>
      </c>
      <c r="F7" s="230">
        <v>133.30000000000001</v>
      </c>
      <c r="G7" s="228">
        <v>40.4</v>
      </c>
      <c r="H7" s="231">
        <v>839.3</v>
      </c>
      <c r="I7" s="232">
        <v>331</v>
      </c>
      <c r="J7" s="232">
        <v>119</v>
      </c>
      <c r="K7" s="228">
        <v>54.7</v>
      </c>
    </row>
    <row r="8" spans="1:11" ht="13.8">
      <c r="A8" s="165" t="s">
        <v>276</v>
      </c>
      <c r="B8">
        <v>71.62</v>
      </c>
      <c r="C8" s="228">
        <v>38649</v>
      </c>
      <c r="D8" s="241">
        <v>2</v>
      </c>
      <c r="E8" s="229">
        <v>20.8</v>
      </c>
      <c r="F8" s="230">
        <v>119.6</v>
      </c>
      <c r="G8" s="228">
        <v>37.99</v>
      </c>
      <c r="H8" s="231">
        <v>1015.3</v>
      </c>
      <c r="I8" s="232">
        <v>394</v>
      </c>
      <c r="J8" s="232">
        <v>80</v>
      </c>
      <c r="K8" s="228">
        <v>139.19999999999999</v>
      </c>
    </row>
    <row r="9" spans="1:11" ht="13.8">
      <c r="A9" s="165" t="s">
        <v>277</v>
      </c>
      <c r="B9">
        <v>73.69</v>
      </c>
      <c r="C9" s="228">
        <v>35575</v>
      </c>
      <c r="D9" s="241">
        <v>2.9</v>
      </c>
      <c r="E9" s="229">
        <v>19.600000000000001</v>
      </c>
      <c r="F9" s="230">
        <v>115.6</v>
      </c>
      <c r="G9" s="228">
        <v>45.84</v>
      </c>
      <c r="H9" s="231">
        <v>650.5</v>
      </c>
      <c r="I9" s="232">
        <v>153</v>
      </c>
      <c r="J9" s="232">
        <v>86</v>
      </c>
      <c r="K9" s="228">
        <v>99.1</v>
      </c>
    </row>
    <row r="10" spans="1:11" ht="13.8">
      <c r="A10" s="165" t="s">
        <v>278</v>
      </c>
      <c r="B10">
        <v>71.7</v>
      </c>
      <c r="C10" s="228">
        <v>42708</v>
      </c>
      <c r="D10" s="241">
        <v>3.1</v>
      </c>
      <c r="E10" s="229">
        <v>12.6</v>
      </c>
      <c r="F10" s="230">
        <v>131.9</v>
      </c>
      <c r="G10" s="228">
        <v>36.43</v>
      </c>
      <c r="H10" s="231">
        <v>1066.5</v>
      </c>
      <c r="I10" s="232">
        <v>111</v>
      </c>
      <c r="J10" s="232">
        <v>72</v>
      </c>
      <c r="K10" s="228">
        <v>114.7</v>
      </c>
    </row>
    <row r="11" spans="1:11" ht="13.8">
      <c r="A11" s="165" t="s">
        <v>279</v>
      </c>
      <c r="B11">
        <v>72.91</v>
      </c>
      <c r="C11" s="228">
        <v>45087</v>
      </c>
      <c r="D11" s="241">
        <v>3.2</v>
      </c>
      <c r="E11" s="229">
        <v>22.4</v>
      </c>
      <c r="F11" s="230">
        <v>128.9</v>
      </c>
      <c r="G11" s="228">
        <v>56.1</v>
      </c>
      <c r="H11" s="231">
        <v>590.6</v>
      </c>
      <c r="I11" s="232">
        <v>429</v>
      </c>
      <c r="J11" s="232">
        <v>104</v>
      </c>
      <c r="K11" s="228">
        <v>112.2</v>
      </c>
    </row>
    <row r="12" spans="1:11" ht="13.8">
      <c r="A12" s="165" t="s">
        <v>280</v>
      </c>
      <c r="B12">
        <v>79.38</v>
      </c>
      <c r="C12" s="228">
        <v>117103</v>
      </c>
      <c r="D12" s="241">
        <v>1.8</v>
      </c>
      <c r="E12" s="229">
        <v>35.200000000000003</v>
      </c>
      <c r="F12" s="230">
        <v>173.2</v>
      </c>
      <c r="G12" s="228">
        <v>75.25</v>
      </c>
      <c r="H12" s="231">
        <v>693.6</v>
      </c>
      <c r="I12" s="232">
        <v>2522</v>
      </c>
      <c r="J12" s="232">
        <v>78</v>
      </c>
      <c r="K12" s="228">
        <v>61.8</v>
      </c>
    </row>
    <row r="13" spans="1:11" ht="13.8">
      <c r="A13" s="165" t="s">
        <v>281</v>
      </c>
      <c r="B13">
        <v>68.3</v>
      </c>
      <c r="C13" s="228">
        <v>43479</v>
      </c>
      <c r="D13" s="241">
        <v>3.7</v>
      </c>
      <c r="E13" s="229">
        <v>7.5</v>
      </c>
      <c r="F13" s="230">
        <v>85.8</v>
      </c>
      <c r="G13" s="228">
        <v>35.049999999999997</v>
      </c>
      <c r="H13" s="231">
        <v>708.3</v>
      </c>
      <c r="I13" s="232">
        <v>71</v>
      </c>
      <c r="J13" s="232">
        <v>86</v>
      </c>
      <c r="K13" s="228">
        <v>148.69999999999999</v>
      </c>
    </row>
    <row r="14" spans="1:11" ht="13.8">
      <c r="A14" s="165" t="s">
        <v>282</v>
      </c>
      <c r="B14">
        <v>67.17</v>
      </c>
      <c r="C14" s="228">
        <v>42758</v>
      </c>
      <c r="D14" s="241">
        <v>6.9</v>
      </c>
      <c r="E14" s="229">
        <v>6.2</v>
      </c>
      <c r="F14" s="230">
        <v>104.7</v>
      </c>
      <c r="G14" s="228">
        <v>52.22</v>
      </c>
      <c r="H14" s="231">
        <v>808.5</v>
      </c>
      <c r="I14" s="232">
        <v>35</v>
      </c>
      <c r="J14" s="232">
        <v>81</v>
      </c>
      <c r="K14" s="228">
        <v>98.3</v>
      </c>
    </row>
    <row r="15" spans="1:11" ht="13.8">
      <c r="A15" s="165" t="s">
        <v>283</v>
      </c>
      <c r="B15">
        <v>71.180000000000007</v>
      </c>
      <c r="C15" s="228">
        <v>41108</v>
      </c>
      <c r="D15" s="241">
        <v>3.1</v>
      </c>
      <c r="E15" s="229">
        <v>9.9</v>
      </c>
      <c r="F15" s="230">
        <v>108.3</v>
      </c>
      <c r="G15" s="228">
        <v>47.67</v>
      </c>
      <c r="H15" s="231">
        <v>778.2</v>
      </c>
      <c r="I15" s="232">
        <v>338</v>
      </c>
      <c r="J15" s="232">
        <v>119</v>
      </c>
      <c r="K15" s="228">
        <v>116</v>
      </c>
    </row>
    <row r="16" spans="1:11" ht="13.8">
      <c r="A16" s="165" t="s">
        <v>284</v>
      </c>
      <c r="B16">
        <v>69.819999999999993</v>
      </c>
      <c r="C16" s="228">
        <v>42483</v>
      </c>
      <c r="D16" s="241">
        <v>3.7</v>
      </c>
      <c r="E16" s="229">
        <v>17.899999999999999</v>
      </c>
      <c r="F16" s="230">
        <v>114.6</v>
      </c>
      <c r="G16" s="228">
        <v>49.47</v>
      </c>
      <c r="H16" s="231">
        <v>965.1</v>
      </c>
      <c r="I16" s="232">
        <v>33</v>
      </c>
      <c r="J16" s="232">
        <v>109</v>
      </c>
      <c r="K16" s="228">
        <v>98.6</v>
      </c>
    </row>
    <row r="17" spans="1:11" ht="13.8">
      <c r="A17" s="165" t="s">
        <v>285</v>
      </c>
      <c r="B17">
        <v>77.14</v>
      </c>
      <c r="C17" s="228">
        <v>38948</v>
      </c>
      <c r="D17" s="241">
        <v>9.1</v>
      </c>
      <c r="E17" s="229">
        <v>31.1</v>
      </c>
      <c r="F17" s="230">
        <v>139</v>
      </c>
      <c r="G17" s="228">
        <v>45.8</v>
      </c>
      <c r="H17" s="231">
        <v>449.4</v>
      </c>
      <c r="I17" s="232">
        <v>666</v>
      </c>
      <c r="J17" s="232">
        <v>153</v>
      </c>
      <c r="K17" s="228">
        <v>70.7</v>
      </c>
    </row>
    <row r="18" spans="1:11" ht="13.8">
      <c r="A18" s="165" t="s">
        <v>286</v>
      </c>
      <c r="B18">
        <v>73.709999999999994</v>
      </c>
      <c r="C18" s="228">
        <v>43543</v>
      </c>
      <c r="D18" s="241">
        <v>3</v>
      </c>
      <c r="E18" s="229">
        <v>21</v>
      </c>
      <c r="F18" s="230">
        <v>125.6</v>
      </c>
      <c r="G18" s="228">
        <v>50.15</v>
      </c>
      <c r="H18" s="231">
        <v>781.1</v>
      </c>
      <c r="I18" s="232">
        <v>519</v>
      </c>
      <c r="J18" s="232">
        <v>106</v>
      </c>
      <c r="K18" s="228">
        <v>96.9</v>
      </c>
    </row>
    <row r="19" spans="1:11" ht="13.8">
      <c r="A19" s="165" t="s">
        <v>287</v>
      </c>
      <c r="B19">
        <v>73.08</v>
      </c>
      <c r="C19" s="233">
        <v>67747</v>
      </c>
      <c r="D19" s="241">
        <v>2.4</v>
      </c>
      <c r="E19" s="229">
        <v>10</v>
      </c>
      <c r="F19" s="230">
        <v>151.9</v>
      </c>
      <c r="G19" s="228">
        <v>40.5</v>
      </c>
      <c r="H19" s="231">
        <v>1042.7</v>
      </c>
      <c r="I19" s="232">
        <v>365</v>
      </c>
      <c r="J19" s="232">
        <v>114</v>
      </c>
      <c r="K19" s="228">
        <v>108.2</v>
      </c>
    </row>
    <row r="20" spans="1:11" ht="13.8">
      <c r="A20" s="165" t="s">
        <v>288</v>
      </c>
      <c r="B20">
        <v>70.430000000000007</v>
      </c>
      <c r="C20" s="228">
        <v>87054</v>
      </c>
      <c r="D20" s="241">
        <v>2.1</v>
      </c>
      <c r="E20" s="229">
        <v>22.4</v>
      </c>
      <c r="F20" s="230">
        <v>86.8</v>
      </c>
      <c r="G20" s="228">
        <v>63.02</v>
      </c>
      <c r="H20" s="231">
        <v>873.4</v>
      </c>
      <c r="I20" s="232">
        <v>4.4000000000000004</v>
      </c>
      <c r="J20" s="232">
        <v>153</v>
      </c>
      <c r="K20" s="228">
        <v>130.19999999999999</v>
      </c>
    </row>
    <row r="21" spans="1:11" ht="13.8">
      <c r="A21" s="165" t="s">
        <v>289</v>
      </c>
      <c r="B21">
        <v>76.25</v>
      </c>
      <c r="C21" s="228">
        <v>25619</v>
      </c>
      <c r="D21" s="241">
        <v>7.4</v>
      </c>
      <c r="E21" s="229">
        <v>36.700000000000003</v>
      </c>
      <c r="F21" s="230">
        <v>157.1</v>
      </c>
      <c r="G21" s="228">
        <v>44.58</v>
      </c>
      <c r="H21" s="231">
        <v>901.6</v>
      </c>
      <c r="I21" s="232">
        <v>365</v>
      </c>
      <c r="J21" s="232">
        <v>56</v>
      </c>
      <c r="K21" s="228">
        <v>88.2</v>
      </c>
    </row>
    <row r="22" spans="1:11" ht="13.8">
      <c r="A22" s="165" t="s">
        <v>290</v>
      </c>
      <c r="B22">
        <v>70.290000000000006</v>
      </c>
      <c r="C22" s="228">
        <v>39408</v>
      </c>
      <c r="D22" s="241">
        <v>3.4</v>
      </c>
      <c r="E22" s="229">
        <v>17.399999999999999</v>
      </c>
      <c r="F22" s="230">
        <v>112.1</v>
      </c>
      <c r="G22" s="228">
        <v>43.74</v>
      </c>
      <c r="H22" s="231">
        <v>780.5</v>
      </c>
      <c r="I22" s="232">
        <v>183</v>
      </c>
      <c r="J22" s="232">
        <v>89</v>
      </c>
      <c r="K22" s="228">
        <v>97.9</v>
      </c>
    </row>
    <row r="23" spans="1:11" ht="13.8">
      <c r="A23" s="165" t="s">
        <v>291</v>
      </c>
      <c r="B23">
        <v>71.989999999999995</v>
      </c>
      <c r="C23" s="228">
        <v>38277</v>
      </c>
      <c r="D23" s="241">
        <v>3.2</v>
      </c>
      <c r="E23" s="229">
        <v>13.3</v>
      </c>
      <c r="F23" s="230">
        <v>102.4</v>
      </c>
      <c r="G23" s="228">
        <v>54.23</v>
      </c>
      <c r="H23" s="231">
        <v>869.2</v>
      </c>
      <c r="I23" s="232">
        <v>116</v>
      </c>
      <c r="J23" s="232">
        <v>90</v>
      </c>
      <c r="K23" s="228">
        <v>139.4</v>
      </c>
    </row>
    <row r="24" spans="1:11" ht="13.8">
      <c r="A24" s="165" t="s">
        <v>292</v>
      </c>
      <c r="B24">
        <v>71.05</v>
      </c>
      <c r="C24" s="228">
        <v>43668</v>
      </c>
      <c r="D24" s="241">
        <v>3.1</v>
      </c>
      <c r="E24" s="229">
        <v>18.8</v>
      </c>
      <c r="F24" s="230">
        <v>99.8</v>
      </c>
      <c r="G24" s="228">
        <v>40</v>
      </c>
      <c r="H24" s="231">
        <v>821</v>
      </c>
      <c r="I24" s="232">
        <v>139</v>
      </c>
      <c r="J24" s="232">
        <v>150</v>
      </c>
      <c r="K24" s="228">
        <v>140.4</v>
      </c>
    </row>
    <row r="25" spans="1:11" ht="13.8">
      <c r="A25" s="165" t="s">
        <v>293</v>
      </c>
      <c r="B25">
        <v>73.709999999999994</v>
      </c>
      <c r="C25" s="228">
        <v>54627</v>
      </c>
      <c r="D25" s="241">
        <v>2</v>
      </c>
      <c r="E25" s="229">
        <v>23.1</v>
      </c>
      <c r="F25" s="230">
        <v>137.6</v>
      </c>
      <c r="G25" s="228">
        <v>45.6</v>
      </c>
      <c r="H25" s="231">
        <v>683.7</v>
      </c>
      <c r="I25" s="232">
        <v>481</v>
      </c>
      <c r="J25" s="232">
        <v>93</v>
      </c>
      <c r="K25" s="228">
        <v>105.6</v>
      </c>
    </row>
    <row r="26" spans="1:11" ht="13.8">
      <c r="A26" s="165" t="s">
        <v>294</v>
      </c>
      <c r="B26">
        <v>71.319999999999993</v>
      </c>
      <c r="C26" s="228">
        <v>50380</v>
      </c>
      <c r="D26" s="241">
        <v>2</v>
      </c>
      <c r="E26" s="229">
        <v>19</v>
      </c>
      <c r="F26" s="230">
        <v>129.30000000000001</v>
      </c>
      <c r="G26" s="228">
        <v>49.92</v>
      </c>
      <c r="H26" s="231">
        <v>844.1</v>
      </c>
      <c r="I26" s="232">
        <v>12</v>
      </c>
      <c r="J26" s="232">
        <v>99</v>
      </c>
      <c r="K26" s="228">
        <v>104</v>
      </c>
    </row>
    <row r="27" spans="1:11" ht="13.8">
      <c r="A27" s="165" t="s">
        <v>295</v>
      </c>
      <c r="B27">
        <v>69.790000000000006</v>
      </c>
      <c r="C27" s="228">
        <v>34812</v>
      </c>
      <c r="D27" s="241">
        <v>4.7</v>
      </c>
      <c r="E27" s="229">
        <v>11.4</v>
      </c>
      <c r="F27" s="230">
        <v>112.4</v>
      </c>
      <c r="G27" s="228">
        <v>31.67</v>
      </c>
      <c r="H27" s="231">
        <v>1144.9000000000001</v>
      </c>
      <c r="I27" s="232">
        <v>137</v>
      </c>
      <c r="J27" s="232">
        <v>81</v>
      </c>
      <c r="K27" s="228">
        <v>107.6</v>
      </c>
    </row>
    <row r="28" spans="1:11" ht="13.8">
      <c r="A28" s="165" t="s">
        <v>296</v>
      </c>
      <c r="B28">
        <v>72.45</v>
      </c>
      <c r="C28" s="228">
        <v>43719</v>
      </c>
      <c r="D28" s="241">
        <v>2.4</v>
      </c>
      <c r="E28" s="229">
        <v>36.6</v>
      </c>
      <c r="F28" s="230">
        <v>125</v>
      </c>
      <c r="G28" s="228">
        <v>53.52</v>
      </c>
      <c r="H28" s="231">
        <v>595.5</v>
      </c>
      <c r="I28" s="232">
        <v>384</v>
      </c>
      <c r="J28" s="232">
        <v>114</v>
      </c>
      <c r="K28" s="228">
        <v>97.4</v>
      </c>
    </row>
    <row r="29" spans="1:11" ht="13.8">
      <c r="A29" s="165" t="s">
        <v>297</v>
      </c>
      <c r="B29">
        <v>74.88</v>
      </c>
      <c r="C29" s="228">
        <v>45989</v>
      </c>
      <c r="D29" s="241">
        <v>2.8</v>
      </c>
      <c r="E29" s="229">
        <v>22.1</v>
      </c>
      <c r="F29" s="230">
        <v>181.7</v>
      </c>
      <c r="G29" s="228">
        <v>36.380000000000003</v>
      </c>
      <c r="H29" s="231">
        <v>693.4</v>
      </c>
      <c r="I29" s="232">
        <v>222</v>
      </c>
      <c r="J29" s="232">
        <v>77</v>
      </c>
      <c r="K29" s="228">
        <v>90.8</v>
      </c>
    </row>
    <row r="30" spans="1:11" ht="13.8">
      <c r="A30" s="165" t="s">
        <v>298</v>
      </c>
      <c r="B30">
        <v>72.44</v>
      </c>
      <c r="C30" s="228">
        <v>45458</v>
      </c>
      <c r="D30" s="241">
        <v>2.9</v>
      </c>
      <c r="E30" s="229">
        <v>27.1</v>
      </c>
      <c r="F30" s="230">
        <v>122.3</v>
      </c>
      <c r="G30" s="228">
        <v>40.22</v>
      </c>
      <c r="H30" s="231">
        <v>646.70000000000005</v>
      </c>
      <c r="I30" s="232">
        <v>567</v>
      </c>
      <c r="J30" s="232">
        <v>113</v>
      </c>
      <c r="K30" s="228">
        <v>106.9</v>
      </c>
    </row>
    <row r="31" spans="1:11" ht="13.8">
      <c r="A31" s="165" t="s">
        <v>299</v>
      </c>
      <c r="B31">
        <v>69.3</v>
      </c>
      <c r="C31" s="228">
        <v>111157</v>
      </c>
      <c r="D31" s="241">
        <v>3.4</v>
      </c>
      <c r="E31" s="229">
        <v>29.2</v>
      </c>
      <c r="F31" s="230">
        <v>102.8</v>
      </c>
      <c r="G31" s="228">
        <v>62.75</v>
      </c>
      <c r="H31" s="231">
        <v>716.8</v>
      </c>
      <c r="I31" s="232">
        <v>5.6</v>
      </c>
      <c r="J31" s="232">
        <v>111</v>
      </c>
      <c r="K31" s="228">
        <v>132.19999999999999</v>
      </c>
    </row>
    <row r="32" spans="1:11" ht="13.8">
      <c r="A32" s="165" t="s">
        <v>300</v>
      </c>
      <c r="B32">
        <v>74.489999999999995</v>
      </c>
      <c r="C32" s="228">
        <v>64870</v>
      </c>
      <c r="D32" s="241">
        <v>2.6</v>
      </c>
      <c r="E32" s="229">
        <v>32</v>
      </c>
      <c r="F32" s="230">
        <v>156.1</v>
      </c>
      <c r="G32" s="228">
        <v>44.7</v>
      </c>
      <c r="H32" s="231">
        <v>701</v>
      </c>
      <c r="I32" s="232">
        <v>849</v>
      </c>
      <c r="J32" s="232">
        <v>105</v>
      </c>
      <c r="K32" s="228">
        <v>45.9</v>
      </c>
    </row>
    <row r="33" spans="1:11" ht="13.8">
      <c r="A33" s="165" t="s">
        <v>301</v>
      </c>
      <c r="B33">
        <v>70.44</v>
      </c>
      <c r="C33" s="228">
        <v>75786</v>
      </c>
      <c r="D33" s="241">
        <v>3.4</v>
      </c>
      <c r="E33" s="229">
        <v>23.6</v>
      </c>
      <c r="F33" s="230">
        <v>97.3</v>
      </c>
      <c r="G33" s="228">
        <v>56.58</v>
      </c>
      <c r="H33" s="231">
        <v>922.7</v>
      </c>
      <c r="I33" s="232">
        <v>24</v>
      </c>
      <c r="J33" s="232">
        <v>119</v>
      </c>
      <c r="K33" s="228">
        <v>96</v>
      </c>
    </row>
    <row r="34" spans="1:11" ht="13.8">
      <c r="A34" s="165" t="s">
        <v>302</v>
      </c>
      <c r="B34">
        <v>70.67</v>
      </c>
      <c r="C34" s="228">
        <v>128204</v>
      </c>
      <c r="D34" s="241">
        <v>6.3</v>
      </c>
      <c r="E34" s="229">
        <v>10.1</v>
      </c>
      <c r="F34" s="230">
        <v>153</v>
      </c>
      <c r="G34" s="228">
        <v>52.81</v>
      </c>
      <c r="H34" s="231">
        <v>1297.7</v>
      </c>
      <c r="I34" s="232">
        <v>1.9</v>
      </c>
      <c r="J34" s="232">
        <v>95</v>
      </c>
      <c r="K34" s="228">
        <v>33.5</v>
      </c>
    </row>
    <row r="35" spans="1:11" ht="13.8">
      <c r="A35" s="165" t="s">
        <v>304</v>
      </c>
      <c r="B35">
        <v>72.099999999999994</v>
      </c>
      <c r="C35" s="228">
        <v>50601</v>
      </c>
      <c r="D35" s="241">
        <v>1.9</v>
      </c>
      <c r="E35" s="229">
        <v>19.899999999999999</v>
      </c>
      <c r="F35" s="230">
        <v>109.1</v>
      </c>
      <c r="G35" s="228">
        <v>50.35</v>
      </c>
      <c r="H35" s="231">
        <v>1012.6</v>
      </c>
      <c r="I35" s="232">
        <v>315</v>
      </c>
      <c r="J35" s="232">
        <v>103</v>
      </c>
      <c r="K35" s="228">
        <v>152</v>
      </c>
    </row>
    <row r="36" spans="1:11" ht="13.8">
      <c r="A36" s="165" t="s">
        <v>305</v>
      </c>
      <c r="B36">
        <v>70.430000000000007</v>
      </c>
      <c r="C36" s="228">
        <v>38903</v>
      </c>
      <c r="D36" s="241">
        <v>2.2999999999999998</v>
      </c>
      <c r="E36" s="229">
        <v>9.6</v>
      </c>
      <c r="F36" s="230">
        <v>116.7</v>
      </c>
      <c r="G36" s="228">
        <v>45.88</v>
      </c>
      <c r="H36" s="231">
        <v>795.3</v>
      </c>
      <c r="I36" s="232">
        <v>201</v>
      </c>
      <c r="J36" s="232">
        <v>92</v>
      </c>
      <c r="K36" s="228">
        <v>116.8</v>
      </c>
    </row>
    <row r="37" spans="1:11" ht="13.8">
      <c r="A37" s="165" t="s">
        <v>306</v>
      </c>
      <c r="B37">
        <v>72.2</v>
      </c>
      <c r="C37" s="228">
        <v>49936</v>
      </c>
      <c r="D37" s="241">
        <v>3.4</v>
      </c>
      <c r="E37" s="229">
        <v>21</v>
      </c>
      <c r="F37" s="230">
        <v>111.5</v>
      </c>
      <c r="G37" s="228">
        <v>58.89</v>
      </c>
      <c r="H37" s="231">
        <v>810.4</v>
      </c>
      <c r="I37" s="232">
        <v>113</v>
      </c>
      <c r="J37" s="232">
        <v>86</v>
      </c>
      <c r="K37" s="228">
        <v>95.3</v>
      </c>
    </row>
    <row r="38" spans="1:11" ht="13.8">
      <c r="A38" s="165" t="s">
        <v>307</v>
      </c>
      <c r="B38">
        <v>71.83</v>
      </c>
      <c r="C38" s="228">
        <v>40804</v>
      </c>
      <c r="D38" s="241">
        <v>3.6</v>
      </c>
      <c r="E38" s="229">
        <v>9.1999999999999993</v>
      </c>
      <c r="F38" s="230">
        <v>121.6</v>
      </c>
      <c r="G38" s="228">
        <v>52.34</v>
      </c>
      <c r="H38" s="231">
        <v>802.9</v>
      </c>
      <c r="I38" s="232">
        <v>100</v>
      </c>
      <c r="J38" s="232">
        <v>123</v>
      </c>
      <c r="K38" s="228">
        <v>150.80000000000001</v>
      </c>
    </row>
    <row r="39" spans="1:11" ht="13.8">
      <c r="A39" s="165" t="s">
        <v>308</v>
      </c>
      <c r="B39">
        <v>71.12</v>
      </c>
      <c r="C39" s="228">
        <v>36756</v>
      </c>
      <c r="D39" s="241">
        <v>2.6</v>
      </c>
      <c r="E39" s="229">
        <v>24.9</v>
      </c>
      <c r="F39" s="230">
        <v>131.19999999999999</v>
      </c>
      <c r="G39" s="228">
        <v>47.43</v>
      </c>
      <c r="H39" s="231">
        <v>934.6</v>
      </c>
      <c r="I39" s="232">
        <v>165</v>
      </c>
      <c r="J39" s="232">
        <v>106</v>
      </c>
      <c r="K39" s="228">
        <v>73.3</v>
      </c>
    </row>
    <row r="40" spans="1:11" ht="13.8">
      <c r="A40" s="165" t="s">
        <v>309</v>
      </c>
      <c r="B40">
        <v>71.650000000000006</v>
      </c>
      <c r="C40" s="228">
        <v>43730</v>
      </c>
      <c r="D40" s="241">
        <v>3.3</v>
      </c>
      <c r="E40" s="229">
        <v>20.3</v>
      </c>
      <c r="F40" s="230">
        <v>116.3</v>
      </c>
      <c r="G40" s="228">
        <v>46.31</v>
      </c>
      <c r="H40" s="231">
        <v>1146.2</v>
      </c>
      <c r="I40" s="232">
        <v>409</v>
      </c>
      <c r="J40" s="232">
        <v>97</v>
      </c>
      <c r="K40" s="228">
        <v>94.9</v>
      </c>
    </row>
    <row r="41" spans="1:11" ht="13.8">
      <c r="A41" s="165" t="s">
        <v>310</v>
      </c>
      <c r="B41">
        <v>72.63</v>
      </c>
      <c r="C41" s="228">
        <v>36429</v>
      </c>
      <c r="D41" s="241">
        <v>2.9</v>
      </c>
      <c r="E41" s="229">
        <v>17.7</v>
      </c>
      <c r="F41" s="230">
        <v>121.8</v>
      </c>
      <c r="G41" s="228">
        <v>47.33</v>
      </c>
      <c r="H41" s="231">
        <v>763.5</v>
      </c>
      <c r="I41" s="232">
        <v>279</v>
      </c>
      <c r="J41" s="232">
        <v>114</v>
      </c>
      <c r="K41" s="228">
        <v>125.3</v>
      </c>
    </row>
    <row r="42" spans="1:11" ht="13.8">
      <c r="A42" s="165" t="s">
        <v>311</v>
      </c>
      <c r="B42">
        <v>70.94</v>
      </c>
      <c r="C42" s="228">
        <v>45639</v>
      </c>
      <c r="D42" s="241">
        <v>2.8</v>
      </c>
      <c r="E42" s="229">
        <v>15.4</v>
      </c>
      <c r="F42" s="230">
        <v>132</v>
      </c>
      <c r="G42" s="228">
        <v>49.64</v>
      </c>
      <c r="H42" s="231">
        <v>921.5</v>
      </c>
      <c r="I42" s="232">
        <v>147</v>
      </c>
      <c r="J42" s="232">
        <v>86</v>
      </c>
      <c r="K42" s="228">
        <v>82.2</v>
      </c>
    </row>
    <row r="43" spans="1:11" ht="13.8">
      <c r="A43" s="165" t="s">
        <v>312</v>
      </c>
      <c r="B43">
        <v>70.06</v>
      </c>
      <c r="C43" s="228">
        <v>54494</v>
      </c>
      <c r="D43" s="241">
        <v>2.6</v>
      </c>
      <c r="E43" s="229">
        <v>7.1</v>
      </c>
      <c r="F43" s="230">
        <v>108.8</v>
      </c>
      <c r="G43" s="228">
        <v>53.54</v>
      </c>
      <c r="H43" s="231">
        <v>888.1</v>
      </c>
      <c r="I43" s="232">
        <v>94</v>
      </c>
      <c r="J43" s="232">
        <v>85</v>
      </c>
      <c r="K43" s="228">
        <v>127.1</v>
      </c>
    </row>
    <row r="44" spans="1:11" ht="13.8">
      <c r="A44" s="165" t="s">
        <v>313</v>
      </c>
      <c r="B44">
        <v>70</v>
      </c>
      <c r="C44" s="228">
        <v>39898</v>
      </c>
      <c r="D44" s="241">
        <v>2.9</v>
      </c>
      <c r="E44" s="229">
        <v>21</v>
      </c>
      <c r="F44" s="230">
        <v>107.3</v>
      </c>
      <c r="G44" s="228">
        <v>34.5</v>
      </c>
      <c r="H44" s="231">
        <v>755.1</v>
      </c>
      <c r="I44" s="232">
        <v>313</v>
      </c>
      <c r="J44" s="232">
        <v>144</v>
      </c>
      <c r="K44" s="228">
        <v>117.5</v>
      </c>
    </row>
    <row r="45" spans="1:11" ht="13.8">
      <c r="A45" s="165" t="s">
        <v>314</v>
      </c>
      <c r="B45">
        <v>75.36</v>
      </c>
      <c r="C45" s="228">
        <v>42684</v>
      </c>
      <c r="D45" s="241">
        <v>4</v>
      </c>
      <c r="E45" s="229">
        <v>33.6</v>
      </c>
      <c r="F45" s="230">
        <v>157.1</v>
      </c>
      <c r="G45" s="228">
        <v>36.840000000000003</v>
      </c>
      <c r="H45" s="231">
        <v>620.79999999999995</v>
      </c>
      <c r="I45" s="232">
        <v>579</v>
      </c>
      <c r="J45" s="232">
        <v>79</v>
      </c>
      <c r="K45" s="228">
        <v>87.9</v>
      </c>
    </row>
    <row r="46" spans="1:11" ht="13.8">
      <c r="A46" s="165" t="s">
        <v>315</v>
      </c>
      <c r="B46">
        <v>69.39</v>
      </c>
      <c r="C46" s="228">
        <v>34817</v>
      </c>
      <c r="D46" s="241">
        <v>8.9</v>
      </c>
      <c r="E46" s="229">
        <v>13.6</v>
      </c>
      <c r="F46" s="230">
        <v>133.69999999999999</v>
      </c>
      <c r="G46" s="228">
        <v>45.74</v>
      </c>
      <c r="H46" s="231">
        <v>921.1</v>
      </c>
      <c r="I46" s="232">
        <v>50</v>
      </c>
      <c r="J46" s="232">
        <v>74</v>
      </c>
      <c r="K46" s="228">
        <v>159.4</v>
      </c>
    </row>
    <row r="47" spans="1:11" ht="13.8">
      <c r="A47" s="165" t="s">
        <v>316</v>
      </c>
      <c r="B47">
        <v>73.17</v>
      </c>
      <c r="C47" s="228">
        <v>40022</v>
      </c>
      <c r="D47" s="241">
        <v>2.2999999999999998</v>
      </c>
      <c r="E47" s="229">
        <v>18.8</v>
      </c>
      <c r="F47" s="230">
        <v>135.5</v>
      </c>
      <c r="G47" s="228">
        <v>44.37</v>
      </c>
      <c r="H47" s="231">
        <v>1022.5</v>
      </c>
      <c r="I47" s="232">
        <v>325</v>
      </c>
      <c r="J47" s="232">
        <v>98</v>
      </c>
      <c r="K47" s="228">
        <v>88.8</v>
      </c>
    </row>
    <row r="48" spans="1:11" ht="13.8">
      <c r="A48" s="165" t="s">
        <v>317</v>
      </c>
      <c r="B48">
        <v>69.540000000000006</v>
      </c>
      <c r="C48" s="228">
        <v>38412</v>
      </c>
      <c r="D48" s="241">
        <v>5.7</v>
      </c>
      <c r="E48" s="229">
        <v>12.7</v>
      </c>
      <c r="F48" s="230">
        <v>123.5</v>
      </c>
      <c r="G48" s="228">
        <v>43.82</v>
      </c>
      <c r="H48" s="231">
        <v>722.5</v>
      </c>
      <c r="I48" s="232">
        <v>27</v>
      </c>
      <c r="J48" s="232">
        <v>127</v>
      </c>
      <c r="K48" s="228">
        <v>110.2</v>
      </c>
    </row>
    <row r="49" spans="1:11" ht="13.8">
      <c r="A49" s="165" t="s">
        <v>318</v>
      </c>
      <c r="B49">
        <v>79.87</v>
      </c>
      <c r="C49" s="228">
        <v>39686</v>
      </c>
      <c r="D49" s="241">
        <v>11.9</v>
      </c>
      <c r="E49" s="229">
        <v>18.2</v>
      </c>
      <c r="F49" s="230">
        <v>156.19999999999999</v>
      </c>
      <c r="G49" s="228">
        <v>40.119999999999997</v>
      </c>
      <c r="H49" s="231">
        <v>794.6</v>
      </c>
      <c r="I49" s="232">
        <v>477</v>
      </c>
      <c r="J49" s="232">
        <v>97</v>
      </c>
      <c r="K49" s="228">
        <v>52.1</v>
      </c>
    </row>
    <row r="50" spans="1:11" ht="13.8">
      <c r="A50" s="165" t="s">
        <v>320</v>
      </c>
      <c r="B50">
        <v>74.53</v>
      </c>
      <c r="C50" s="228">
        <v>28635</v>
      </c>
      <c r="D50" s="241">
        <v>6.5</v>
      </c>
      <c r="E50" s="229">
        <v>33.6</v>
      </c>
      <c r="F50" s="230">
        <v>133.69999999999999</v>
      </c>
      <c r="G50" s="228">
        <v>48.47</v>
      </c>
      <c r="H50" s="231">
        <v>668.2</v>
      </c>
      <c r="I50" s="232">
        <v>51</v>
      </c>
      <c r="J50" s="232">
        <v>91</v>
      </c>
      <c r="K50" s="228">
        <v>200.7</v>
      </c>
    </row>
    <row r="51" spans="1:11" ht="13.8">
      <c r="A51" s="165" t="s">
        <v>321</v>
      </c>
      <c r="B51">
        <v>69.75</v>
      </c>
      <c r="C51" s="228">
        <v>53068</v>
      </c>
      <c r="D51" s="241">
        <v>5.3</v>
      </c>
      <c r="E51" s="229">
        <v>9.6999999999999993</v>
      </c>
      <c r="F51" s="230">
        <v>118.5</v>
      </c>
      <c r="G51" s="228">
        <v>59.9</v>
      </c>
      <c r="H51" s="231">
        <v>1505.9</v>
      </c>
      <c r="I51" s="232">
        <v>48</v>
      </c>
      <c r="J51" s="232">
        <v>91</v>
      </c>
      <c r="K51" s="228">
        <v>109.5</v>
      </c>
    </row>
    <row r="52" spans="1:11" ht="13.8">
      <c r="A52" s="165" t="s">
        <v>322</v>
      </c>
      <c r="B52">
        <v>70.430000000000007</v>
      </c>
      <c r="C52" s="228">
        <v>56152</v>
      </c>
      <c r="D52" s="241">
        <v>4.7</v>
      </c>
      <c r="E52" s="229">
        <v>17.3</v>
      </c>
      <c r="F52" s="230">
        <v>97.4</v>
      </c>
      <c r="G52" s="228">
        <v>53.73</v>
      </c>
      <c r="H52" s="231">
        <v>1149.3</v>
      </c>
      <c r="I52" s="232">
        <v>17</v>
      </c>
      <c r="J52" s="232">
        <v>96</v>
      </c>
      <c r="K52" s="228">
        <v>118.9</v>
      </c>
    </row>
    <row r="53" spans="1:11" ht="13.8">
      <c r="A53" s="165" t="s">
        <v>323</v>
      </c>
      <c r="B53">
        <v>72.760000000000005</v>
      </c>
      <c r="C53" s="228">
        <v>32875</v>
      </c>
      <c r="D53" s="241">
        <v>3.6</v>
      </c>
      <c r="E53" s="229">
        <v>25.7</v>
      </c>
      <c r="F53" s="230">
        <v>117.2</v>
      </c>
      <c r="G53" s="228">
        <v>46.78</v>
      </c>
      <c r="H53" s="231">
        <v>584.5</v>
      </c>
      <c r="I53" s="232">
        <v>512</v>
      </c>
      <c r="J53" s="232">
        <v>118</v>
      </c>
      <c r="K53" s="228">
        <v>75.2</v>
      </c>
    </row>
    <row r="54" spans="1:11" ht="13.8">
      <c r="A54" s="165" t="s">
        <v>324</v>
      </c>
      <c r="B54">
        <v>72.040000000000006</v>
      </c>
      <c r="C54" s="228">
        <v>31013</v>
      </c>
      <c r="D54" s="241">
        <v>3.4</v>
      </c>
      <c r="E54" s="229">
        <v>25.7</v>
      </c>
      <c r="F54" s="230">
        <v>124.9</v>
      </c>
      <c r="G54" s="228">
        <v>36.950000000000003</v>
      </c>
      <c r="H54" s="231">
        <v>971.7</v>
      </c>
      <c r="I54" s="232">
        <v>226</v>
      </c>
      <c r="J54" s="232">
        <v>82</v>
      </c>
      <c r="K54" s="228">
        <v>98.8</v>
      </c>
    </row>
    <row r="55" spans="1:11" ht="13.8">
      <c r="A55" s="165" t="s">
        <v>325</v>
      </c>
      <c r="B55">
        <v>73.78</v>
      </c>
      <c r="C55" s="228">
        <v>30647</v>
      </c>
      <c r="D55" s="241">
        <v>2.5</v>
      </c>
      <c r="E55" s="229">
        <v>30.8</v>
      </c>
      <c r="F55" s="230">
        <v>133.5</v>
      </c>
      <c r="G55" s="228">
        <v>54.54</v>
      </c>
      <c r="H55" s="231">
        <v>660.9</v>
      </c>
      <c r="I55" s="232">
        <v>305</v>
      </c>
      <c r="J55" s="232">
        <v>86</v>
      </c>
      <c r="K55" s="228">
        <v>74.3</v>
      </c>
    </row>
    <row r="56" spans="1:11" ht="13.8">
      <c r="A56" s="165" t="s">
        <v>326</v>
      </c>
      <c r="B56">
        <v>73.55</v>
      </c>
      <c r="C56" s="228">
        <v>69031</v>
      </c>
      <c r="D56" s="241">
        <v>5.7</v>
      </c>
      <c r="E56" s="229">
        <v>24.4</v>
      </c>
      <c r="F56" s="230">
        <v>116</v>
      </c>
      <c r="G56" s="228">
        <v>60.27</v>
      </c>
      <c r="H56" s="231">
        <v>1099.4000000000001</v>
      </c>
      <c r="I56" s="232">
        <v>4.0999999999999996</v>
      </c>
      <c r="J56" s="232">
        <v>72</v>
      </c>
      <c r="K56" s="228">
        <v>80.599999999999994</v>
      </c>
    </row>
    <row r="57" spans="1:11" ht="13.8">
      <c r="A57" s="165" t="s">
        <v>327</v>
      </c>
      <c r="B57">
        <v>76.16</v>
      </c>
      <c r="C57" s="228">
        <v>35276</v>
      </c>
      <c r="D57" s="241">
        <v>10.1</v>
      </c>
      <c r="E57" s="229">
        <v>30.2</v>
      </c>
      <c r="F57" s="230">
        <v>105.8</v>
      </c>
      <c r="G57" s="228">
        <v>71.44</v>
      </c>
      <c r="H57" s="231">
        <v>638.1</v>
      </c>
      <c r="I57" s="232">
        <v>717</v>
      </c>
      <c r="J57" s="232">
        <v>223</v>
      </c>
      <c r="K57" s="228">
        <v>129.69999999999999</v>
      </c>
    </row>
    <row r="58" spans="1:11" ht="13.8">
      <c r="A58" s="165" t="s">
        <v>328</v>
      </c>
      <c r="B58">
        <v>75.25</v>
      </c>
      <c r="C58" s="228">
        <v>52524</v>
      </c>
      <c r="D58" s="241">
        <v>2.1</v>
      </c>
      <c r="E58" s="229">
        <v>22.4</v>
      </c>
      <c r="F58" s="232">
        <v>162.30000000000001</v>
      </c>
      <c r="G58" s="228">
        <v>45.26</v>
      </c>
      <c r="H58" s="231">
        <v>828.6</v>
      </c>
      <c r="I58" s="232">
        <v>476</v>
      </c>
      <c r="J58" s="232">
        <v>52</v>
      </c>
      <c r="K58" s="228">
        <v>83.5</v>
      </c>
    </row>
    <row r="59" spans="1:11" ht="13.8">
      <c r="A59" s="165" t="s">
        <v>329</v>
      </c>
      <c r="B59">
        <v>66.59</v>
      </c>
      <c r="C59" s="228">
        <v>28934</v>
      </c>
      <c r="D59" s="241">
        <v>6.7</v>
      </c>
      <c r="E59" s="229">
        <v>16.399999999999999</v>
      </c>
      <c r="F59" s="230">
        <v>96.4</v>
      </c>
      <c r="G59" s="228">
        <v>51.25</v>
      </c>
      <c r="H59" s="231">
        <v>658.4</v>
      </c>
      <c r="I59" s="232">
        <v>22</v>
      </c>
      <c r="J59" s="232">
        <v>71</v>
      </c>
      <c r="K59" s="228">
        <v>150</v>
      </c>
    </row>
    <row r="60" spans="1:11" ht="13.8">
      <c r="A60" s="165" t="s">
        <v>330</v>
      </c>
      <c r="B60">
        <v>70.680000000000007</v>
      </c>
      <c r="C60" s="228">
        <v>34999</v>
      </c>
      <c r="D60" s="241">
        <v>2.1</v>
      </c>
      <c r="E60" s="229">
        <v>14.7</v>
      </c>
      <c r="F60" s="230">
        <v>156.19999999999999</v>
      </c>
      <c r="G60" s="228">
        <v>40.06</v>
      </c>
      <c r="H60" s="231">
        <v>884.4</v>
      </c>
      <c r="I60" s="232">
        <v>95</v>
      </c>
      <c r="J60" s="232">
        <v>64</v>
      </c>
      <c r="K60" s="228">
        <v>98.8</v>
      </c>
    </row>
    <row r="61" spans="1:11" ht="13.8">
      <c r="A61" s="165" t="s">
        <v>331</v>
      </c>
      <c r="B61">
        <v>73.48</v>
      </c>
      <c r="C61" s="228">
        <v>46840</v>
      </c>
      <c r="D61" s="241">
        <v>3.1</v>
      </c>
      <c r="E61" s="229">
        <v>25.3</v>
      </c>
      <c r="F61" s="230">
        <v>124.7</v>
      </c>
      <c r="G61" s="228">
        <v>38.54</v>
      </c>
      <c r="H61" s="231">
        <v>750.2</v>
      </c>
      <c r="I61" s="232">
        <v>273</v>
      </c>
      <c r="J61" s="232">
        <v>90</v>
      </c>
      <c r="K61" s="228">
        <v>67.8</v>
      </c>
    </row>
    <row r="62" spans="1:11" ht="13.8">
      <c r="A62" s="165" t="s">
        <v>332</v>
      </c>
      <c r="B62">
        <v>73.19</v>
      </c>
      <c r="C62" s="228">
        <v>39905</v>
      </c>
      <c r="D62" s="241">
        <v>2.9</v>
      </c>
      <c r="E62" s="229">
        <v>12.5</v>
      </c>
      <c r="F62" s="230">
        <v>132.1</v>
      </c>
      <c r="G62" s="228">
        <v>57.17</v>
      </c>
      <c r="H62" s="231">
        <v>790.1</v>
      </c>
      <c r="I62" s="232">
        <v>285</v>
      </c>
      <c r="J62" s="232">
        <v>99</v>
      </c>
      <c r="K62" s="228">
        <v>137.9</v>
      </c>
    </row>
    <row r="63" spans="1:11" ht="13.8">
      <c r="A63" s="165" t="s">
        <v>333</v>
      </c>
      <c r="B63">
        <v>72.53</v>
      </c>
      <c r="C63" s="228">
        <v>42701</v>
      </c>
      <c r="D63" s="241">
        <v>2</v>
      </c>
      <c r="E63" s="229">
        <v>19.899999999999999</v>
      </c>
      <c r="F63" s="230">
        <v>140.1</v>
      </c>
      <c r="G63" s="228">
        <v>50.69</v>
      </c>
      <c r="H63" s="231">
        <v>935.4</v>
      </c>
      <c r="I63" s="232">
        <v>352</v>
      </c>
      <c r="J63" s="232">
        <v>81</v>
      </c>
      <c r="K63" s="228">
        <v>96.7</v>
      </c>
    </row>
    <row r="64" spans="1:11" ht="13.8">
      <c r="A64" s="165" t="s">
        <v>334</v>
      </c>
      <c r="B64">
        <v>76.55</v>
      </c>
      <c r="C64" s="228">
        <v>72037</v>
      </c>
      <c r="D64" s="241">
        <v>1.6</v>
      </c>
      <c r="E64" s="229">
        <v>21.8</v>
      </c>
      <c r="F64" s="230">
        <v>118.6</v>
      </c>
      <c r="G64" s="228">
        <v>91.4</v>
      </c>
      <c r="H64" s="231">
        <v>1124</v>
      </c>
      <c r="I64" s="232">
        <v>2542</v>
      </c>
      <c r="J64" s="232">
        <v>97</v>
      </c>
      <c r="K64" s="228">
        <v>71.900000000000006</v>
      </c>
    </row>
    <row r="65" spans="1:11" ht="13.8">
      <c r="A65" s="165" t="s">
        <v>335</v>
      </c>
      <c r="B65">
        <v>73.27</v>
      </c>
      <c r="C65" s="228">
        <v>33348</v>
      </c>
      <c r="D65" s="241">
        <v>2.7</v>
      </c>
      <c r="E65" s="229">
        <v>28.2</v>
      </c>
      <c r="F65" s="230">
        <v>107.6</v>
      </c>
      <c r="G65" s="228">
        <v>50.74</v>
      </c>
      <c r="H65" s="231">
        <v>734.8</v>
      </c>
      <c r="I65" s="232">
        <v>182</v>
      </c>
      <c r="J65" s="232">
        <v>80</v>
      </c>
      <c r="K65" s="228">
        <v>110.9</v>
      </c>
    </row>
    <row r="66" spans="1:11" ht="13.8">
      <c r="A66" s="165" t="s">
        <v>336</v>
      </c>
      <c r="B66">
        <v>70.22</v>
      </c>
      <c r="C66" s="228">
        <v>87902</v>
      </c>
      <c r="D66" s="241">
        <v>2.8</v>
      </c>
      <c r="E66" s="229">
        <v>15.6</v>
      </c>
      <c r="F66" s="230">
        <v>84.7</v>
      </c>
      <c r="G66" s="228">
        <v>72.930000000000007</v>
      </c>
      <c r="H66" s="231">
        <v>692.4</v>
      </c>
      <c r="I66" s="232">
        <v>33</v>
      </c>
      <c r="J66" s="232">
        <v>158</v>
      </c>
      <c r="K66" s="228">
        <v>93.2</v>
      </c>
    </row>
    <row r="67" spans="1:11" ht="13.8">
      <c r="A67" s="165" t="s">
        <v>337</v>
      </c>
      <c r="B67">
        <v>71.84</v>
      </c>
      <c r="C67" s="228">
        <v>53413</v>
      </c>
      <c r="D67" s="241">
        <v>2.4</v>
      </c>
      <c r="E67" s="229">
        <v>15.2</v>
      </c>
      <c r="F67" s="230">
        <v>115.5</v>
      </c>
      <c r="G67" s="228">
        <v>45.37</v>
      </c>
      <c r="H67" s="231">
        <v>921.8</v>
      </c>
      <c r="I67" s="232">
        <v>130</v>
      </c>
      <c r="J67" s="232">
        <v>79</v>
      </c>
      <c r="K67" s="228">
        <v>66.400000000000006</v>
      </c>
    </row>
    <row r="68" spans="1:11" ht="13.8">
      <c r="A68" s="165" t="s">
        <v>338</v>
      </c>
      <c r="B68">
        <v>76.11</v>
      </c>
      <c r="C68" s="228">
        <v>39968</v>
      </c>
      <c r="D68" s="241">
        <v>3.3</v>
      </c>
      <c r="E68" s="229">
        <v>22.9</v>
      </c>
      <c r="F68" s="232">
        <v>156.5</v>
      </c>
      <c r="G68" s="228">
        <v>47.13</v>
      </c>
      <c r="H68" s="231">
        <v>543.9</v>
      </c>
      <c r="I68" s="232">
        <v>1213</v>
      </c>
      <c r="J68" s="232">
        <v>116</v>
      </c>
      <c r="K68" s="228">
        <v>92.4</v>
      </c>
    </row>
    <row r="69" spans="1:11" ht="13.8">
      <c r="A69" s="165" t="s">
        <v>339</v>
      </c>
      <c r="B69">
        <v>71.47</v>
      </c>
      <c r="C69" s="228">
        <v>42734</v>
      </c>
      <c r="D69" s="241">
        <v>3</v>
      </c>
      <c r="E69" s="229">
        <v>15.4</v>
      </c>
      <c r="F69" s="230">
        <v>106.7</v>
      </c>
      <c r="G69" s="228">
        <v>54.07</v>
      </c>
      <c r="H69" s="231">
        <v>667.6</v>
      </c>
      <c r="I69" s="232">
        <v>337</v>
      </c>
      <c r="J69" s="232">
        <v>107</v>
      </c>
      <c r="K69" s="228">
        <v>108.1</v>
      </c>
    </row>
    <row r="70" spans="1:11" ht="13.8">
      <c r="A70" s="165" t="s">
        <v>340</v>
      </c>
      <c r="B70">
        <v>74.86</v>
      </c>
      <c r="C70" s="228">
        <v>32930</v>
      </c>
      <c r="D70" s="241">
        <v>3.8</v>
      </c>
      <c r="E70" s="229">
        <v>21.1</v>
      </c>
      <c r="F70" s="230">
        <v>123.6</v>
      </c>
      <c r="G70" s="228">
        <v>44.8</v>
      </c>
      <c r="H70" s="231">
        <v>846.3</v>
      </c>
      <c r="I70" s="232">
        <v>281</v>
      </c>
      <c r="J70" s="232">
        <v>70</v>
      </c>
      <c r="K70" s="228">
        <v>86.6</v>
      </c>
    </row>
    <row r="71" spans="1:11" ht="13.8">
      <c r="A71" s="165" t="s">
        <v>341</v>
      </c>
      <c r="B71">
        <v>72.87</v>
      </c>
      <c r="C71" s="228">
        <v>39229</v>
      </c>
      <c r="D71" s="241">
        <v>3.1</v>
      </c>
      <c r="E71" s="229">
        <v>27.7</v>
      </c>
      <c r="F71" s="230">
        <v>128.69999999999999</v>
      </c>
      <c r="G71" s="228">
        <v>46.09</v>
      </c>
      <c r="H71" s="231">
        <v>667.1</v>
      </c>
      <c r="I71" s="232">
        <v>299</v>
      </c>
      <c r="J71" s="232">
        <v>85</v>
      </c>
      <c r="K71" s="228">
        <v>113.7</v>
      </c>
    </row>
    <row r="72" spans="1:11" ht="13.8">
      <c r="A72" s="165" t="s">
        <v>342</v>
      </c>
      <c r="B72">
        <v>70.61</v>
      </c>
      <c r="C72" s="228">
        <v>41274</v>
      </c>
      <c r="D72" s="241">
        <v>3.2</v>
      </c>
      <c r="E72" s="229">
        <v>17.100000000000001</v>
      </c>
      <c r="F72" s="230">
        <v>108</v>
      </c>
      <c r="G72" s="228">
        <v>49.19</v>
      </c>
      <c r="H72" s="231">
        <v>854.1</v>
      </c>
      <c r="I72" s="232">
        <v>258</v>
      </c>
      <c r="J72" s="232">
        <v>87</v>
      </c>
      <c r="K72" s="228">
        <v>120.2</v>
      </c>
    </row>
    <row r="73" spans="1:11" ht="13.8">
      <c r="A73" s="165" t="s">
        <v>343</v>
      </c>
      <c r="B73">
        <v>73.05</v>
      </c>
      <c r="C73" s="228">
        <v>41600</v>
      </c>
      <c r="D73" s="241">
        <v>4</v>
      </c>
      <c r="E73" s="229">
        <v>17</v>
      </c>
      <c r="F73" s="230">
        <v>94.5</v>
      </c>
      <c r="G73" s="228">
        <v>63.91</v>
      </c>
      <c r="H73" s="231">
        <v>774.7</v>
      </c>
      <c r="I73" s="232">
        <v>26</v>
      </c>
      <c r="J73" s="232">
        <v>91</v>
      </c>
      <c r="K73" s="228">
        <v>39.1</v>
      </c>
    </row>
    <row r="74" spans="1:11" ht="13.8">
      <c r="A74" s="165" t="s">
        <v>344</v>
      </c>
      <c r="B74">
        <v>72.150000000000006</v>
      </c>
      <c r="C74" s="228">
        <v>42375</v>
      </c>
      <c r="D74" s="241">
        <v>2.7</v>
      </c>
      <c r="E74" s="229">
        <v>17.399999999999999</v>
      </c>
      <c r="F74" s="230">
        <v>126.3</v>
      </c>
      <c r="G74" s="228">
        <v>41.92</v>
      </c>
      <c r="H74" s="231">
        <v>767</v>
      </c>
      <c r="I74" s="232">
        <v>427</v>
      </c>
      <c r="J74" s="232">
        <v>118</v>
      </c>
      <c r="K74" s="228">
        <v>117.7</v>
      </c>
    </row>
    <row r="75" spans="1:11" ht="13.8">
      <c r="A75" s="165" t="s">
        <v>345</v>
      </c>
      <c r="B75">
        <v>74.39</v>
      </c>
      <c r="C75" s="228">
        <v>43350</v>
      </c>
      <c r="D75" s="241">
        <v>3.1</v>
      </c>
      <c r="E75" s="229">
        <v>21.7</v>
      </c>
      <c r="F75" s="230">
        <v>136.6</v>
      </c>
      <c r="G75" s="228">
        <v>59.77</v>
      </c>
      <c r="H75" s="231">
        <v>723.3</v>
      </c>
      <c r="I75" s="232">
        <v>93</v>
      </c>
      <c r="J75" s="232">
        <v>154</v>
      </c>
      <c r="K75" s="228">
        <v>177.2</v>
      </c>
    </row>
    <row r="76" spans="1:11" ht="13.8">
      <c r="A76" s="165" t="s">
        <v>346</v>
      </c>
      <c r="B76">
        <v>72.34</v>
      </c>
      <c r="C76" s="228">
        <v>38939</v>
      </c>
      <c r="D76" s="241">
        <v>2.5</v>
      </c>
      <c r="E76" s="229">
        <v>18.899999999999999</v>
      </c>
      <c r="F76" s="230">
        <v>124.2</v>
      </c>
      <c r="G76" s="228">
        <v>53.97</v>
      </c>
      <c r="H76" s="231">
        <v>898.1</v>
      </c>
      <c r="I76" s="232">
        <v>270</v>
      </c>
      <c r="J76" s="232">
        <v>60</v>
      </c>
      <c r="K76" s="228">
        <v>90.5</v>
      </c>
    </row>
    <row r="77" spans="1:11" ht="13.8">
      <c r="A77" s="165" t="s">
        <v>347</v>
      </c>
      <c r="B77">
        <v>72.040000000000006</v>
      </c>
      <c r="C77" s="228">
        <v>35783</v>
      </c>
      <c r="D77" s="241">
        <v>2.8</v>
      </c>
      <c r="E77" s="229">
        <v>12.4</v>
      </c>
      <c r="F77" s="230">
        <v>121.1</v>
      </c>
      <c r="G77" s="228">
        <v>44.15</v>
      </c>
      <c r="H77" s="231">
        <v>722.7</v>
      </c>
      <c r="I77" s="232">
        <v>263</v>
      </c>
      <c r="J77" s="232">
        <v>111</v>
      </c>
      <c r="K77" s="228">
        <v>87.8</v>
      </c>
    </row>
    <row r="78" spans="1:11" ht="13.8">
      <c r="A78" s="165" t="s">
        <v>348</v>
      </c>
      <c r="B78">
        <v>70.33</v>
      </c>
      <c r="C78" s="228">
        <v>58092</v>
      </c>
      <c r="D78" s="241">
        <v>2.1</v>
      </c>
      <c r="E78" s="229">
        <v>17.8</v>
      </c>
      <c r="F78" s="230">
        <v>117.3</v>
      </c>
      <c r="G78" s="228">
        <v>54.99</v>
      </c>
      <c r="H78" s="231">
        <v>726.3</v>
      </c>
      <c r="I78" s="232">
        <v>13</v>
      </c>
      <c r="J78" s="232">
        <v>74</v>
      </c>
      <c r="K78" s="228">
        <v>103.4</v>
      </c>
    </row>
    <row r="79" spans="1:11" ht="13.8">
      <c r="A79" s="165" t="s">
        <v>349</v>
      </c>
      <c r="B79">
        <v>76.319999999999993</v>
      </c>
      <c r="C79" s="228">
        <v>72634</v>
      </c>
      <c r="D79" s="241">
        <v>1.8</v>
      </c>
      <c r="E79" s="229">
        <v>15.2</v>
      </c>
      <c r="F79" s="230">
        <v>140.30000000000001</v>
      </c>
      <c r="G79" s="228">
        <v>58.22</v>
      </c>
      <c r="H79" s="231">
        <v>878.9</v>
      </c>
      <c r="I79" s="232">
        <v>12</v>
      </c>
      <c r="J79" s="232">
        <v>58</v>
      </c>
      <c r="K79" s="228">
        <v>73.900000000000006</v>
      </c>
    </row>
    <row r="80" spans="1:11" ht="13.8">
      <c r="A80" s="165" t="s">
        <v>350</v>
      </c>
      <c r="B80">
        <v>72.430000000000007</v>
      </c>
      <c r="C80" s="228">
        <v>39703</v>
      </c>
      <c r="D80" s="241">
        <v>2.4</v>
      </c>
      <c r="E80" s="229">
        <v>20.9</v>
      </c>
      <c r="F80" s="230">
        <v>136.19999999999999</v>
      </c>
      <c r="G80" s="228">
        <v>43.15</v>
      </c>
      <c r="H80" s="231">
        <v>939.3</v>
      </c>
      <c r="I80" s="232">
        <v>249</v>
      </c>
      <c r="J80" s="232">
        <v>89</v>
      </c>
      <c r="K80" s="228">
        <v>108.5</v>
      </c>
    </row>
    <row r="81" spans="1:11" ht="13.8">
      <c r="A81" s="165" t="s">
        <v>351</v>
      </c>
      <c r="B81">
        <v>76.260000000000005</v>
      </c>
      <c r="C81" s="228">
        <v>35920</v>
      </c>
      <c r="D81" s="241">
        <v>10.7</v>
      </c>
      <c r="E81" s="229">
        <v>20.6</v>
      </c>
      <c r="F81" s="230">
        <v>179</v>
      </c>
      <c r="G81" s="228">
        <v>33.32</v>
      </c>
      <c r="H81" s="231">
        <v>428.3</v>
      </c>
      <c r="I81" s="232">
        <v>652</v>
      </c>
      <c r="J81" s="232">
        <v>81</v>
      </c>
      <c r="K81" s="228">
        <v>10.9</v>
      </c>
    </row>
    <row r="82" spans="1:11" ht="13.8">
      <c r="A82" s="165" t="s">
        <v>352</v>
      </c>
      <c r="B82">
        <v>73.069999999999993</v>
      </c>
      <c r="C82" s="228">
        <v>34129</v>
      </c>
      <c r="D82" s="241">
        <v>2.4</v>
      </c>
      <c r="E82" s="229">
        <v>21.7</v>
      </c>
      <c r="F82" s="230">
        <v>124.2</v>
      </c>
      <c r="G82" s="228">
        <v>54.64</v>
      </c>
      <c r="H82" s="231">
        <v>861.8</v>
      </c>
      <c r="I82" s="232">
        <v>472</v>
      </c>
      <c r="J82" s="232">
        <v>109</v>
      </c>
      <c r="K82" s="228">
        <v>75.400000000000006</v>
      </c>
    </row>
    <row r="83" spans="1:11" ht="13.8">
      <c r="A83" s="165" t="s">
        <v>353</v>
      </c>
      <c r="B83">
        <v>66.56</v>
      </c>
      <c r="C83" s="228">
        <v>156988</v>
      </c>
      <c r="D83" s="241">
        <v>1.7</v>
      </c>
      <c r="E83" s="229">
        <v>3.3</v>
      </c>
      <c r="F83" s="230">
        <v>74.2</v>
      </c>
      <c r="G83" s="228">
        <v>76.41</v>
      </c>
      <c r="H83" s="231">
        <v>1259.0999999999999</v>
      </c>
      <c r="I83" s="232">
        <v>1.3</v>
      </c>
      <c r="J83" s="232">
        <v>94</v>
      </c>
      <c r="K83" s="228">
        <v>27.1</v>
      </c>
    </row>
    <row r="84" spans="1:11" ht="13.8">
      <c r="A84" s="165" t="s">
        <v>354</v>
      </c>
      <c r="B84">
        <v>75.3</v>
      </c>
      <c r="C84" s="228">
        <v>139651</v>
      </c>
      <c r="D84" s="241">
        <v>1.5</v>
      </c>
      <c r="E84" s="229">
        <v>27.9</v>
      </c>
      <c r="F84" s="230">
        <v>125.1</v>
      </c>
      <c r="G84" s="228">
        <v>69.849999999999994</v>
      </c>
      <c r="H84" s="231">
        <v>1428.9</v>
      </c>
      <c r="I84" s="232">
        <v>3.7</v>
      </c>
      <c r="J84" s="232">
        <v>76</v>
      </c>
      <c r="K84" s="228">
        <v>51.9</v>
      </c>
    </row>
    <row r="85" spans="1:11" ht="13.8">
      <c r="A85" s="165" t="s">
        <v>355</v>
      </c>
      <c r="B85">
        <v>71.989999999999995</v>
      </c>
      <c r="C85" s="228">
        <v>46684</v>
      </c>
      <c r="D85" s="241">
        <v>3.8</v>
      </c>
      <c r="E85" s="229">
        <v>14.1</v>
      </c>
      <c r="F85" s="230">
        <v>109.6</v>
      </c>
      <c r="G85" s="228">
        <v>55.47</v>
      </c>
      <c r="H85" s="231">
        <v>922.4</v>
      </c>
      <c r="I85" s="232">
        <v>287</v>
      </c>
      <c r="J85" s="232">
        <v>108</v>
      </c>
      <c r="K85" s="228">
        <v>119.9</v>
      </c>
    </row>
  </sheetData>
  <phoneticPr fontId="6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1E63-6E19-4463-A6D0-2F822918D91A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E11" sqref="E11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19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/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3"/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3"/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3"/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3"/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3"/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3"/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3"/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3"/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3"/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3"/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3"/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3"/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3"/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3"/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3"/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3"/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3"/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3"/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3"/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3"/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3"/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3"/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3"/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3"/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3"/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3"/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3"/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3"/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3"/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3"/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3"/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3"/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3"/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3"/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3"/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3"/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3"/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3"/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3"/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3"/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3"/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3"/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3"/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3"/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3"/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3"/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3"/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3"/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3"/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3"/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3"/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3"/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3"/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3"/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3"/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3"/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3"/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3"/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3"/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3"/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3"/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3"/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3"/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3"/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3"/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3"/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3"/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3"/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3"/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3"/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3"/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3"/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3"/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3"/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3"/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3"/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3"/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3"/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3"/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3"/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3"/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3"/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3"/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3"/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3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16D0-C1E5-4592-91EF-A0977ECDAABD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M6" sqref="M6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19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2541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3">
        <v>6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3">
        <v>6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3">
        <v>6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3">
        <v>6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3">
        <v>6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3">
        <v>6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3">
        <v>6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3">
        <v>6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3">
        <v>6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3">
        <v>6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3">
        <v>3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3">
        <v>6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3">
        <v>6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3">
        <v>6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3">
        <v>6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3">
        <v>2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3">
        <v>6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3">
        <v>6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3">
        <v>5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3">
        <v>6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3">
        <v>6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3">
        <v>6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3">
        <v>6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3">
        <v>6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3">
        <v>6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3">
        <v>6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3">
        <v>6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3">
        <v>6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3">
        <v>6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3">
        <v>5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3">
        <v>2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3">
        <v>5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3">
        <v>4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3">
        <v>6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3">
        <v>6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3">
        <v>6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3">
        <v>6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3">
        <v>6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3">
        <v>6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3">
        <v>6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3">
        <v>6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3">
        <v>6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3">
        <v>6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3">
        <v>2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3">
        <v>6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3">
        <v>6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3">
        <v>6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3">
        <v>2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3">
        <v>1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3">
        <v>6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3">
        <v>6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3">
        <v>6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3">
        <v>6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3">
        <v>6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3">
        <v>6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3">
        <v>6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3">
        <v>5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3">
        <v>6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3">
        <v>6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3">
        <v>6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3">
        <v>6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3">
        <v>6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3">
        <v>6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3">
        <v>3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3">
        <v>6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3">
        <v>5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3">
        <v>6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3">
        <v>2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3">
        <v>6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3">
        <v>6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3">
        <v>6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3">
        <v>6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3">
        <v>6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3">
        <v>6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3">
        <v>6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3">
        <v>6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3">
        <v>6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3">
        <v>6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3">
        <v>6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3">
        <v>6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3">
        <v>2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3">
        <v>6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3">
        <v>4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3">
        <v>4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3">
        <v>6</v>
      </c>
    </row>
  </sheetData>
  <autoFilter ref="A1:K1" xr:uid="{B7D616D0-C1E5-4592-91EF-A0977ECDAABD}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F851-3173-48BC-B507-C00BB7DCE4B2}">
  <sheetPr>
    <outlinePr summaryBelow="0" summaryRight="0"/>
  </sheetPr>
  <dimension ref="A1:K86"/>
  <sheetViews>
    <sheetView workbookViewId="0">
      <pane xSplit="1" topLeftCell="B1" activePane="topRight" state="frozen"/>
      <selection pane="topRight" sqref="A1:XFD1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31.218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2542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5">
        <v>6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5">
        <v>6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5">
        <v>6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5">
        <v>6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5">
        <v>6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5">
        <v>6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5">
        <v>6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5">
        <v>6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5">
        <v>6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5">
        <v>6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5">
        <v>5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5">
        <v>6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5">
        <v>6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5">
        <v>6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5">
        <v>6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5">
        <v>3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5">
        <v>6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5">
        <v>6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5">
        <v>6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5">
        <v>3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5">
        <v>6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5">
        <v>6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5">
        <v>6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5">
        <v>6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5">
        <v>6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5">
        <v>6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5">
        <v>6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5">
        <v>6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5">
        <v>6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5">
        <v>6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5">
        <v>3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5">
        <v>6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5">
        <v>4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5">
        <v>6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5">
        <v>6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5">
        <v>6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5">
        <v>6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5">
        <v>6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5">
        <v>6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5">
        <v>6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5">
        <v>6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5">
        <v>6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5">
        <v>6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5">
        <v>3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5">
        <v>6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5">
        <v>6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5">
        <v>6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5">
        <v>3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5">
        <v>1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5">
        <v>6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5">
        <v>6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5">
        <v>6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5">
        <v>6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5">
        <v>6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5">
        <v>6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5">
        <v>6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5">
        <v>2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5">
        <v>6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5">
        <v>6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5">
        <v>6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5">
        <v>6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5">
        <v>6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5">
        <v>6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5">
        <v>5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5">
        <v>6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5">
        <v>6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5">
        <v>6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5">
        <v>3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5">
        <v>6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5">
        <v>6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5">
        <v>6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5">
        <v>6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5">
        <v>6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5">
        <v>6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5">
        <v>6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5">
        <v>6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5">
        <v>6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5">
        <v>6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5">
        <v>6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5">
        <v>6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5">
        <v>3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5">
        <v>6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5">
        <v>4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5">
        <v>4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5">
        <v>6</v>
      </c>
    </row>
  </sheetData>
  <autoFilter ref="A1:K1" xr:uid="{3567F851-3173-48BC-B507-C00BB7DCE4B2}"/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51F2-B1F1-40E2-B2B4-2473618C17EC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M4" sqref="M4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11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2543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6">
        <v>3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6">
        <v>2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6">
        <v>3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6">
        <v>5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6">
        <v>5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6">
        <v>5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6">
        <v>3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6">
        <v>5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6">
        <v>3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6">
        <v>5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6">
        <v>6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6">
        <v>2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6">
        <v>2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6">
        <v>2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6">
        <v>3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6">
        <v>5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6">
        <v>5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6">
        <v>3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6">
        <v>4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6">
        <v>5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6">
        <v>5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6">
        <v>2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6">
        <v>2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6">
        <v>5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6">
        <v>3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6">
        <v>3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6">
        <v>5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6">
        <v>5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6">
        <v>5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6">
        <v>4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6">
        <v>5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6">
        <v>4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6">
        <v>6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6">
        <v>2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6">
        <v>2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6">
        <v>3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6">
        <v>2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6">
        <v>5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6">
        <v>3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6">
        <v>2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6">
        <v>3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6">
        <v>2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6">
        <v>2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6">
        <v>5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6">
        <v>2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6">
        <v>3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6">
        <v>2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6">
        <v>5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6">
        <v>1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6">
        <v>4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6">
        <v>3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6">
        <v>3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6">
        <v>5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6">
        <v>3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6">
        <v>5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6">
        <v>3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6">
        <v>4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6">
        <v>5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6">
        <v>2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6">
        <v>5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6">
        <v>5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6">
        <v>2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6">
        <v>3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6">
        <v>6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6">
        <v>5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6">
        <v>4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6">
        <v>3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6">
        <v>5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6">
        <v>5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6">
        <v>3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6">
        <v>5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6">
        <v>2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6">
        <v>3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6">
        <v>2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6">
        <v>4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6">
        <v>3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6">
        <v>2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6">
        <v>3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6">
        <v>3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6">
        <v>3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6">
        <v>5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6">
        <v>5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6">
        <v>6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6">
        <v>6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6">
        <v>2</v>
      </c>
    </row>
  </sheetData>
  <autoFilter ref="A1:K1" xr:uid="{99FB51F2-B1F1-40E2-B2B4-2473618C17EC}"/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D176-42D4-4793-A389-DD8B624EC6A1}">
  <dimension ref="A1:G60"/>
  <sheetViews>
    <sheetView workbookViewId="0">
      <selection activeCell="N70" sqref="N70"/>
    </sheetView>
  </sheetViews>
  <sheetFormatPr defaultRowHeight="13.2"/>
  <cols>
    <col min="1" max="1" width="19.109375" bestFit="1" customWidth="1"/>
    <col min="2" max="2" width="14.77734375" bestFit="1" customWidth="1"/>
    <col min="3" max="7" width="12.77734375" bestFit="1" customWidth="1"/>
    <col min="8" max="8" width="13.109375" bestFit="1" customWidth="1"/>
    <col min="9" max="54" width="21.44140625" bestFit="1" customWidth="1"/>
    <col min="55" max="63" width="25" bestFit="1" customWidth="1"/>
  </cols>
  <sheetData>
    <row r="1" spans="1:7">
      <c r="B1" s="177" t="s">
        <v>2541</v>
      </c>
    </row>
    <row r="2" spans="1:7">
      <c r="A2" s="177" t="s">
        <v>2553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</row>
    <row r="3" spans="1:7">
      <c r="A3" t="s">
        <v>2544</v>
      </c>
      <c r="B3">
        <v>-1.0550235299999999</v>
      </c>
      <c r="C3">
        <v>-0.25248812200000004</v>
      </c>
      <c r="D3">
        <v>1.8674628469999999</v>
      </c>
      <c r="E3">
        <v>3.8271872233333339</v>
      </c>
      <c r="F3">
        <v>1.2369846068000001</v>
      </c>
      <c r="G3">
        <v>-0.27693320781911757</v>
      </c>
    </row>
    <row r="4" spans="1:7">
      <c r="A4" t="s">
        <v>2545</v>
      </c>
      <c r="B4">
        <v>7.1663636400000001</v>
      </c>
      <c r="C4">
        <v>0.89314078893333326</v>
      </c>
      <c r="D4">
        <v>-0.67267159050000014</v>
      </c>
      <c r="E4">
        <v>-0.23384519100000001</v>
      </c>
      <c r="F4">
        <v>0.1231999252</v>
      </c>
      <c r="G4">
        <v>-0.1631519007352942</v>
      </c>
    </row>
    <row r="5" spans="1:7">
      <c r="A5" t="s">
        <v>2546</v>
      </c>
      <c r="B5">
        <v>0.31728229200000008</v>
      </c>
      <c r="C5">
        <v>0.92332712083333346</v>
      </c>
      <c r="D5">
        <v>1.2125757850000001</v>
      </c>
      <c r="E5">
        <v>-0.8167561366666668</v>
      </c>
      <c r="F5">
        <v>0.62030470560000006</v>
      </c>
      <c r="G5">
        <v>-0.13137723080588237</v>
      </c>
    </row>
    <row r="6" spans="1:7">
      <c r="A6" t="s">
        <v>2547</v>
      </c>
      <c r="B6">
        <v>4.2644372300000004</v>
      </c>
      <c r="C6">
        <v>1.3739608726666666</v>
      </c>
      <c r="D6">
        <v>0.89068620600000004</v>
      </c>
      <c r="E6">
        <v>-0.31432566286666669</v>
      </c>
      <c r="F6">
        <v>-1.2436240413999999</v>
      </c>
      <c r="G6">
        <v>-0.10483055406661768</v>
      </c>
    </row>
    <row r="7" spans="1:7">
      <c r="A7" t="s">
        <v>2548</v>
      </c>
      <c r="B7">
        <v>-0.21931033900000005</v>
      </c>
      <c r="C7">
        <v>-0.85355515466666665</v>
      </c>
      <c r="D7">
        <v>3.1398263850000001</v>
      </c>
      <c r="E7">
        <v>1.5267245966666667</v>
      </c>
      <c r="F7">
        <v>1.430455013</v>
      </c>
      <c r="G7">
        <v>-0.18634500546308821</v>
      </c>
    </row>
    <row r="8" spans="1:7">
      <c r="A8" t="s">
        <v>2549</v>
      </c>
      <c r="B8">
        <v>-1.5953765199999999</v>
      </c>
      <c r="C8">
        <v>-1.2552145235000001</v>
      </c>
      <c r="D8">
        <v>0.34907658850000001</v>
      </c>
      <c r="E8">
        <v>2.4592539400000004</v>
      </c>
      <c r="F8">
        <v>-0.3553100978</v>
      </c>
      <c r="G8">
        <v>4.1577928943014722E-2</v>
      </c>
    </row>
    <row r="9" spans="1:7">
      <c r="A9" t="s">
        <v>2550</v>
      </c>
      <c r="B9">
        <v>1.6855571499999999</v>
      </c>
      <c r="C9">
        <v>1.0109030491666668</v>
      </c>
      <c r="D9">
        <v>5.2594859249999999</v>
      </c>
      <c r="E9">
        <v>-0.73585068733333348</v>
      </c>
      <c r="F9">
        <v>-0.36968888720000004</v>
      </c>
      <c r="G9">
        <v>-0.2090286880968088</v>
      </c>
    </row>
    <row r="10" spans="1:7">
      <c r="A10" t="s">
        <v>2551</v>
      </c>
      <c r="B10">
        <v>-2.7351117700000001</v>
      </c>
      <c r="C10">
        <v>0.28079229348333334</v>
      </c>
      <c r="D10">
        <v>-0.3598606735499999</v>
      </c>
      <c r="E10">
        <v>-0.32964119403333342</v>
      </c>
      <c r="F10">
        <v>2.0081377472000002</v>
      </c>
      <c r="G10">
        <v>-0.10708361461911767</v>
      </c>
    </row>
    <row r="11" spans="1:7">
      <c r="A11" t="s">
        <v>2552</v>
      </c>
      <c r="B11">
        <v>-1.8761504100000002</v>
      </c>
      <c r="C11">
        <v>-1.1951431578333334</v>
      </c>
      <c r="D11">
        <v>-0.98898960050000007</v>
      </c>
      <c r="E11">
        <v>-1.8701459399999998</v>
      </c>
      <c r="F11">
        <v>0.49441532960000006</v>
      </c>
      <c r="G11">
        <v>0.20828455512499996</v>
      </c>
    </row>
    <row r="26" spans="1:7">
      <c r="B26" s="177" t="s">
        <v>2542</v>
      </c>
    </row>
    <row r="27" spans="1:7">
      <c r="A27" s="177" t="s">
        <v>2553</v>
      </c>
      <c r="B27">
        <v>1</v>
      </c>
      <c r="C27">
        <v>2</v>
      </c>
      <c r="D27">
        <v>3</v>
      </c>
      <c r="E27">
        <v>4</v>
      </c>
      <c r="F27">
        <v>5</v>
      </c>
      <c r="G27">
        <v>6</v>
      </c>
    </row>
    <row r="28" spans="1:7">
      <c r="A28" t="s">
        <v>2544</v>
      </c>
      <c r="B28">
        <v>-1.0550235299999999</v>
      </c>
      <c r="C28">
        <v>-0.60254552600000011</v>
      </c>
      <c r="D28">
        <v>-0.35996508742857147</v>
      </c>
      <c r="E28">
        <v>3.8271872233333339</v>
      </c>
      <c r="F28">
        <v>1.8674628469999999</v>
      </c>
      <c r="G28">
        <v>-0.15548116467183104</v>
      </c>
    </row>
    <row r="29" spans="1:7">
      <c r="A29" t="s">
        <v>2545</v>
      </c>
      <c r="B29">
        <v>7.1663636400000001</v>
      </c>
      <c r="C29">
        <v>1.8406068800000002</v>
      </c>
      <c r="D29">
        <v>0.91308744337142855</v>
      </c>
      <c r="E29">
        <v>-0.23384519100000001</v>
      </c>
      <c r="F29">
        <v>-0.67267159050000014</v>
      </c>
      <c r="G29">
        <v>-0.18805216723943666</v>
      </c>
    </row>
    <row r="30" spans="1:7">
      <c r="A30" t="s">
        <v>2546</v>
      </c>
      <c r="B30">
        <v>0.31728229200000008</v>
      </c>
      <c r="C30">
        <v>1.44672947</v>
      </c>
      <c r="D30">
        <v>1.1259979564285716</v>
      </c>
      <c r="E30">
        <v>-0.8167561366666668</v>
      </c>
      <c r="F30">
        <v>1.2125757850000001</v>
      </c>
      <c r="G30">
        <v>-0.13550536065915494</v>
      </c>
    </row>
    <row r="31" spans="1:7">
      <c r="A31" t="s">
        <v>2547</v>
      </c>
      <c r="B31">
        <v>4.2644372300000004</v>
      </c>
      <c r="C31">
        <v>-0.80677196200000012</v>
      </c>
      <c r="D31">
        <v>1.3726506394285714</v>
      </c>
      <c r="E31">
        <v>-0.31432566286666669</v>
      </c>
      <c r="F31">
        <v>0.89068620600000004</v>
      </c>
      <c r="G31">
        <v>-0.19583965016239438</v>
      </c>
    </row>
    <row r="32" spans="1:7">
      <c r="A32" t="s">
        <v>2548</v>
      </c>
      <c r="B32">
        <v>-0.21931033900000005</v>
      </c>
      <c r="C32">
        <v>2.0099738299999999</v>
      </c>
      <c r="D32">
        <v>-0.80925919428571425</v>
      </c>
      <c r="E32">
        <v>1.5267245966666667</v>
      </c>
      <c r="F32">
        <v>3.1398263850000001</v>
      </c>
      <c r="G32">
        <v>-9.838979865478871E-2</v>
      </c>
    </row>
    <row r="33" spans="1:7">
      <c r="A33" t="s">
        <v>2549</v>
      </c>
      <c r="B33">
        <v>-1.5953765199999999</v>
      </c>
      <c r="C33">
        <v>-1.0117389699999999</v>
      </c>
      <c r="D33">
        <v>-1.0312007329999999</v>
      </c>
      <c r="E33">
        <v>2.4592539400000004</v>
      </c>
      <c r="F33">
        <v>0.34907658850000001</v>
      </c>
      <c r="G33">
        <v>2.4642332945422559E-2</v>
      </c>
    </row>
    <row r="34" spans="1:7">
      <c r="A34" t="s">
        <v>2550</v>
      </c>
      <c r="B34">
        <v>1.6855571499999999</v>
      </c>
      <c r="C34">
        <v>0.95797351100000006</v>
      </c>
      <c r="D34">
        <v>0.88416558514285715</v>
      </c>
      <c r="E34">
        <v>-0.73585068733333348</v>
      </c>
      <c r="F34">
        <v>5.2594859249999999</v>
      </c>
      <c r="G34">
        <v>-0.24146633152933805</v>
      </c>
    </row>
    <row r="35" spans="1:7">
      <c r="A35" t="s">
        <v>2551</v>
      </c>
      <c r="B35">
        <v>-2.7351117700000001</v>
      </c>
      <c r="C35">
        <v>4.5538267100000001</v>
      </c>
      <c r="D35">
        <v>2.6085251557142902E-2</v>
      </c>
      <c r="E35">
        <v>-0.32964119403333342</v>
      </c>
      <c r="F35">
        <v>-0.3598606735499999</v>
      </c>
      <c r="G35">
        <v>-4.1220671563380598E-3</v>
      </c>
    </row>
    <row r="36" spans="1:7">
      <c r="A36" t="s">
        <v>2552</v>
      </c>
      <c r="B36">
        <v>-1.8761504100000002</v>
      </c>
      <c r="C36">
        <v>0.89791588200000005</v>
      </c>
      <c r="D36">
        <v>-1.0741244441428572</v>
      </c>
      <c r="E36">
        <v>-1.8701459399999998</v>
      </c>
      <c r="F36">
        <v>-0.98898960050000007</v>
      </c>
      <c r="G36">
        <v>0.22655665741549288</v>
      </c>
    </row>
    <row r="50" spans="1:7">
      <c r="B50" s="177" t="s">
        <v>2543</v>
      </c>
    </row>
    <row r="51" spans="1:7">
      <c r="A51" s="177" t="s">
        <v>2553</v>
      </c>
      <c r="B51">
        <v>1</v>
      </c>
      <c r="C51">
        <v>2</v>
      </c>
      <c r="D51">
        <v>3</v>
      </c>
      <c r="E51">
        <v>4</v>
      </c>
      <c r="F51">
        <v>5</v>
      </c>
      <c r="G51">
        <v>6</v>
      </c>
    </row>
    <row r="52" spans="1:7">
      <c r="A52" t="s">
        <v>2544</v>
      </c>
      <c r="B52">
        <v>-1.0550235299999999</v>
      </c>
      <c r="C52">
        <v>-0.33773633370500006</v>
      </c>
      <c r="D52">
        <v>-9.721003102499999E-2</v>
      </c>
      <c r="E52">
        <v>0.71993234571428566</v>
      </c>
      <c r="F52">
        <v>-0.36118652967857157</v>
      </c>
      <c r="G52">
        <v>3.0432974728</v>
      </c>
    </row>
    <row r="53" spans="1:7">
      <c r="A53" t="s">
        <v>2545</v>
      </c>
      <c r="B53">
        <v>7.1663636400000001</v>
      </c>
      <c r="C53">
        <v>-5.482396664000002E-2</v>
      </c>
      <c r="D53">
        <v>-0.20018521146666665</v>
      </c>
      <c r="E53">
        <v>0.16081361642857142</v>
      </c>
      <c r="F53">
        <v>-1.2294849907142876E-2</v>
      </c>
      <c r="G53">
        <v>-0.4093757508000001</v>
      </c>
    </row>
    <row r="54" spans="1:7">
      <c r="A54" t="s">
        <v>2546</v>
      </c>
      <c r="B54">
        <v>0.31728229200000008</v>
      </c>
      <c r="C54">
        <v>-0.84522187688000017</v>
      </c>
      <c r="D54">
        <v>-0.33123158592916668</v>
      </c>
      <c r="E54">
        <v>0.7560744888571429</v>
      </c>
      <c r="F54">
        <v>0.68818959771785715</v>
      </c>
      <c r="G54">
        <v>-5.0233680000000723E-3</v>
      </c>
    </row>
    <row r="55" spans="1:7">
      <c r="A55" t="s">
        <v>2547</v>
      </c>
      <c r="B55">
        <v>4.2644372300000004</v>
      </c>
      <c r="C55">
        <v>-0.53479767927000021</v>
      </c>
      <c r="D55">
        <v>-0.14094646461499999</v>
      </c>
      <c r="E55">
        <v>-0.76383661271428582</v>
      </c>
      <c r="F55">
        <v>0.51152472777250013</v>
      </c>
      <c r="G55">
        <v>0.16767908467999998</v>
      </c>
    </row>
    <row r="56" spans="1:7">
      <c r="A56" t="s">
        <v>2548</v>
      </c>
      <c r="B56">
        <v>-0.21931033900000005</v>
      </c>
      <c r="C56">
        <v>-0.22439633905949999</v>
      </c>
      <c r="D56">
        <v>-0.11050003998750008</v>
      </c>
      <c r="E56">
        <v>1.1255937819999999</v>
      </c>
      <c r="F56">
        <v>-0.40641946312857147</v>
      </c>
      <c r="G56">
        <v>2.1719653119999998</v>
      </c>
    </row>
    <row r="57" spans="1:7">
      <c r="A57" t="s">
        <v>2549</v>
      </c>
      <c r="B57">
        <v>-1.5953765199999999</v>
      </c>
      <c r="C57">
        <v>-0.13583020425</v>
      </c>
      <c r="D57">
        <v>0.7645811140458334</v>
      </c>
      <c r="E57">
        <v>-0.46005892700000001</v>
      </c>
      <c r="F57">
        <v>-0.67476673660624997</v>
      </c>
      <c r="G57">
        <v>1.6151829994000004</v>
      </c>
    </row>
    <row r="58" spans="1:7">
      <c r="A58" t="s">
        <v>2550</v>
      </c>
      <c r="B58">
        <v>1.6855571499999999</v>
      </c>
      <c r="C58">
        <v>-0.30795092669915003</v>
      </c>
      <c r="D58">
        <v>-0.3557751337333333</v>
      </c>
      <c r="E58">
        <v>-0.42711009971428571</v>
      </c>
      <c r="F58">
        <v>0.27465769678571428</v>
      </c>
      <c r="G58">
        <v>1.6622839576000001</v>
      </c>
    </row>
    <row r="59" spans="1:7">
      <c r="A59" t="s">
        <v>2551</v>
      </c>
      <c r="B59">
        <v>-2.7351117700000001</v>
      </c>
      <c r="C59">
        <v>0.23485868501500001</v>
      </c>
      <c r="D59">
        <v>-0.46411787805833332</v>
      </c>
      <c r="E59">
        <v>1.6942005252857144</v>
      </c>
      <c r="F59">
        <v>-3.4785414324999993E-2</v>
      </c>
      <c r="G59">
        <v>-0.34172898584</v>
      </c>
    </row>
    <row r="60" spans="1:7">
      <c r="A60" t="s">
        <v>2552</v>
      </c>
      <c r="B60">
        <v>-1.8761504100000002</v>
      </c>
      <c r="C60">
        <v>0.88920939710999991</v>
      </c>
      <c r="D60">
        <v>-0.12859872897083333</v>
      </c>
      <c r="E60">
        <v>1.1179369097142857</v>
      </c>
      <c r="F60">
        <v>-0.4663860487642858</v>
      </c>
      <c r="G60">
        <v>-1.5176834042</v>
      </c>
    </row>
  </sheetData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Список данных</vt:lpstr>
      <vt:lpstr>2023</vt:lpstr>
      <vt:lpstr>Исходные данные</vt:lpstr>
      <vt:lpstr>data for regression</vt:lpstr>
      <vt:lpstr>данные_стандарт</vt:lpstr>
      <vt:lpstr>метод полных связей</vt:lpstr>
      <vt:lpstr>взвешенный метод средней связи</vt:lpstr>
      <vt:lpstr>метод уорда</vt:lpstr>
      <vt:lpstr>графики средних</vt:lpstr>
      <vt:lpstr>K-means</vt:lpstr>
      <vt:lpstr>Данные_без_выбр</vt:lpstr>
      <vt:lpstr>data_new stand</vt:lpstr>
      <vt:lpstr>Compl_new</vt:lpstr>
      <vt:lpstr>pair_new</vt:lpstr>
      <vt:lpstr>Ward_new</vt:lpstr>
      <vt:lpstr>Все методы v1</vt:lpstr>
      <vt:lpstr>Stat Data</vt:lpstr>
      <vt:lpstr>Все методы</vt:lpstr>
      <vt:lpstr>Графики</vt:lpstr>
      <vt:lpstr>Функционалы Качества</vt:lpstr>
      <vt:lpstr>МГК</vt:lpstr>
      <vt:lpstr>Train</vt:lpstr>
      <vt:lpstr>Test</vt:lpstr>
      <vt:lpstr>All</vt:lpstr>
      <vt:lpstr>ФА_Data2</vt:lpstr>
      <vt:lpstr>ФА_Data3</vt:lpstr>
      <vt:lpstr>МГК Data</vt:lpstr>
      <vt:lpstr>МГК Графики</vt:lpstr>
      <vt:lpstr>K-means_new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U</dc:creator>
  <cp:lastModifiedBy>ada</cp:lastModifiedBy>
  <dcterms:created xsi:type="dcterms:W3CDTF">2025-09-23T19:07:26Z</dcterms:created>
  <dcterms:modified xsi:type="dcterms:W3CDTF">2026-04-23T17:20:19Z</dcterms:modified>
</cp:coreProperties>
</file>